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3"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经济指标" sheetId="68" r:id="rId13"/>
    <sheet name="数据-汇总表" sheetId="6" r:id="rId14"/>
    <sheet name="数据-取费表" sheetId="1" r:id="rId15"/>
    <sheet name="建设投资估算" sheetId="69" r:id="rId16"/>
    <sheet name="估价对象房地状况" sheetId="20" state="hidden" r:id="rId17"/>
    <sheet name="系统读取表" sheetId="66" state="hidden" r:id="rId18"/>
    <sheet name="结果表" sheetId="9" r:id="rId19"/>
    <sheet name="剩余法-现房" sheetId="43" state="hidden" r:id="rId20"/>
    <sheet name="比较法-住宅、综合" sheetId="39" r:id="rId21"/>
    <sheet name="土地案例1" sheetId="71" r:id="rId22"/>
    <sheet name="土地案例2" sheetId="72" r:id="rId23"/>
    <sheet name="案例位置" sheetId="73"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剩余法-待开发" sheetId="12" r:id="rId34"/>
    <sheet name="经营收入及税金" sheetId="75" r:id="rId35"/>
    <sheet name="不动产比较法-住宅（高层）" sheetId="21" r:id="rId36"/>
    <sheet name="不动产比较法-住宅（联排）" sheetId="74" r:id="rId37"/>
    <sheet name="世茂公园美地已成交数据" sheetId="76" r:id="rId38"/>
    <sheet name="不动产收益法（商业）" sheetId="15" r:id="rId39"/>
    <sheet name="酒店收入计算" sheetId="57" state="hidden" r:id="rId40"/>
    <sheet name="成本逼近法" sheetId="11" state="hidden" r:id="rId41"/>
    <sheet name="不动产收益法（车位）" sheetId="70" r:id="rId42"/>
    <sheet name="不动产比较法-商业" sheetId="33" state="hidden" r:id="rId43"/>
    <sheet name="不动产比较法-办公" sheetId="34" state="hidden" r:id="rId44"/>
    <sheet name="不动产比较法-工业" sheetId="37" state="hidden" r:id="rId45"/>
    <sheet name="不动产比较法-车位" sheetId="35" state="hidden" r:id="rId46"/>
    <sheet name="不动产比较法-仓储" sheetId="36" state="hidden" r:id="rId47"/>
    <sheet name="典型户型修正" sheetId="31" state="hidden" r:id="rId48"/>
    <sheet name="存贷款利率" sheetId="65" state="hidden" r:id="rId49"/>
  </sheets>
  <externalReferences>
    <externalReference r:id="rId50"/>
    <externalReference r:id="rId51"/>
    <externalReference r:id="rId52"/>
    <externalReference r:id="rId53"/>
  </externalReferences>
  <definedNames>
    <definedName name="_xlnm._FilterDatabase" localSheetId="24" hidden="1">'比较法-工业'!$A$1:$L$45</definedName>
    <definedName name="_xlnm._FilterDatabase" localSheetId="20" hidden="1">'比较法-住宅、综合'!$A$1:$L$50</definedName>
    <definedName name="_xlnm._FilterDatabase" localSheetId="43"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35" hidden="1">'不动产比较法-住宅（高层）'!$A$1:$L$49</definedName>
    <definedName name="_xlnm._FilterDatabase" localSheetId="36" hidden="1">'不动产比较法-住宅（联排）'!$A$1:$L$49</definedName>
    <definedName name="_xlnm._FilterDatabase" localSheetId="10" hidden="1">'数据-基础表'!$A$12:$AT$572</definedName>
    <definedName name="_xlnm._FilterDatabase" localSheetId="9" hidden="1">项目基本情况!$A$48:$N$48</definedName>
    <definedName name="_xlnm.Print_Area" localSheetId="15">建设投资估算!$A$1:$H$119</definedName>
    <definedName name="_xlnm.Print_Area" localSheetId="34">经营收入及税金!$B$3:$AA$55</definedName>
    <definedName name="_xlnm.Print_Titles" localSheetId="34">经营收入及税金!$B:$C</definedName>
    <definedName name="八级">区片价!$P$1:$P$40</definedName>
    <definedName name="办公层高" localSheetId="34">'[1]不动产比较法-办公'!$B$119:$M$119</definedName>
    <definedName name="办公层高">'不动产比较法-办公'!$B$119:$M$119</definedName>
    <definedName name="办公朝向" localSheetId="34">'[1]不动产比较法-办公'!$B$91:$M$91</definedName>
    <definedName name="办公朝向">'不动产比较法-办公'!$B$91:$M$91</definedName>
    <definedName name="办公道路级别" localSheetId="34">'[1]不动产比较法-办公'!$B$87:$M$87</definedName>
    <definedName name="办公道路级别">'不动产比较法-办公'!$B$87:$M$87</definedName>
    <definedName name="办公公共部分装修" localSheetId="34">'[1]不动产比较法-办公'!$B$108:$M$108</definedName>
    <definedName name="办公公共部分装修">'不动产比较法-办公'!$B$108:$M$108</definedName>
    <definedName name="办公基础设施水平" localSheetId="34">'[1]不动产比较法-办公'!$B$117:$M$117</definedName>
    <definedName name="办公基础设施水平">'不动产比较法-办公'!$B$117:$M$117</definedName>
    <definedName name="办公集聚程度" localSheetId="34">[1]定义!$M$1:$M$6</definedName>
    <definedName name="办公集聚程度">定义!$M$1:$M$6</definedName>
    <definedName name="办公建筑结构" localSheetId="34">'[1]不动产比较法-办公'!$B$106:$M$106</definedName>
    <definedName name="办公建筑结构">'不动产比较法-办公'!$B$106:$M$106</definedName>
    <definedName name="办公建筑类型" localSheetId="34">'[1]不动产比较法-办公'!$B$101:$M$101</definedName>
    <definedName name="办公建筑类型">'不动产比较法-办公'!$B$101:$M$101</definedName>
    <definedName name="办公交易情况" localSheetId="34">'[1]不动产比较法-办公'!$A$62:$M$62</definedName>
    <definedName name="办公交易情况">'不动产比较法-办公'!$A$62:$M$62</definedName>
    <definedName name="办公楼层" localSheetId="34">'[1]不动产比较法-办公'!$B$89:$M$89</definedName>
    <definedName name="办公楼层">'不动产比较法-办公'!$B$89:$M$89</definedName>
    <definedName name="办公内部装修" localSheetId="34">'[1]不动产比较法-办公'!$B$123:$M$123</definedName>
    <definedName name="办公内部装修">'不动产比较法-办公'!$B$123:$M$123</definedName>
    <definedName name="办公物业管理" localSheetId="34">'[1]不动产比较法-办公'!$B$115:$M$115</definedName>
    <definedName name="办公物业管理">'不动产比较法-办公'!$B$115:$M$115</definedName>
    <definedName name="办公用途" localSheetId="34">'[1]不动产比较法-办公'!$B$64:$M$64</definedName>
    <definedName name="办公用途">'不动产比较法-办公'!$B$64:$M$64</definedName>
    <definedName name="仓储公共部分装修" localSheetId="34">'[1]不动产比较法-仓储'!$B$77:$M$77</definedName>
    <definedName name="仓储公共部分装修">'不动产比较法-仓储'!$B$77:$M$77</definedName>
    <definedName name="仓储交易情况" localSheetId="34">'[1]不动产比较法-仓储'!$A$49:$M$49</definedName>
    <definedName name="仓储交易情况">'不动产比较法-仓储'!$A$49:$M$49</definedName>
    <definedName name="仓储楼层" localSheetId="34">'[1]不动产比较法-仓储'!$B$69:$M$69</definedName>
    <definedName name="仓储楼层">'不动产比较法-仓储'!$B$69:$M$69</definedName>
    <definedName name="仓储物业等级" localSheetId="34">'[1]不动产比较法-仓储'!$B$82:$M$82</definedName>
    <definedName name="仓储物业等级">'不动产比较法-仓储'!$B$82:$M$82</definedName>
    <definedName name="仓储用途" localSheetId="34">'[1]不动产比较法-仓储'!$B$51:$M$51</definedName>
    <definedName name="仓储用途">'不动产比较法-仓储'!$B$51:$M$51</definedName>
    <definedName name="产业集聚程度" localSheetId="34">[1]定义!$N$1:$N$6</definedName>
    <definedName name="产业集聚程度">定义!$N$1:$N$6</definedName>
    <definedName name="车位公共部分装修" localSheetId="34">'[1]不动产比较法-车位'!$B$83:$M$83</definedName>
    <definedName name="车位公共部分装修">'不动产比较法-车位'!$B$83:$M$83</definedName>
    <definedName name="车位交易情况" localSheetId="34">'[1]不动产比较法-车位'!$A$51:$M$51</definedName>
    <definedName name="车位交易情况">'不动产比较法-车位'!$A$51:$M$51</definedName>
    <definedName name="车位类型" localSheetId="34">'[1]不动产比较法-车位'!$B$93:$M$93</definedName>
    <definedName name="车位类型">'不动产比较法-车位'!$B$93:$M$93</definedName>
    <definedName name="车位楼层" localSheetId="34">'[1]不动产比较法-车位'!$B$71:$M$71</definedName>
    <definedName name="车位楼层">'不动产比较法-车位'!$B$71:$M$71</definedName>
    <definedName name="车位配套类型" localSheetId="34">'[1]不动产比较法-车位'!$B$79:$M$79</definedName>
    <definedName name="车位配套类型">'不动产比较法-车位'!$B$79:$M$79</definedName>
    <definedName name="车位物业等级" localSheetId="34">'[1]不动产比较法-车位'!$B$88:$M$88</definedName>
    <definedName name="车位物业等级">'不动产比较法-车位'!$B$88:$M$88</definedName>
    <definedName name="车位用途" localSheetId="34">'[1]不动产比较法-车位'!$B$53:$M$53</definedName>
    <definedName name="车位用途">'不动产比较法-车位'!$B$53:$M$53</definedName>
    <definedName name="城镇土地纳税等级分级范围" localSheetId="34">'[1]数据-取费表'!$A$53:$A$63</definedName>
    <definedName name="城镇土地纳税等级分级范围">'数据-取费表'!$A$53:$A$63</definedName>
    <definedName name="单价内涵" localSheetId="34">[1]定义!$V$1:$V$3</definedName>
    <definedName name="单价内涵">定义!$V$1:$V$3</definedName>
    <definedName name="地类判定" localSheetId="34">[1]定义!$H$1:$H$9</definedName>
    <definedName name="地类判定">定义!$H$1:$H$9</definedName>
    <definedName name="二级">区片价!$J$1:$J$20</definedName>
    <definedName name="二级分类" localSheetId="34">[1]修正!$C$17:$C$39</definedName>
    <definedName name="二级分类">修正!$C$17:$C$39</definedName>
    <definedName name="法定最高年限" localSheetId="34">[1]定义!$G$2:$G$4</definedName>
    <definedName name="法定最高年限">定义!$G$2:$G$4</definedName>
    <definedName name="工业公共部分装修" localSheetId="34">'[1]不动产比较法-工业'!$B$95:$M$95</definedName>
    <definedName name="工业公共部分装修">'不动产比较法-工业'!$B$95:$M$95</definedName>
    <definedName name="工业基础设施水平" localSheetId="34">'[1]不动产比较法-工业'!$B$102:$M$102</definedName>
    <definedName name="工业基础设施水平">'不动产比较法-工业'!$B$102:$M$102</definedName>
    <definedName name="工业建筑结构" localSheetId="34">'[1]不动产比较法-工业'!$B$93:$M$93</definedName>
    <definedName name="工业建筑结构">'不动产比较法-工业'!$B$93:$M$93</definedName>
    <definedName name="工业建筑类型" localSheetId="34">'[1]不动产比较法-工业'!$B$88:$M$88</definedName>
    <definedName name="工业建筑类型">'不动产比较法-工业'!$B$88:$M$88</definedName>
    <definedName name="工业交易情况" localSheetId="34">'[1]不动产比较法-工业'!$A$55:$M$55</definedName>
    <definedName name="工业交易情况">'不动产比较法-工业'!$A$55:$M$55</definedName>
    <definedName name="工业内部装修" localSheetId="34">'[1]不动产比较法-工业'!$B$104:$M$104</definedName>
    <definedName name="工业内部装修">'不动产比较法-工业'!$B$104:$M$104</definedName>
    <definedName name="工业物业管理" localSheetId="34">'[1]不动产比较法-工业'!$B$100:$M$100</definedName>
    <definedName name="工业物业管理">'不动产比较法-工业'!$B$100:$M$100</definedName>
    <definedName name="工业用途" localSheetId="34">'[1]不动产比较法-工业'!$B$57:$M$57</definedName>
    <definedName name="工业用途">'不动产比较法-工业'!$B$57:$M$57</definedName>
    <definedName name="公共配套设施" localSheetId="34">[1]定义!$Q$1:$Q$6</definedName>
    <definedName name="公共配套设施">定义!$Q$1:$Q$6</definedName>
    <definedName name="估价方法" localSheetId="34">[1]定义!$B$1:$B$50</definedName>
    <definedName name="估价方法">定义!$B$1:$B$50</definedName>
    <definedName name="环境" localSheetId="34">[1]定义!$S$1:$S$6</definedName>
    <definedName name="环境">定义!$S$1:$S$6</definedName>
    <definedName name="基础设施水平" localSheetId="34">[1]定义!$R$1:$R$6</definedName>
    <definedName name="基础设施水平">定义!$R$1:$R$6</definedName>
    <definedName name="季度">基准地价!$N$19:$AG$19</definedName>
    <definedName name="季度2014">地价!$A$2:$A$23</definedName>
    <definedName name="价值类型2" localSheetId="34">[1]定义!$B$54:$B$56</definedName>
    <definedName name="价值类型2">定义!$B$54:$B$56</definedName>
    <definedName name="交通便捷度" localSheetId="34">[1]定义!$O$1:$O$6</definedName>
    <definedName name="交通便捷度">定义!$O$1:$O$6</definedName>
    <definedName name="九级">区片价!$Q$1:$Q$46</definedName>
    <definedName name="居住社区成熟度" localSheetId="34">[1]定义!$K$1:$K$6</definedName>
    <definedName name="居住社区成熟度">定义!$K$1:$K$6</definedName>
    <definedName name="类别" localSheetId="34">[1]定义!$J$1:$J$3</definedName>
    <definedName name="类别">定义!$J$1:$J$3</definedName>
    <definedName name="临街状况" localSheetId="34">[1]定义!$T$1:$T$5</definedName>
    <definedName name="临街状况">定义!$T$1:$T$5</definedName>
    <definedName name="六级">区片价!$N$1:$N$49</definedName>
    <definedName name="内部装修维护情况" localSheetId="34">[1]定义!$U$1:$U$6</definedName>
    <definedName name="内部装修维护情况">定义!$U$1:$U$6</definedName>
    <definedName name="判定" localSheetId="34">[1]定义!$D$1:$D$4</definedName>
    <definedName name="判定">定义!$D$1:$D$4</definedName>
    <definedName name="七级">区片价!$O$1:$O$49</definedName>
    <definedName name="七通一平" localSheetId="34">[1]修正!$A$6:$A$14</definedName>
    <definedName name="七通一平">修正!$A$6:$A$14</definedName>
    <definedName name="区域土地利用方向" localSheetId="34">[1]定义!$P$1:$P$6</definedName>
    <definedName name="区域土地利用方向">定义!$P$1:$P$6</definedName>
    <definedName name="三级">区片价!$K$1:$K$21</definedName>
    <definedName name="商业层高" localSheetId="34">'[1]不动产比较法-商业'!$B$116:$M$116</definedName>
    <definedName name="商业层高">'不动产比较法-商业'!$B$116:$M$116</definedName>
    <definedName name="商业成新度">'不动产比较法-商业'!$B$109:$M$109</definedName>
    <definedName name="商业繁华度" localSheetId="34">[1]定义!$L$1:$L$6</definedName>
    <definedName name="商业繁华度">定义!$L$1:$L$6</definedName>
    <definedName name="商业公共部分装修" localSheetId="34">'[1]不动产比较法-商业'!$B$107:$M$107</definedName>
    <definedName name="商业公共部分装修">'不动产比较法-商业'!$B$107:$M$107</definedName>
    <definedName name="商业基础设施水平" localSheetId="34">'[1]不动产比较法-商业'!$B$112:$M$112</definedName>
    <definedName name="商业基础设施水平">'不动产比较法-商业'!$B$112:$M$112</definedName>
    <definedName name="商业建筑结构" localSheetId="34">'[1]不动产比较法-商业'!$B$105:$M$105</definedName>
    <definedName name="商业建筑结构">'不动产比较法-商业'!$B$105:$M$105</definedName>
    <definedName name="商业交易情况" localSheetId="34">'[1]不动产比较法-商业'!$A$61:$M$61</definedName>
    <definedName name="商业交易情况">'不动产比较法-商业'!$A$61:$M$61</definedName>
    <definedName name="商业街名称" localSheetId="34">[1]修正!$C$59:$C$119</definedName>
    <definedName name="商业街名称">修正!$C$59:$C$119</definedName>
    <definedName name="商业进深比" localSheetId="34">'[1]不动产比较法-商业'!$B$120:$M$120</definedName>
    <definedName name="商业进深比">'不动产比较法-商业'!$B$120:$M$120</definedName>
    <definedName name="商业类型" localSheetId="34">'[1]不动产比较法-商业'!$B$100:$M$100</definedName>
    <definedName name="商业类型">'不动产比较法-商业'!$B$100:$M$100</definedName>
    <definedName name="商业临街状况" localSheetId="34">'[1]不动产比较法-商业'!$B$86:$M$86</definedName>
    <definedName name="商业临街状况">'不动产比较法-商业'!$B$86:$M$86</definedName>
    <definedName name="商业楼层" localSheetId="34">'[1]不动产比较法-商业'!$B$92:$M$92</definedName>
    <definedName name="商业楼层">'不动产比较法-商业'!$B$92:$M$92</definedName>
    <definedName name="商业内部装修" localSheetId="34">'[1]不动产比较法-商业'!$B$122:$M$122</definedName>
    <definedName name="商业内部装修">'不动产比较法-商业'!$B$122:$M$122</definedName>
    <definedName name="商业人流量" localSheetId="34">'[1]不动产比较法-商业'!$B$90:$M$90</definedName>
    <definedName name="商业人流量">'不动产比较法-商业'!$B$90:$M$90</definedName>
    <definedName name="商业业态" localSheetId="34">'[1]不动产比较法-商业'!$B$114:$M$114</definedName>
    <definedName name="商业业态">'不动产比较法-商业'!$B$114:$M$114</definedName>
    <definedName name="商业用途" localSheetId="34">'[1]不动产比较法-商业'!$B$63:$M$63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4">'[1]不动产比较法-仓储'!$B$89:$M$89</definedName>
    <definedName name="是否封闭">'不动产比较法-仓储'!$B$89:$M$89</definedName>
    <definedName name="是否直接入户" localSheetId="34">'[1]不动产比较法-车位'!$B$95:$M$95</definedName>
    <definedName name="是否直接入户">'不动产比较法-车位'!$B$95:$M$95</definedName>
    <definedName name="四级">区片价!$L$1:$L$28</definedName>
    <definedName name="套工工程地质条件" localSheetId="34">'[1]比较法-工业'!$B$116:$M$116</definedName>
    <definedName name="套工工程地质条件">'比较法-工业'!$B$116:$M$116</definedName>
    <definedName name="套工交易情况" localSheetId="34">'[1]比较法-住宅、综合'!$A$75:$M$75</definedName>
    <definedName name="套工交易情况">'比较法-住宅、综合'!$A$75:$M$75</definedName>
    <definedName name="套工开发程度" localSheetId="34">'[1]比较法-工业'!$B$114:$M$114</definedName>
    <definedName name="套工开发程度">'比较法-工业'!$B$114:$M$114</definedName>
    <definedName name="套工临街等级" localSheetId="34">'[1]比较法-工业'!$B$99:$M$99</definedName>
    <definedName name="套工临街等级">'比较法-工业'!$B$99:$M$99</definedName>
    <definedName name="套工土地级别" localSheetId="34">'[1]比较法-工业'!$B$101:$M$101</definedName>
    <definedName name="套工土地级别">'比较法-工业'!$B$101:$M$101</definedName>
    <definedName name="套工用途" localSheetId="34">'[1]比较法-工业'!$B$72:$M$72</definedName>
    <definedName name="套工用途">'比较法-工业'!$B$72:$M$72</definedName>
    <definedName name="套工宗地形状" localSheetId="34">'[1]比较法-工业'!$B$112:$M$112</definedName>
    <definedName name="套工宗地形状">'比较法-工业'!$B$112:$M$112</definedName>
    <definedName name="套综道路等级" localSheetId="34">'[1]比较法-住宅、综合'!$B$108:$M$108</definedName>
    <definedName name="套综道路等级">'比较法-住宅、综合'!$B$108:$M$108</definedName>
    <definedName name="套综工程地质条件" localSheetId="34">'[1]比较法-住宅、综合'!$B$127:$M$127</definedName>
    <definedName name="套综工程地质条件">'比较法-住宅、综合'!$B$127:$M$127</definedName>
    <definedName name="套综交易情况" localSheetId="34">'[1]比较法-住宅、综合'!$A$75:$M$75</definedName>
    <definedName name="套综交易情况">'比较法-住宅、综合'!$A$75:$M$75</definedName>
    <definedName name="套综临街宽度及深度" localSheetId="34">'[1]比较法-住宅、综合'!$B$123:$M$123</definedName>
    <definedName name="套综临街宽度及深度">'比较法-住宅、综合'!$B$123:$M$123</definedName>
    <definedName name="套综土地级别" localSheetId="34">'[1]比较法-住宅、综合'!$B$110:$M$110</definedName>
    <definedName name="套综土地级别">'比较法-住宅、综合'!$B$110:$M$110</definedName>
    <definedName name="套综用途" localSheetId="34">'[1]比较法-住宅、综合'!$B$77:$M$77</definedName>
    <definedName name="套综用途">'比较法-住宅、综合'!$B$77:$M$77</definedName>
    <definedName name="套综宗地内开发程度" localSheetId="34">'[1]比较法-住宅、综合'!$B$125:$M$125</definedName>
    <definedName name="套综宗地内开发程度">'比较法-住宅、综合'!$B$125:$M$125</definedName>
    <definedName name="套综宗地形状" localSheetId="34">'[1]比较法-住宅、综合'!$B$121:$M$121</definedName>
    <definedName name="套综宗地形状">'比较法-住宅、综合'!$B$121:$M$121</definedName>
    <definedName name="土地估价师" localSheetId="34">[1]估价师及机构信息!$D$3:$D$24</definedName>
    <definedName name="土地估价师">估价师及机构信息!$D$3:$D$24</definedName>
    <definedName name="土地级别" localSheetId="34">[1]定义!$C$1:$C$14</definedName>
    <definedName name="土地级别">定义!$C$1:$C$14</definedName>
    <definedName name="土地利用方向">定义!$P$1:$P$6</definedName>
    <definedName name="土地年限区间" localSheetId="34">[1]定义!$I$1:$I$8</definedName>
    <definedName name="土地年限区间">定义!$I$1:$I$8</definedName>
    <definedName name="位置" localSheetId="34">[1]定义!$E$2:$E$4</definedName>
    <definedName name="位置">定义!$E$2:$E$4</definedName>
    <definedName name="五等判定" localSheetId="34">[1]定义!$W$1:$W$6</definedName>
    <definedName name="五等判定">定义!$W$1:$W$6</definedName>
    <definedName name="五级">区片价!$M$1:$M$35</definedName>
    <definedName name="项目类型" localSheetId="34">'[1]数据-汇总表'!$C$17:$C$26</definedName>
    <definedName name="项目类型">'数据-汇总表'!$C$17:$C$26</definedName>
    <definedName name="写字楼等级" localSheetId="34">'[1]不动产比较法-办公'!$B$113:$M$113</definedName>
    <definedName name="写字楼等级">'不动产比较法-办公'!$B$113:$M$113</definedName>
    <definedName name="一级">区片价!$I$1:$I$6</definedName>
    <definedName name="一修多修正项2" localSheetId="34">[1]典型户型修正!$5:$5</definedName>
    <definedName name="一修多修正项2">典型户型修正!$5:$5</definedName>
    <definedName name="一修多修正项3" localSheetId="34">[1]典型户型修正!$7:$7</definedName>
    <definedName name="一修多修正项3">典型户型修正!$7:$7</definedName>
    <definedName name="一修多修正项4" localSheetId="34">[1]典型户型修正!$9:$9</definedName>
    <definedName name="一修多修正项4">典型户型修正!$9:$9</definedName>
    <definedName name="一修多修正项5" localSheetId="34">[1]典型户型修正!$11:$11</definedName>
    <definedName name="一修多修正项5">典型户型修正!$11:$11</definedName>
    <definedName name="一修多修正项6" localSheetId="34">[1]典型户型修正!$13:$13</definedName>
    <definedName name="一修多修正项6">典型户型修正!$13:$13</definedName>
    <definedName name="一修多修正项7" localSheetId="34">[1]典型户型修正!$15:$15</definedName>
    <definedName name="一修多修正项7">典型户型修正!$15:$15</definedName>
    <definedName name="一修多修正项8" localSheetId="34">[1]典型户型修正!$17:$17</definedName>
    <definedName name="一修多修正项8">典型户型修正!$17:$17</definedName>
    <definedName name="用途类型" localSheetId="34">[1]定义!$A$1:$A$50</definedName>
    <definedName name="用途类型">定义!$A$1:$A$50</definedName>
    <definedName name="有无电梯" localSheetId="34">'[1]不动产比较法-仓储'!$B$84:$M$84</definedName>
    <definedName name="有无电梯">'不动产比较法-仓储'!$B$84:$M$84</definedName>
    <definedName name="主用途" localSheetId="34">[1]定义!$F$1:$F$10</definedName>
    <definedName name="主用途">定义!$F$1:$F$10</definedName>
    <definedName name="住宅朝向" localSheetId="36">'不动产比较法-住宅（联排）'!$B$88:$M$88</definedName>
    <definedName name="住宅朝向" localSheetId="34">'[1]不动产比较法-住宅（高层）'!$B$88:$M$88</definedName>
    <definedName name="住宅朝向">'不动产比较法-住宅（高层）'!$B$88:$M$88</definedName>
    <definedName name="住宅房型" localSheetId="36">'不动产比较法-住宅（联排）'!$B$118:$M$118</definedName>
    <definedName name="住宅房型" localSheetId="34">'[1]不动产比较法-住宅（高层）'!$B$118:$M$118</definedName>
    <definedName name="住宅房型">'不动产比较法-住宅（高层）'!$B$118:$M$118</definedName>
    <definedName name="住宅公共部分装修" localSheetId="36">'不动产比较法-住宅（联排）'!$B$109:$M$109</definedName>
    <definedName name="住宅公共部分装修" localSheetId="34">'[1]不动产比较法-住宅（高层）'!$B$109:$M$109</definedName>
    <definedName name="住宅公共部分装修">'不动产比较法-住宅（高层）'!$B$109:$M$109</definedName>
    <definedName name="住宅基础设施水平" localSheetId="36">'不动产比较法-住宅（联排）'!$B$116:$M$116</definedName>
    <definedName name="住宅基础设施水平" localSheetId="34">'[1]不动产比较法-住宅（高层）'!$B$116:$M$116</definedName>
    <definedName name="住宅基础设施水平">'不动产比较法-住宅（高层）'!$B$116:$M$116</definedName>
    <definedName name="住宅建筑结构" localSheetId="36">'不动产比较法-住宅（联排）'!$B$105:$M$105</definedName>
    <definedName name="住宅建筑结构" localSheetId="34">'[1]不动产比较法-住宅（高层）'!$B$105:$M$105</definedName>
    <definedName name="住宅建筑结构">'不动产比较法-住宅（高层）'!$B$105:$M$105</definedName>
    <definedName name="住宅建筑类型" localSheetId="36">'不动产比较法-住宅（联排）'!$B$100:$M$100</definedName>
    <definedName name="住宅建筑类型" localSheetId="34">'[1]不动产比较法-住宅（高层）'!$B$100:$M$100</definedName>
    <definedName name="住宅建筑类型">'不动产比较法-住宅（高层）'!$B$100:$M$100</definedName>
    <definedName name="住宅建筑品质" localSheetId="36">'不动产比较法-住宅（联排）'!$B$107:$M$107</definedName>
    <definedName name="住宅建筑品质" localSheetId="34">'[1]不动产比较法-住宅（高层）'!$B$107:$M$107</definedName>
    <definedName name="住宅建筑品质">'不动产比较法-住宅（高层）'!$B$107:$M$107</definedName>
    <definedName name="住宅交易情况" localSheetId="36">'不动产比较法-住宅（联排）'!$A$61:$M$61</definedName>
    <definedName name="住宅交易情况" localSheetId="34">'[1]不动产比较法-住宅（高层）'!$A$61:$M$61</definedName>
    <definedName name="住宅交易情况">'不动产比较法-住宅（高层）'!$A$61:$M$61</definedName>
    <definedName name="住宅楼层" localSheetId="36">'不动产比较法-住宅（联排）'!$B$86:$M$86</definedName>
    <definedName name="住宅楼层" localSheetId="34">'[1]不动产比较法-住宅（高层）'!$B$86:$M$86</definedName>
    <definedName name="住宅楼层">'不动产比较法-住宅（高层）'!$B$86:$M$86</definedName>
    <definedName name="住宅内部装修" localSheetId="36">'不动产比较法-住宅（联排）'!$B$122:$M$122</definedName>
    <definedName name="住宅内部装修" localSheetId="34">'[1]不动产比较法-住宅（高层）'!$B$122:$M$122</definedName>
    <definedName name="住宅内部装修">'不动产比较法-住宅（高层）'!$B$122:$M$122</definedName>
    <definedName name="住宅物业管理" localSheetId="36">'不动产比较法-住宅（联排）'!$B$114:$M$114</definedName>
    <definedName name="住宅物业管理" localSheetId="34">'[1]不动产比较法-住宅（高层）'!$B$114:$M$114</definedName>
    <definedName name="住宅物业管理">'不动产比较法-住宅（高层）'!$B$114:$M$114</definedName>
    <definedName name="住宅用途" localSheetId="36">'不动产比较法-住宅（联排）'!$B$63:$M$63</definedName>
    <definedName name="住宅用途" localSheetId="34">'[1]不动产比较法-住宅（高层）'!$B$63:$M$63</definedName>
    <definedName name="住宅用途">'不动产比较法-住宅（高层）'!$B$63:$M$63</definedName>
    <definedName name="住宅主力户型面积" localSheetId="36">'不动产比较法-住宅（联排）'!$B$120:$M$120</definedName>
    <definedName name="住宅主力户型面积">'不动产比较法-住宅（高层）'!$B$120:$M$120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G6" i="1" l="1"/>
  <c r="G7" i="1"/>
  <c r="G9" i="1"/>
  <c r="G10" i="1"/>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F6" i="15"/>
  <c r="F8" i="15"/>
  <c r="F7" i="15"/>
  <c r="F9" i="15"/>
  <c r="C6" i="15"/>
  <c r="N4" i="65"/>
  <c r="C4" i="65"/>
  <c r="B39" i="1"/>
  <c r="F11" i="15"/>
  <c r="C10" i="15"/>
  <c r="C5" i="15"/>
  <c r="C32" i="15"/>
  <c r="C33" i="15"/>
  <c r="F35" i="15"/>
  <c r="C34" i="15"/>
  <c r="C31" i="15"/>
  <c r="M14" i="1"/>
  <c r="T8" i="1"/>
  <c r="M8" i="1"/>
  <c r="C14" i="15"/>
  <c r="C15" i="15"/>
  <c r="F16" i="15"/>
  <c r="C16" i="15"/>
  <c r="F43" i="15"/>
  <c r="C17" i="15"/>
  <c r="C18" i="15"/>
  <c r="C19" i="15"/>
  <c r="F20"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E10" i="12"/>
  <c r="F6" i="70"/>
  <c r="F8" i="70"/>
  <c r="F7" i="70"/>
  <c r="F9" i="70"/>
  <c r="C6" i="70"/>
  <c r="F11" i="70"/>
  <c r="C10" i="70"/>
  <c r="C5" i="70"/>
  <c r="C32" i="70"/>
  <c r="C33" i="70"/>
  <c r="F35" i="70"/>
  <c r="C34" i="70"/>
  <c r="C31" i="70"/>
  <c r="M9" i="1"/>
  <c r="T9" i="1"/>
  <c r="C14" i="70"/>
  <c r="C15" i="70"/>
  <c r="F16" i="70"/>
  <c r="C16" i="70"/>
  <c r="F43" i="70"/>
  <c r="C17" i="70"/>
  <c r="C18" i="70"/>
  <c r="C19" i="70"/>
  <c r="F20" i="70"/>
  <c r="C20" i="70"/>
  <c r="F24" i="70"/>
  <c r="C23" i="70"/>
  <c r="F26" i="70"/>
  <c r="C26" i="70"/>
  <c r="C24" i="70"/>
  <c r="C27" i="70"/>
  <c r="C29" i="70"/>
  <c r="F36" i="70"/>
  <c r="C36" i="70"/>
  <c r="F13" i="70"/>
  <c r="C13" i="70"/>
  <c r="F37" i="70"/>
  <c r="C37" i="70"/>
  <c r="F38" i="70"/>
  <c r="C38" i="70"/>
  <c r="C30" i="70"/>
  <c r="C39" i="70"/>
  <c r="F42" i="70"/>
  <c r="F40" i="70"/>
  <c r="L48" i="70"/>
  <c r="J53" i="70"/>
  <c r="F1" i="70"/>
  <c r="AE9" i="1"/>
  <c r="F41" i="70"/>
  <c r="C40" i="70"/>
  <c r="M6" i="70"/>
  <c r="M8" i="70"/>
  <c r="M7" i="70"/>
  <c r="M9" i="70"/>
  <c r="J6" i="70"/>
  <c r="M11" i="70"/>
  <c r="J10" i="70"/>
  <c r="J5" i="70"/>
  <c r="J26" i="70"/>
  <c r="J29" i="70"/>
  <c r="B2" i="70"/>
  <c r="F10" i="12"/>
  <c r="C6" i="12"/>
  <c r="M10" i="1"/>
  <c r="O10" i="1"/>
  <c r="P10" i="1"/>
  <c r="O9" i="1"/>
  <c r="P9" i="1"/>
  <c r="O14" i="1"/>
  <c r="P14" i="1"/>
  <c r="O8" i="1"/>
  <c r="P8" i="1"/>
  <c r="P16" i="1"/>
  <c r="C13" i="12"/>
  <c r="C14" i="12"/>
  <c r="F15" i="12"/>
  <c r="C15" i="12"/>
  <c r="D16" i="12"/>
  <c r="C16" i="12"/>
  <c r="C17" i="12"/>
  <c r="C18" i="12"/>
  <c r="D19" i="12"/>
  <c r="C19" i="12"/>
  <c r="D21" i="12"/>
  <c r="C21" i="12"/>
  <c r="D22" i="12"/>
  <c r="C22" i="12"/>
  <c r="C20" i="12"/>
  <c r="F23" i="12"/>
  <c r="C23" i="12"/>
  <c r="C24" i="12"/>
  <c r="F26" i="12"/>
  <c r="C28" i="12"/>
  <c r="C26" i="12"/>
  <c r="C29" i="12"/>
  <c r="C31" i="12"/>
  <c r="C30" i="12"/>
  <c r="Q16" i="1"/>
  <c r="F33" i="12"/>
  <c r="C35" i="12"/>
  <c r="C33" i="12"/>
  <c r="C27" i="12"/>
  <c r="D26" i="12"/>
  <c r="C32" i="12"/>
  <c r="D30" i="12"/>
  <c r="C34" i="12"/>
  <c r="D33" i="12"/>
  <c r="C36" i="12"/>
  <c r="B2" i="12"/>
  <c r="D19" i="9"/>
  <c r="G19" i="9"/>
  <c r="K20" i="9"/>
  <c r="D29" i="6"/>
  <c r="D28" i="6"/>
  <c r="D23" i="6"/>
  <c r="D20" i="6"/>
  <c r="D22" i="6"/>
  <c r="D19" i="6"/>
  <c r="I33" i="74"/>
  <c r="I11" i="74"/>
  <c r="E33" i="74"/>
  <c r="E11" i="74"/>
  <c r="G11" i="74"/>
  <c r="G33" i="74"/>
  <c r="I13" i="3"/>
  <c r="BB13" i="3"/>
  <c r="K13" i="3"/>
  <c r="BC13" i="3"/>
  <c r="M13" i="3"/>
  <c r="BD13" i="3"/>
  <c r="O13" i="3"/>
  <c r="BE13" i="3"/>
  <c r="Q13" i="3"/>
  <c r="BF13" i="3"/>
  <c r="BG13" i="3"/>
  <c r="BH13" i="3"/>
  <c r="BI13" i="3"/>
  <c r="BJ13" i="3"/>
  <c r="BK13" i="3"/>
  <c r="BA13" i="3"/>
  <c r="AD13" i="3"/>
  <c r="BM13" i="3"/>
  <c r="BN13" i="3"/>
  <c r="BO13" i="3"/>
  <c r="BP13" i="3"/>
  <c r="BQ13" i="3"/>
  <c r="AN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E3" i="6"/>
  <c r="C33" i="21"/>
  <c r="R67" i="76"/>
  <c r="Q67" i="76"/>
  <c r="Y67" i="76"/>
  <c r="E64" i="76"/>
  <c r="D64" i="76"/>
  <c r="L64" i="76"/>
  <c r="G47" i="74"/>
  <c r="E47" i="74"/>
  <c r="E6" i="75"/>
  <c r="H6" i="75"/>
  <c r="E8" i="75"/>
  <c r="H8" i="75"/>
  <c r="E10" i="75"/>
  <c r="H10" i="75"/>
  <c r="E12" i="75"/>
  <c r="H12" i="75"/>
  <c r="E14" i="75"/>
  <c r="H14" i="75"/>
  <c r="E16" i="75"/>
  <c r="H16" i="75"/>
  <c r="E18" i="75"/>
  <c r="H18" i="75"/>
  <c r="E20" i="75"/>
  <c r="H20" i="75"/>
  <c r="E22" i="75"/>
  <c r="H22" i="75"/>
  <c r="H24" i="75"/>
  <c r="E26" i="75"/>
  <c r="H26" i="75"/>
  <c r="AC5" i="75"/>
  <c r="G28" i="75"/>
  <c r="H28" i="75"/>
  <c r="H5" i="75"/>
  <c r="H57" i="75"/>
  <c r="H49" i="75"/>
  <c r="AB31" i="75"/>
  <c r="AC30" i="75"/>
  <c r="G31" i="75"/>
  <c r="H31" i="75"/>
  <c r="G33" i="75"/>
  <c r="E33" i="75"/>
  <c r="H33" i="75"/>
  <c r="G35" i="75"/>
  <c r="H35" i="75"/>
  <c r="G37" i="75"/>
  <c r="H37" i="75"/>
  <c r="H30" i="75"/>
  <c r="H50" i="75"/>
  <c r="H39" i="75"/>
  <c r="H51" i="75"/>
  <c r="H48" i="75"/>
  <c r="I6" i="75"/>
  <c r="I8" i="75"/>
  <c r="I10" i="75"/>
  <c r="I12" i="75"/>
  <c r="I14" i="75"/>
  <c r="I16" i="75"/>
  <c r="I18" i="75"/>
  <c r="I20" i="75"/>
  <c r="I22" i="75"/>
  <c r="I24" i="75"/>
  <c r="I26" i="75"/>
  <c r="I28" i="75"/>
  <c r="I5" i="75"/>
  <c r="I57" i="75"/>
  <c r="I49" i="75"/>
  <c r="I31" i="75"/>
  <c r="I33" i="75"/>
  <c r="I35" i="75"/>
  <c r="I37" i="75"/>
  <c r="I30" i="75"/>
  <c r="I50" i="75"/>
  <c r="I39" i="75"/>
  <c r="I51" i="75"/>
  <c r="I48" i="75"/>
  <c r="J6" i="75"/>
  <c r="J8" i="75"/>
  <c r="J10" i="75"/>
  <c r="J12" i="75"/>
  <c r="J14" i="75"/>
  <c r="J16" i="75"/>
  <c r="J18" i="75"/>
  <c r="J20" i="75"/>
  <c r="J22" i="75"/>
  <c r="J24" i="75"/>
  <c r="J26" i="75"/>
  <c r="J28" i="75"/>
  <c r="J5" i="75"/>
  <c r="J57" i="75"/>
  <c r="J49" i="75"/>
  <c r="J31" i="75"/>
  <c r="J33" i="75"/>
  <c r="J35" i="75"/>
  <c r="J37" i="75"/>
  <c r="J30" i="75"/>
  <c r="J50" i="75"/>
  <c r="J39" i="75"/>
  <c r="J51" i="75"/>
  <c r="J48" i="75"/>
  <c r="K6" i="75"/>
  <c r="K8" i="75"/>
  <c r="K10" i="75"/>
  <c r="K12" i="75"/>
  <c r="K14" i="75"/>
  <c r="K16" i="75"/>
  <c r="K18" i="75"/>
  <c r="K20" i="75"/>
  <c r="K22" i="75"/>
  <c r="K24" i="75"/>
  <c r="K26" i="75"/>
  <c r="K28" i="75"/>
  <c r="K5" i="75"/>
  <c r="K49" i="75"/>
  <c r="K31" i="75"/>
  <c r="K33" i="75"/>
  <c r="K35" i="75"/>
  <c r="K37" i="75"/>
  <c r="K30" i="75"/>
  <c r="K50" i="75"/>
  <c r="K39" i="75"/>
  <c r="K51" i="75"/>
  <c r="K48" i="75"/>
  <c r="L31" i="75"/>
  <c r="L34" i="75"/>
  <c r="L33" i="75"/>
  <c r="L35" i="75"/>
  <c r="L37" i="75"/>
  <c r="L30" i="75"/>
  <c r="L50" i="75"/>
  <c r="L39" i="75"/>
  <c r="L51" i="75"/>
  <c r="L48" i="75"/>
  <c r="M31" i="75"/>
  <c r="M33" i="75"/>
  <c r="M35" i="75"/>
  <c r="M37" i="75"/>
  <c r="M30" i="75"/>
  <c r="M50" i="75"/>
  <c r="M39" i="75"/>
  <c r="M51" i="75"/>
  <c r="M48" i="75"/>
  <c r="N31" i="75"/>
  <c r="N33" i="75"/>
  <c r="N35" i="75"/>
  <c r="N37" i="75"/>
  <c r="N30" i="75"/>
  <c r="N50" i="75"/>
  <c r="N39" i="75"/>
  <c r="N51" i="75"/>
  <c r="N48" i="75"/>
  <c r="O31" i="75"/>
  <c r="O33" i="75"/>
  <c r="O35" i="75"/>
  <c r="O37" i="75"/>
  <c r="O30" i="75"/>
  <c r="O50" i="75"/>
  <c r="O39" i="75"/>
  <c r="O51" i="75"/>
  <c r="O48" i="75"/>
  <c r="P31" i="75"/>
  <c r="P33" i="75"/>
  <c r="P35" i="75"/>
  <c r="P37" i="75"/>
  <c r="P30" i="75"/>
  <c r="P50" i="75"/>
  <c r="P39" i="75"/>
  <c r="P51" i="75"/>
  <c r="P48" i="75"/>
  <c r="Q31" i="75"/>
  <c r="Q33" i="75"/>
  <c r="Q35" i="75"/>
  <c r="Q37" i="75"/>
  <c r="Q30" i="75"/>
  <c r="Q50" i="75"/>
  <c r="Q39" i="75"/>
  <c r="Q51" i="75"/>
  <c r="Q48" i="75"/>
  <c r="R31" i="75"/>
  <c r="R33" i="75"/>
  <c r="R35" i="75"/>
  <c r="R37" i="75"/>
  <c r="R30" i="75"/>
  <c r="R50" i="75"/>
  <c r="R39" i="75"/>
  <c r="R51" i="75"/>
  <c r="R48" i="75"/>
  <c r="S31" i="75"/>
  <c r="S33" i="75"/>
  <c r="S35" i="75"/>
  <c r="S37" i="75"/>
  <c r="S30" i="75"/>
  <c r="S50" i="75"/>
  <c r="S39" i="75"/>
  <c r="S51" i="75"/>
  <c r="S48" i="75"/>
  <c r="T31" i="75"/>
  <c r="T33" i="75"/>
  <c r="T35" i="75"/>
  <c r="T37" i="75"/>
  <c r="T30" i="75"/>
  <c r="T50" i="75"/>
  <c r="T39" i="75"/>
  <c r="T51" i="75"/>
  <c r="T48" i="75"/>
  <c r="U31" i="75"/>
  <c r="U33" i="75"/>
  <c r="U35" i="75"/>
  <c r="U37" i="75"/>
  <c r="U30" i="75"/>
  <c r="U50" i="75"/>
  <c r="U39" i="75"/>
  <c r="U51" i="75"/>
  <c r="U48" i="75"/>
  <c r="V31" i="75"/>
  <c r="V33" i="75"/>
  <c r="V35" i="75"/>
  <c r="V37" i="75"/>
  <c r="V30" i="75"/>
  <c r="V50" i="75"/>
  <c r="V39" i="75"/>
  <c r="V51" i="75"/>
  <c r="V48" i="75"/>
  <c r="W31" i="75"/>
  <c r="W33" i="75"/>
  <c r="W35" i="75"/>
  <c r="W37" i="75"/>
  <c r="W30" i="75"/>
  <c r="W50" i="75"/>
  <c r="W39" i="75"/>
  <c r="W51" i="75"/>
  <c r="W48" i="75"/>
  <c r="X31" i="75"/>
  <c r="X33" i="75"/>
  <c r="X35" i="75"/>
  <c r="X37" i="75"/>
  <c r="X30" i="75"/>
  <c r="X50" i="75"/>
  <c r="X39" i="75"/>
  <c r="X51" i="75"/>
  <c r="X48" i="75"/>
  <c r="Y31" i="75"/>
  <c r="Y33" i="75"/>
  <c r="Y35" i="75"/>
  <c r="Y37" i="75"/>
  <c r="Y30" i="75"/>
  <c r="Y50" i="75"/>
  <c r="Y39" i="75"/>
  <c r="Y51" i="75"/>
  <c r="Y48" i="75"/>
  <c r="Z31" i="75"/>
  <c r="Z33" i="75"/>
  <c r="Z35" i="75"/>
  <c r="Z37" i="75"/>
  <c r="Z30" i="75"/>
  <c r="Z50" i="75"/>
  <c r="Z39" i="75"/>
  <c r="Z51" i="75"/>
  <c r="Z48" i="75"/>
  <c r="AA31" i="75"/>
  <c r="AA33" i="75"/>
  <c r="AA35" i="75"/>
  <c r="AA37" i="75"/>
  <c r="AA30" i="75"/>
  <c r="AA50" i="75"/>
  <c r="AA39" i="75"/>
  <c r="AA51" i="75"/>
  <c r="AA48" i="75"/>
  <c r="D48" i="75"/>
  <c r="H45" i="75"/>
  <c r="H46" i="75"/>
  <c r="H47" i="75"/>
  <c r="H44" i="75"/>
  <c r="I45" i="75"/>
  <c r="I47" i="75"/>
  <c r="I44" i="75"/>
  <c r="J45" i="75"/>
  <c r="J47" i="75"/>
  <c r="J44" i="75"/>
  <c r="K47" i="75"/>
  <c r="K44" i="75"/>
  <c r="L47" i="75"/>
  <c r="L44" i="75"/>
  <c r="M47" i="75"/>
  <c r="M44" i="75"/>
  <c r="N47" i="75"/>
  <c r="N44" i="75"/>
  <c r="O47" i="75"/>
  <c r="O44" i="75"/>
  <c r="P47" i="75"/>
  <c r="P44" i="75"/>
  <c r="Q47" i="75"/>
  <c r="Q44" i="75"/>
  <c r="R47" i="75"/>
  <c r="R44" i="75"/>
  <c r="S47" i="75"/>
  <c r="S44" i="75"/>
  <c r="T47" i="75"/>
  <c r="T44" i="75"/>
  <c r="U47" i="75"/>
  <c r="U44" i="75"/>
  <c r="V47" i="75"/>
  <c r="V44" i="75"/>
  <c r="W47" i="75"/>
  <c r="W44" i="75"/>
  <c r="X47" i="75"/>
  <c r="X44" i="75"/>
  <c r="Y47" i="75"/>
  <c r="Y44" i="75"/>
  <c r="Z47" i="75"/>
  <c r="Z44" i="75"/>
  <c r="AA47" i="75"/>
  <c r="AA44" i="75"/>
  <c r="D44" i="75"/>
  <c r="D43" i="75"/>
  <c r="D53" i="75"/>
  <c r="H54" i="75"/>
  <c r="I43" i="75"/>
  <c r="I54" i="75"/>
  <c r="J43" i="75"/>
  <c r="J54" i="75"/>
  <c r="K43" i="75"/>
  <c r="K54" i="75"/>
  <c r="L43" i="75"/>
  <c r="L54" i="75"/>
  <c r="M43" i="75"/>
  <c r="M54" i="75"/>
  <c r="N43" i="75"/>
  <c r="N54" i="75"/>
  <c r="O43" i="75"/>
  <c r="O54" i="75"/>
  <c r="P43" i="75"/>
  <c r="P54" i="75"/>
  <c r="Q43" i="75"/>
  <c r="Q54" i="75"/>
  <c r="R43" i="75"/>
  <c r="R54" i="75"/>
  <c r="S43" i="75"/>
  <c r="S54" i="75"/>
  <c r="T43" i="75"/>
  <c r="T54" i="75"/>
  <c r="U43" i="75"/>
  <c r="U54" i="75"/>
  <c r="V43" i="75"/>
  <c r="V54" i="75"/>
  <c r="W43" i="75"/>
  <c r="W54" i="75"/>
  <c r="X43" i="75"/>
  <c r="X54" i="75"/>
  <c r="Y43" i="75"/>
  <c r="Y54" i="75"/>
  <c r="Z43" i="75"/>
  <c r="Z54" i="75"/>
  <c r="AA43" i="75"/>
  <c r="AA54" i="75"/>
  <c r="D54" i="75"/>
  <c r="H55" i="75"/>
  <c r="I55" i="75"/>
  <c r="J55" i="75"/>
  <c r="K55" i="75"/>
  <c r="L55" i="75"/>
  <c r="M55" i="75"/>
  <c r="N55" i="75"/>
  <c r="O55" i="75"/>
  <c r="P55" i="75"/>
  <c r="Q55" i="75"/>
  <c r="R55" i="75"/>
  <c r="S55" i="75"/>
  <c r="T55" i="75"/>
  <c r="U55" i="75"/>
  <c r="V55" i="75"/>
  <c r="W55" i="75"/>
  <c r="X55" i="75"/>
  <c r="Y55" i="75"/>
  <c r="Z55" i="75"/>
  <c r="AA55" i="75"/>
  <c r="D55" i="75"/>
  <c r="D52" i="75"/>
  <c r="D58" i="75"/>
  <c r="N57" i="75"/>
  <c r="M6" i="75"/>
  <c r="M8" i="75"/>
  <c r="M10" i="75"/>
  <c r="M12" i="75"/>
  <c r="M20" i="75"/>
  <c r="M22" i="75"/>
  <c r="M57" i="75"/>
  <c r="L6" i="75"/>
  <c r="L8" i="75"/>
  <c r="L10" i="75"/>
  <c r="L12" i="75"/>
  <c r="L20" i="75"/>
  <c r="L22" i="75"/>
  <c r="L57" i="75"/>
  <c r="K57" i="75"/>
  <c r="D57" i="75"/>
  <c r="AA56" i="75"/>
  <c r="Z56" i="75"/>
  <c r="Y56" i="75"/>
  <c r="X56" i="75"/>
  <c r="W56" i="75"/>
  <c r="V56" i="75"/>
  <c r="U56" i="75"/>
  <c r="T56" i="75"/>
  <c r="S56" i="75"/>
  <c r="R56" i="75"/>
  <c r="Q56" i="75"/>
  <c r="P56" i="75"/>
  <c r="O56" i="75"/>
  <c r="N56" i="75"/>
  <c r="M56" i="75"/>
  <c r="L56" i="75"/>
  <c r="K56" i="75"/>
  <c r="J56" i="75"/>
  <c r="I56" i="75"/>
  <c r="H56" i="75"/>
  <c r="AA52" i="75"/>
  <c r="Z52" i="75"/>
  <c r="Y52" i="75"/>
  <c r="X52" i="75"/>
  <c r="W52" i="75"/>
  <c r="V52" i="75"/>
  <c r="U52" i="75"/>
  <c r="T52" i="75"/>
  <c r="S52" i="75"/>
  <c r="R52" i="75"/>
  <c r="Q52" i="75"/>
  <c r="P52" i="75"/>
  <c r="O52" i="75"/>
  <c r="N52" i="75"/>
  <c r="M52" i="75"/>
  <c r="L52" i="75"/>
  <c r="K52" i="75"/>
  <c r="J52" i="75"/>
  <c r="I52" i="75"/>
  <c r="H52" i="75"/>
  <c r="AC44" i="75"/>
  <c r="H4" i="75"/>
  <c r="I4" i="75"/>
  <c r="J4" i="75"/>
  <c r="K4" i="75"/>
  <c r="L14" i="75"/>
  <c r="L16" i="75"/>
  <c r="L18" i="75"/>
  <c r="L24" i="75"/>
  <c r="L26" i="75"/>
  <c r="L28" i="75"/>
  <c r="L5" i="75"/>
  <c r="L4" i="75"/>
  <c r="M14" i="75"/>
  <c r="M16" i="75"/>
  <c r="M18" i="75"/>
  <c r="M24" i="75"/>
  <c r="M26" i="75"/>
  <c r="M28" i="75"/>
  <c r="M5" i="75"/>
  <c r="M4" i="75"/>
  <c r="N5" i="75"/>
  <c r="N4" i="75"/>
  <c r="O5" i="75"/>
  <c r="O4" i="75"/>
  <c r="P5" i="75"/>
  <c r="P4" i="75"/>
  <c r="Q5" i="75"/>
  <c r="Q4" i="75"/>
  <c r="R5" i="75"/>
  <c r="R4" i="75"/>
  <c r="S5" i="75"/>
  <c r="S4" i="75"/>
  <c r="T5" i="75"/>
  <c r="T4" i="75"/>
  <c r="U5" i="75"/>
  <c r="U4" i="75"/>
  <c r="V5" i="75"/>
  <c r="V4" i="75"/>
  <c r="W5" i="75"/>
  <c r="W4" i="75"/>
  <c r="X5" i="75"/>
  <c r="X4" i="75"/>
  <c r="Y5" i="75"/>
  <c r="Y4" i="75"/>
  <c r="Z5" i="75"/>
  <c r="Z4" i="75"/>
  <c r="AA5" i="75"/>
  <c r="AA4" i="75"/>
  <c r="D4" i="75"/>
  <c r="AD43" i="75"/>
  <c r="D39" i="75"/>
  <c r="D37" i="75"/>
  <c r="D35" i="75"/>
  <c r="D33" i="75"/>
  <c r="D31" i="75"/>
  <c r="C31" i="75"/>
  <c r="D30" i="75"/>
  <c r="D28" i="75"/>
  <c r="D26" i="75"/>
  <c r="C26" i="75"/>
  <c r="D24" i="75"/>
  <c r="C24" i="75"/>
  <c r="D22" i="75"/>
  <c r="C22" i="75"/>
  <c r="D20" i="75"/>
  <c r="C20" i="75"/>
  <c r="D18" i="75"/>
  <c r="C18" i="75"/>
  <c r="D16" i="75"/>
  <c r="C16" i="75"/>
  <c r="D14" i="75"/>
  <c r="C14" i="75"/>
  <c r="D12" i="75"/>
  <c r="C12" i="75"/>
  <c r="D10" i="75"/>
  <c r="C10" i="75"/>
  <c r="D8" i="75"/>
  <c r="C8" i="75"/>
  <c r="D6" i="75"/>
  <c r="C6" i="75"/>
  <c r="E5" i="75"/>
  <c r="D5" i="75"/>
  <c r="C33" i="74"/>
  <c r="A6" i="1"/>
  <c r="A7" i="1"/>
  <c r="A8" i="1"/>
  <c r="G1" i="15"/>
  <c r="F21" i="6"/>
  <c r="E21" i="6"/>
  <c r="K8" i="1"/>
  <c r="D3" i="4"/>
  <c r="C1" i="65"/>
  <c r="N1" i="65"/>
  <c r="B43" i="1"/>
  <c r="B41" i="1"/>
  <c r="F32" i="15"/>
  <c r="F33" i="15"/>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BQ5" i="3"/>
  <c r="BS5" i="3"/>
  <c r="F28" i="6"/>
  <c r="BR5" i="3"/>
  <c r="BT5" i="3"/>
  <c r="G28" i="6"/>
  <c r="E28" i="6"/>
  <c r="F19" i="6"/>
  <c r="E19" i="6"/>
  <c r="F20" i="6"/>
  <c r="E20" i="6"/>
  <c r="G22" i="6"/>
  <c r="E22" i="6"/>
  <c r="F23" i="6"/>
  <c r="E23" i="6"/>
  <c r="E24" i="6"/>
  <c r="E25" i="6"/>
  <c r="E26" i="6"/>
  <c r="BA5" i="3"/>
  <c r="E27" i="6"/>
  <c r="K21" i="6"/>
  <c r="L21" i="6"/>
  <c r="M21" i="6"/>
  <c r="I21" i="6"/>
  <c r="H21" i="6"/>
  <c r="R21" i="6"/>
  <c r="R8" i="1"/>
  <c r="B52" i="1"/>
  <c r="F34" i="15"/>
  <c r="T4" i="1"/>
  <c r="K14" i="1"/>
  <c r="S8" i="1"/>
  <c r="K19" i="6"/>
  <c r="S6" i="1"/>
  <c r="K20" i="6"/>
  <c r="S7" i="1"/>
  <c r="A9" i="1"/>
  <c r="K22" i="6"/>
  <c r="S9" i="1"/>
  <c r="A10" i="1"/>
  <c r="K23" i="6"/>
  <c r="S10" i="1"/>
  <c r="A11" i="1"/>
  <c r="S11" i="1"/>
  <c r="A12" i="1"/>
  <c r="S12" i="1"/>
  <c r="A13" i="1"/>
  <c r="S13" i="1"/>
  <c r="S16" i="1"/>
  <c r="F15" i="15"/>
  <c r="F17" i="15"/>
  <c r="F18" i="15"/>
  <c r="H1" i="65"/>
  <c r="B22" i="1"/>
  <c r="C2" i="65"/>
  <c r="I1" i="65"/>
  <c r="F23" i="15"/>
  <c r="F21" i="15"/>
  <c r="F28" i="15"/>
  <c r="B2" i="1"/>
  <c r="C42" i="1"/>
  <c r="C28" i="15"/>
  <c r="E19" i="4"/>
  <c r="F8" i="1"/>
  <c r="M47" i="15"/>
  <c r="J50" i="15"/>
  <c r="J51" i="15"/>
  <c r="L46" i="15"/>
  <c r="B3" i="15"/>
  <c r="E8" i="12"/>
  <c r="G9" i="12"/>
  <c r="G10" i="12"/>
  <c r="G1" i="70"/>
  <c r="K9" i="1"/>
  <c r="F32" i="70"/>
  <c r="F33" i="70"/>
  <c r="L22" i="6"/>
  <c r="M22" i="6"/>
  <c r="I22" i="6"/>
  <c r="H22" i="6"/>
  <c r="R22" i="6"/>
  <c r="R9" i="1"/>
  <c r="F34" i="70"/>
  <c r="F15" i="70"/>
  <c r="F17" i="70"/>
  <c r="F18" i="70"/>
  <c r="F23" i="70"/>
  <c r="F21" i="70"/>
  <c r="F28" i="70"/>
  <c r="C28" i="70"/>
  <c r="G19" i="4"/>
  <c r="F9" i="1"/>
  <c r="M47" i="70"/>
  <c r="J50" i="70"/>
  <c r="J51" i="70"/>
  <c r="L46" i="70"/>
  <c r="B3" i="70"/>
  <c r="F8" i="12"/>
  <c r="D101" i="74"/>
  <c r="F32" i="74"/>
  <c r="AA32" i="74"/>
  <c r="D123" i="74"/>
  <c r="E123" i="74"/>
  <c r="F42" i="74"/>
  <c r="AA42" i="74"/>
  <c r="F36" i="74"/>
  <c r="AA36" i="74"/>
  <c r="F33" i="74"/>
  <c r="AA33" i="74"/>
  <c r="R47" i="74"/>
  <c r="F35" i="74"/>
  <c r="AA35" i="74"/>
  <c r="BB10" i="3"/>
  <c r="BB5" i="3"/>
  <c r="BC10" i="3"/>
  <c r="BC5" i="3"/>
  <c r="BD10" i="3"/>
  <c r="BE10" i="3"/>
  <c r="BF10" i="3"/>
  <c r="BG10" i="3"/>
  <c r="BH10" i="3"/>
  <c r="BI10" i="3"/>
  <c r="BJ10" i="3"/>
  <c r="BK10" i="3"/>
  <c r="BD5" i="3"/>
  <c r="BE5" i="3"/>
  <c r="BF5" i="3"/>
  <c r="BG5" i="3"/>
  <c r="BH5" i="3"/>
  <c r="BI5" i="3"/>
  <c r="BJ5" i="3"/>
  <c r="BK5" i="3"/>
  <c r="E8" i="6"/>
  <c r="F27" i="6"/>
  <c r="BM5" i="3"/>
  <c r="BO5" i="3"/>
  <c r="F29" i="6"/>
  <c r="F30" i="6"/>
  <c r="F31" i="6"/>
  <c r="D24" i="6"/>
  <c r="D25" i="6"/>
  <c r="D26" i="6"/>
  <c r="D27" i="6"/>
  <c r="BN5" i="3"/>
  <c r="BP5" i="3"/>
  <c r="G29" i="6"/>
  <c r="E29" i="6"/>
  <c r="D30" i="6"/>
  <c r="D31" i="6"/>
  <c r="I6" i="6"/>
  <c r="C11" i="74"/>
  <c r="F11" i="74"/>
  <c r="AA11" i="74"/>
  <c r="C7" i="74"/>
  <c r="C58" i="74"/>
  <c r="D58" i="74"/>
  <c r="E58" i="74"/>
  <c r="F58" i="74"/>
  <c r="G58" i="74"/>
  <c r="H58" i="74"/>
  <c r="I58" i="74"/>
  <c r="J58" i="74"/>
  <c r="K58" i="74"/>
  <c r="L58" i="74"/>
  <c r="M58" i="74"/>
  <c r="N58" i="74"/>
  <c r="O58" i="74"/>
  <c r="F7" i="74"/>
  <c r="AA7" i="74"/>
  <c r="F8" i="74"/>
  <c r="AA8" i="74"/>
  <c r="C63" i="74"/>
  <c r="F9" i="74"/>
  <c r="AA9" i="74"/>
  <c r="F10" i="74"/>
  <c r="AA10" i="74"/>
  <c r="B70" i="74"/>
  <c r="F12" i="74"/>
  <c r="AA12" i="74"/>
  <c r="B72" i="74"/>
  <c r="F13" i="74"/>
  <c r="AA13" i="74"/>
  <c r="B74" i="74"/>
  <c r="F14" i="74"/>
  <c r="AA14" i="74"/>
  <c r="D77" i="74"/>
  <c r="E77" i="74"/>
  <c r="F15" i="74"/>
  <c r="AA15" i="74"/>
  <c r="D79" i="74"/>
  <c r="E79" i="74"/>
  <c r="F17" i="74"/>
  <c r="AA17" i="74"/>
  <c r="D81" i="74"/>
  <c r="E81" i="74"/>
  <c r="F19" i="74"/>
  <c r="AA19" i="74"/>
  <c r="F21" i="74"/>
  <c r="AA21" i="74"/>
  <c r="D85" i="74"/>
  <c r="F23" i="74"/>
  <c r="AA23" i="74"/>
  <c r="F25" i="74"/>
  <c r="AA25" i="74"/>
  <c r="F26" i="74"/>
  <c r="AA26" i="74"/>
  <c r="B90" i="74"/>
  <c r="F27" i="74"/>
  <c r="AA27" i="74"/>
  <c r="B92" i="74"/>
  <c r="F28" i="74"/>
  <c r="AA28" i="74"/>
  <c r="B94" i="74"/>
  <c r="F29" i="74"/>
  <c r="AA29" i="74"/>
  <c r="B96" i="74"/>
  <c r="F30" i="74"/>
  <c r="AA30" i="74"/>
  <c r="B98" i="74"/>
  <c r="F31" i="74"/>
  <c r="AA31" i="74"/>
  <c r="F34" i="74"/>
  <c r="AA34" i="74"/>
  <c r="D113" i="74"/>
  <c r="E113" i="74"/>
  <c r="F113" i="74"/>
  <c r="G113" i="74"/>
  <c r="F37" i="74"/>
  <c r="AA37" i="74"/>
  <c r="F38" i="74"/>
  <c r="AA38" i="74"/>
  <c r="F39" i="74"/>
  <c r="AA39" i="74"/>
  <c r="F40" i="74"/>
  <c r="AA40" i="74"/>
  <c r="F41" i="74"/>
  <c r="AA41" i="74"/>
  <c r="D125" i="74"/>
  <c r="F43" i="74"/>
  <c r="AA43" i="74"/>
  <c r="B126" i="74"/>
  <c r="F44" i="74"/>
  <c r="AA44" i="74"/>
  <c r="B128" i="74"/>
  <c r="F45" i="74"/>
  <c r="AA45" i="74"/>
  <c r="B130" i="74"/>
  <c r="F46" i="74"/>
  <c r="AA46" i="74"/>
  <c r="R48" i="74"/>
  <c r="H32" i="74"/>
  <c r="AB32" i="74"/>
  <c r="H42" i="74"/>
  <c r="AB42" i="74"/>
  <c r="H36" i="74"/>
  <c r="AB36" i="74"/>
  <c r="H33" i="74"/>
  <c r="AB33" i="74"/>
  <c r="T47" i="74"/>
  <c r="H35" i="74"/>
  <c r="AB35" i="74"/>
  <c r="H11" i="74"/>
  <c r="AB11" i="74"/>
  <c r="G7" i="74"/>
  <c r="H7" i="74"/>
  <c r="AB7" i="74"/>
  <c r="H8" i="74"/>
  <c r="AB8" i="74"/>
  <c r="H9" i="74"/>
  <c r="AB9" i="74"/>
  <c r="H10" i="74"/>
  <c r="AB10" i="74"/>
  <c r="H12" i="74"/>
  <c r="AB12" i="74"/>
  <c r="H13" i="74"/>
  <c r="AB13" i="74"/>
  <c r="H14" i="74"/>
  <c r="AB14" i="74"/>
  <c r="H15" i="74"/>
  <c r="AB15" i="74"/>
  <c r="H17" i="74"/>
  <c r="AB17" i="74"/>
  <c r="H19" i="74"/>
  <c r="AB19" i="74"/>
  <c r="H21" i="74"/>
  <c r="AB21" i="74"/>
  <c r="H23" i="74"/>
  <c r="AB23" i="74"/>
  <c r="H25" i="74"/>
  <c r="AB25" i="74"/>
  <c r="H26" i="74"/>
  <c r="AB26" i="74"/>
  <c r="H27" i="74"/>
  <c r="AB27" i="74"/>
  <c r="H28" i="74"/>
  <c r="AB28" i="74"/>
  <c r="H29" i="74"/>
  <c r="AB29" i="74"/>
  <c r="H30" i="74"/>
  <c r="AB30" i="74"/>
  <c r="H31" i="74"/>
  <c r="AB31" i="74"/>
  <c r="H34" i="74"/>
  <c r="AB34" i="74"/>
  <c r="H37" i="74"/>
  <c r="AB37" i="74"/>
  <c r="H38" i="74"/>
  <c r="AB38" i="74"/>
  <c r="H39" i="74"/>
  <c r="AB39" i="74"/>
  <c r="H40" i="74"/>
  <c r="AB40" i="74"/>
  <c r="H41" i="74"/>
  <c r="AB41" i="74"/>
  <c r="H43" i="74"/>
  <c r="AB43" i="74"/>
  <c r="H44" i="74"/>
  <c r="AB44" i="74"/>
  <c r="H45" i="74"/>
  <c r="AB45" i="74"/>
  <c r="H46" i="74"/>
  <c r="AB46" i="74"/>
  <c r="T48" i="74"/>
  <c r="J32" i="74"/>
  <c r="AC32" i="74"/>
  <c r="J42" i="74"/>
  <c r="AC42" i="74"/>
  <c r="J36" i="74"/>
  <c r="AC36" i="74"/>
  <c r="J33" i="74"/>
  <c r="AC33" i="74"/>
  <c r="V47" i="74"/>
  <c r="D108" i="74"/>
  <c r="J35" i="74"/>
  <c r="AC35" i="74"/>
  <c r="J11" i="74"/>
  <c r="AC11" i="74"/>
  <c r="J7" i="74"/>
  <c r="AC7" i="74"/>
  <c r="J8" i="74"/>
  <c r="AC8" i="74"/>
  <c r="J9" i="74"/>
  <c r="AC9" i="74"/>
  <c r="J10" i="74"/>
  <c r="AC10" i="74"/>
  <c r="J12" i="74"/>
  <c r="AC12" i="74"/>
  <c r="J13" i="74"/>
  <c r="AC13" i="74"/>
  <c r="J14" i="74"/>
  <c r="AC14" i="74"/>
  <c r="J15" i="74"/>
  <c r="AC15" i="74"/>
  <c r="J17" i="74"/>
  <c r="AC17" i="74"/>
  <c r="J19" i="74"/>
  <c r="AC19" i="74"/>
  <c r="J21" i="74"/>
  <c r="AC21" i="74"/>
  <c r="J23" i="74"/>
  <c r="AC23" i="74"/>
  <c r="J25" i="74"/>
  <c r="AC25" i="74"/>
  <c r="J26" i="74"/>
  <c r="AC26" i="74"/>
  <c r="J27" i="74"/>
  <c r="AC27" i="74"/>
  <c r="J28" i="74"/>
  <c r="AC28" i="74"/>
  <c r="J29" i="74"/>
  <c r="AC29" i="74"/>
  <c r="J30" i="74"/>
  <c r="AC30" i="74"/>
  <c r="J31" i="74"/>
  <c r="AC31" i="74"/>
  <c r="J34" i="74"/>
  <c r="AC34" i="74"/>
  <c r="J37" i="74"/>
  <c r="AC37" i="74"/>
  <c r="J38" i="74"/>
  <c r="AC38" i="74"/>
  <c r="J39" i="74"/>
  <c r="AC39" i="74"/>
  <c r="J40" i="74"/>
  <c r="AC40" i="74"/>
  <c r="J41" i="74"/>
  <c r="AC41" i="74"/>
  <c r="J43" i="74"/>
  <c r="AC43" i="74"/>
  <c r="J44" i="74"/>
  <c r="AC44" i="74"/>
  <c r="J45" i="74"/>
  <c r="AC45" i="74"/>
  <c r="J46" i="74"/>
  <c r="AC46" i="74"/>
  <c r="V48" i="74"/>
  <c r="R49" i="74"/>
  <c r="C49" i="74"/>
  <c r="B3" i="74"/>
  <c r="D3" i="74"/>
  <c r="B2" i="74"/>
  <c r="D10" i="12"/>
  <c r="D8" i="12"/>
  <c r="C11" i="21"/>
  <c r="F11" i="21"/>
  <c r="AA11" i="21"/>
  <c r="F33" i="21"/>
  <c r="AA33" i="21"/>
  <c r="D101" i="21"/>
  <c r="F32" i="21"/>
  <c r="AA32" i="21"/>
  <c r="R47" i="21"/>
  <c r="C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7" i="21"/>
  <c r="E77" i="21"/>
  <c r="F15" i="21"/>
  <c r="AA15" i="21"/>
  <c r="D79" i="21"/>
  <c r="E79" i="21"/>
  <c r="F17" i="21"/>
  <c r="AA17" i="21"/>
  <c r="D81" i="21"/>
  <c r="E81" i="21"/>
  <c r="F19" i="21"/>
  <c r="AA19"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4" i="21"/>
  <c r="AA34" i="21"/>
  <c r="F35" i="21"/>
  <c r="AA35" i="21"/>
  <c r="F36" i="21"/>
  <c r="AA36" i="21"/>
  <c r="D113" i="21"/>
  <c r="E113" i="21"/>
  <c r="F113" i="21"/>
  <c r="G113" i="21"/>
  <c r="F37" i="21"/>
  <c r="AA37" i="21"/>
  <c r="F38" i="21"/>
  <c r="AA38" i="21"/>
  <c r="F39" i="21"/>
  <c r="AA39" i="21"/>
  <c r="F40" i="21"/>
  <c r="AA40" i="21"/>
  <c r="F41" i="21"/>
  <c r="AA41" i="21"/>
  <c r="F42" i="21"/>
  <c r="AA42" i="21"/>
  <c r="D125" i="21"/>
  <c r="F43" i="21"/>
  <c r="AA43" i="21"/>
  <c r="B126" i="21"/>
  <c r="F44" i="21"/>
  <c r="AA44" i="21"/>
  <c r="B128" i="21"/>
  <c r="F45" i="21"/>
  <c r="AA45" i="21"/>
  <c r="B130" i="21"/>
  <c r="F46" i="21"/>
  <c r="AA46" i="21"/>
  <c r="R48" i="21"/>
  <c r="H33" i="21"/>
  <c r="AB33" i="21"/>
  <c r="H11" i="21"/>
  <c r="AB11" i="21"/>
  <c r="H32" i="21"/>
  <c r="AB32" i="21"/>
  <c r="T47" i="21"/>
  <c r="G7" i="21"/>
  <c r="H7" i="21"/>
  <c r="AB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J33" i="21"/>
  <c r="AC33" i="21"/>
  <c r="J11" i="21"/>
  <c r="AC11" i="21"/>
  <c r="J32" i="21"/>
  <c r="AC32" i="21"/>
  <c r="V47" i="21"/>
  <c r="J7" i="21"/>
  <c r="AC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D3" i="21"/>
  <c r="B2" i="21"/>
  <c r="C10" i="12"/>
  <c r="C8" i="12"/>
  <c r="J140" i="74"/>
  <c r="C145" i="74"/>
  <c r="K139" i="74"/>
  <c r="K145" i="74"/>
  <c r="K144" i="74"/>
  <c r="K143" i="74"/>
  <c r="J142" i="74"/>
  <c r="K141" i="74"/>
  <c r="E125" i="74"/>
  <c r="F125" i="74"/>
  <c r="G125" i="74"/>
  <c r="F123" i="74"/>
  <c r="G123" i="74"/>
  <c r="H123" i="74"/>
  <c r="I123" i="74"/>
  <c r="J123" i="74"/>
  <c r="K123" i="74"/>
  <c r="L123" i="74"/>
  <c r="M123" i="74"/>
  <c r="D119" i="74"/>
  <c r="E119" i="74"/>
  <c r="F119" i="74"/>
  <c r="G119" i="74"/>
  <c r="H119" i="74"/>
  <c r="I119" i="74"/>
  <c r="J119" i="74"/>
  <c r="K119" i="74"/>
  <c r="L119" i="74"/>
  <c r="M119" i="74"/>
  <c r="D117" i="74"/>
  <c r="E117" i="74"/>
  <c r="F117" i="74"/>
  <c r="G117" i="74"/>
  <c r="D115" i="74"/>
  <c r="E115" i="74"/>
  <c r="F115" i="74"/>
  <c r="G115" i="74"/>
  <c r="H115" i="74"/>
  <c r="I115" i="74"/>
  <c r="J115" i="74"/>
  <c r="K115" i="74"/>
  <c r="L115" i="74"/>
  <c r="M115" i="74"/>
  <c r="H113" i="74"/>
  <c r="H111" i="74"/>
  <c r="G111" i="74"/>
  <c r="F111" i="74"/>
  <c r="E111" i="74"/>
  <c r="D111" i="74"/>
  <c r="C111" i="74"/>
  <c r="D110" i="74"/>
  <c r="E110" i="74"/>
  <c r="F110" i="74"/>
  <c r="G110" i="74"/>
  <c r="H110" i="74"/>
  <c r="I110" i="74"/>
  <c r="J110" i="74"/>
  <c r="K110" i="74"/>
  <c r="L110" i="74"/>
  <c r="M110" i="74"/>
  <c r="E108" i="74"/>
  <c r="F108" i="74"/>
  <c r="G108" i="74"/>
  <c r="H108" i="74"/>
  <c r="I108" i="74"/>
  <c r="J108" i="74"/>
  <c r="K108" i="74"/>
  <c r="L108" i="74"/>
  <c r="M108" i="74"/>
  <c r="D106" i="74"/>
  <c r="E106" i="74"/>
  <c r="F106" i="74"/>
  <c r="G106" i="74"/>
  <c r="H106" i="74"/>
  <c r="I106" i="74"/>
  <c r="J106" i="74"/>
  <c r="K106" i="74"/>
  <c r="L106" i="74"/>
  <c r="M106" i="74"/>
  <c r="M102" i="74"/>
  <c r="L102" i="74"/>
  <c r="K102" i="74"/>
  <c r="J102" i="74"/>
  <c r="I102" i="74"/>
  <c r="H102" i="74"/>
  <c r="G102" i="74"/>
  <c r="F102" i="74"/>
  <c r="E102" i="74"/>
  <c r="D102" i="74"/>
  <c r="C102" i="74"/>
  <c r="E101" i="74"/>
  <c r="F101" i="74"/>
  <c r="G101" i="74"/>
  <c r="H101" i="74"/>
  <c r="I101" i="74"/>
  <c r="J101" i="74"/>
  <c r="K101" i="74"/>
  <c r="L101" i="74"/>
  <c r="M101" i="74"/>
  <c r="D89" i="74"/>
  <c r="E89" i="74"/>
  <c r="F89" i="74"/>
  <c r="G89" i="74"/>
  <c r="H89" i="74"/>
  <c r="I89" i="74"/>
  <c r="J89" i="74"/>
  <c r="K89" i="74"/>
  <c r="L89" i="74"/>
  <c r="M89" i="74"/>
  <c r="M87" i="74"/>
  <c r="L87" i="74"/>
  <c r="K87" i="74"/>
  <c r="J87" i="74"/>
  <c r="I87" i="74"/>
  <c r="H87" i="74"/>
  <c r="G87" i="74"/>
  <c r="F87" i="74"/>
  <c r="E87" i="74"/>
  <c r="D87" i="74"/>
  <c r="E85" i="74"/>
  <c r="F85" i="74"/>
  <c r="G85" i="74"/>
  <c r="D83" i="74"/>
  <c r="E83" i="74"/>
  <c r="F83" i="74"/>
  <c r="G83" i="74"/>
  <c r="F81" i="74"/>
  <c r="G81" i="74"/>
  <c r="F79" i="74"/>
  <c r="G79" i="74"/>
  <c r="F77" i="74"/>
  <c r="G77" i="74"/>
  <c r="D69" i="74"/>
  <c r="E69" i="74"/>
  <c r="F69" i="74"/>
  <c r="G69" i="74"/>
  <c r="H69" i="74"/>
  <c r="I69" i="74"/>
  <c r="J69" i="74"/>
  <c r="K69" i="74"/>
  <c r="L69" i="74"/>
  <c r="M69" i="74"/>
  <c r="M67" i="74"/>
  <c r="L67" i="74"/>
  <c r="K67" i="74"/>
  <c r="J67" i="74"/>
  <c r="I67" i="74"/>
  <c r="H67" i="74"/>
  <c r="G67" i="74"/>
  <c r="F67" i="74"/>
  <c r="E67" i="74"/>
  <c r="D67" i="74"/>
  <c r="C67" i="74"/>
  <c r="D66" i="74"/>
  <c r="E66" i="74"/>
  <c r="F66" i="74"/>
  <c r="G66" i="74"/>
  <c r="H66" i="74"/>
  <c r="I66" i="74"/>
  <c r="I54" i="74"/>
  <c r="J54" i="74"/>
  <c r="G54" i="74"/>
  <c r="H54" i="74"/>
  <c r="E54" i="74"/>
  <c r="F54" i="74"/>
  <c r="I48" i="74"/>
  <c r="E48" i="74"/>
  <c r="I53" i="74"/>
  <c r="J53" i="74"/>
  <c r="G48" i="74"/>
  <c r="G53" i="74"/>
  <c r="H53" i="74"/>
  <c r="E53" i="74"/>
  <c r="F53" i="74"/>
  <c r="I52" i="74"/>
  <c r="J52" i="74"/>
  <c r="G52" i="74"/>
  <c r="H52" i="74"/>
  <c r="E52" i="74"/>
  <c r="F52" i="74"/>
  <c r="P49" i="74"/>
  <c r="P48" i="74"/>
  <c r="C48" i="74"/>
  <c r="P47" i="74"/>
  <c r="Q46" i="74"/>
  <c r="Z46" i="74"/>
  <c r="W46" i="74"/>
  <c r="U46" i="74"/>
  <c r="S46" i="74"/>
  <c r="Q45" i="74"/>
  <c r="Z45" i="74"/>
  <c r="W45" i="74"/>
  <c r="U45" i="74"/>
  <c r="S45" i="74"/>
  <c r="Q44" i="74"/>
  <c r="Z44" i="74"/>
  <c r="W44" i="74"/>
  <c r="U44" i="74"/>
  <c r="S44" i="74"/>
  <c r="Q43" i="74"/>
  <c r="Z43" i="74"/>
  <c r="W43" i="74"/>
  <c r="U43" i="74"/>
  <c r="S43" i="74"/>
  <c r="Q42" i="74"/>
  <c r="Z42" i="74"/>
  <c r="W42" i="74"/>
  <c r="U42" i="74"/>
  <c r="S42" i="74"/>
  <c r="Q41" i="74"/>
  <c r="Z41" i="74"/>
  <c r="W41" i="74"/>
  <c r="U41" i="74"/>
  <c r="S41" i="74"/>
  <c r="Q40" i="74"/>
  <c r="Z40" i="74"/>
  <c r="W40" i="74"/>
  <c r="U40" i="74"/>
  <c r="S40" i="74"/>
  <c r="Q39" i="74"/>
  <c r="Z39" i="74"/>
  <c r="W39" i="74"/>
  <c r="U39" i="74"/>
  <c r="S39" i="74"/>
  <c r="Q38" i="74"/>
  <c r="Z38" i="74"/>
  <c r="W38" i="74"/>
  <c r="U38" i="74"/>
  <c r="S38" i="74"/>
  <c r="Q37" i="74"/>
  <c r="Z37" i="74"/>
  <c r="W37" i="74"/>
  <c r="U37" i="74"/>
  <c r="S37" i="74"/>
  <c r="Q36" i="74"/>
  <c r="Z36" i="74"/>
  <c r="W36" i="74"/>
  <c r="U36" i="74"/>
  <c r="S36" i="74"/>
  <c r="Q35" i="74"/>
  <c r="Z35" i="74"/>
  <c r="W35" i="74"/>
  <c r="U35" i="74"/>
  <c r="S35" i="74"/>
  <c r="Q34" i="74"/>
  <c r="Z34" i="74"/>
  <c r="W34" i="74"/>
  <c r="U34" i="74"/>
  <c r="S34" i="74"/>
  <c r="Q33" i="74"/>
  <c r="Z33" i="74"/>
  <c r="W33" i="74"/>
  <c r="U33" i="74"/>
  <c r="S33" i="74"/>
  <c r="Q32" i="74"/>
  <c r="Z32" i="74"/>
  <c r="W32" i="74"/>
  <c r="U32" i="74"/>
  <c r="S32" i="74"/>
  <c r="Q31" i="74"/>
  <c r="Z31" i="74"/>
  <c r="W31" i="74"/>
  <c r="U31" i="74"/>
  <c r="S31" i="74"/>
  <c r="Q30" i="74"/>
  <c r="Z30" i="74"/>
  <c r="W30" i="74"/>
  <c r="U30" i="74"/>
  <c r="S30" i="74"/>
  <c r="Q29" i="74"/>
  <c r="Z29" i="74"/>
  <c r="W29" i="74"/>
  <c r="U29" i="74"/>
  <c r="S29" i="74"/>
  <c r="Q28" i="74"/>
  <c r="Z28" i="74"/>
  <c r="W28" i="74"/>
  <c r="U28" i="74"/>
  <c r="S28" i="74"/>
  <c r="Q27" i="74"/>
  <c r="Z27" i="74"/>
  <c r="W27" i="74"/>
  <c r="U27" i="74"/>
  <c r="S27" i="74"/>
  <c r="Q26" i="74"/>
  <c r="Z26" i="74"/>
  <c r="W26" i="74"/>
  <c r="U26" i="74"/>
  <c r="S26" i="74"/>
  <c r="Q25" i="74"/>
  <c r="Z25" i="74"/>
  <c r="W25" i="74"/>
  <c r="U25" i="74"/>
  <c r="S25" i="74"/>
  <c r="Q23" i="74"/>
  <c r="Z23" i="74"/>
  <c r="W23" i="74"/>
  <c r="U23" i="74"/>
  <c r="S23" i="74"/>
  <c r="C23" i="74"/>
  <c r="Q21" i="74"/>
  <c r="Z21" i="74"/>
  <c r="W21" i="74"/>
  <c r="U21" i="74"/>
  <c r="S21" i="74"/>
  <c r="C21" i="74"/>
  <c r="Q19" i="74"/>
  <c r="Z19" i="74"/>
  <c r="W19" i="74"/>
  <c r="U19" i="74"/>
  <c r="S19" i="74"/>
  <c r="C19" i="74"/>
  <c r="Q17" i="74"/>
  <c r="Z17" i="74"/>
  <c r="W17" i="74"/>
  <c r="U17" i="74"/>
  <c r="S17" i="74"/>
  <c r="C17" i="74"/>
  <c r="Q15" i="74"/>
  <c r="Z15" i="74"/>
  <c r="W15" i="74"/>
  <c r="U15" i="74"/>
  <c r="S15" i="74"/>
  <c r="C15" i="74"/>
  <c r="Q14" i="74"/>
  <c r="Z14" i="74"/>
  <c r="W14" i="74"/>
  <c r="U14" i="74"/>
  <c r="S14" i="74"/>
  <c r="Q13" i="74"/>
  <c r="Z13" i="74"/>
  <c r="W13" i="74"/>
  <c r="U13" i="74"/>
  <c r="S13" i="74"/>
  <c r="Q12" i="74"/>
  <c r="Z12" i="74"/>
  <c r="W12" i="74"/>
  <c r="U12" i="74"/>
  <c r="S12" i="74"/>
  <c r="Q11" i="74"/>
  <c r="Z11" i="74"/>
  <c r="W11" i="74"/>
  <c r="U11" i="74"/>
  <c r="S11" i="74"/>
  <c r="Q10" i="74"/>
  <c r="Z10" i="74"/>
  <c r="W10" i="74"/>
  <c r="U10" i="74"/>
  <c r="S10" i="74"/>
  <c r="Q9" i="74"/>
  <c r="Z9" i="74"/>
  <c r="W9" i="74"/>
  <c r="U9" i="74"/>
  <c r="S9" i="74"/>
  <c r="W8" i="74"/>
  <c r="U8" i="74"/>
  <c r="S8" i="74"/>
  <c r="W7" i="74"/>
  <c r="U7" i="74"/>
  <c r="S7" i="74"/>
  <c r="D73" i="39"/>
  <c r="E73" i="39"/>
  <c r="F73" i="39"/>
  <c r="G73" i="39"/>
  <c r="H73" i="39"/>
  <c r="I73" i="39"/>
  <c r="J73" i="39"/>
  <c r="K73" i="39"/>
  <c r="L73" i="39"/>
  <c r="M73" i="39"/>
  <c r="N73" i="39"/>
  <c r="I48" i="39"/>
  <c r="G48" i="39"/>
  <c r="E48" i="39"/>
  <c r="I40" i="39"/>
  <c r="G40" i="39"/>
  <c r="E40" i="39"/>
  <c r="C40" i="39"/>
  <c r="C13" i="39"/>
  <c r="C12" i="39"/>
  <c r="E77" i="39"/>
  <c r="D77" i="39"/>
  <c r="C77" i="39"/>
  <c r="I9" i="39"/>
  <c r="G9" i="39"/>
  <c r="E9" i="39"/>
  <c r="I8" i="39"/>
  <c r="G8" i="39"/>
  <c r="E8" i="39"/>
  <c r="I7" i="39"/>
  <c r="G7" i="39"/>
  <c r="E7" i="39"/>
  <c r="I3" i="65"/>
  <c r="Q66" i="70"/>
  <c r="L60" i="70"/>
  <c r="Q67" i="70"/>
  <c r="Q76" i="70"/>
  <c r="D9" i="1"/>
  <c r="L47" i="70"/>
  <c r="L59" i="70"/>
  <c r="Q75" i="70"/>
  <c r="K59" i="70"/>
  <c r="P75" i="70"/>
  <c r="L58" i="70"/>
  <c r="Q74" i="70"/>
  <c r="Q73" i="70"/>
  <c r="J36" i="70"/>
  <c r="Q72" i="70"/>
  <c r="Q71" i="70"/>
  <c r="Q70" i="70"/>
  <c r="F70" i="70"/>
  <c r="F50" i="70"/>
  <c r="F49" i="70"/>
  <c r="C48" i="70"/>
  <c r="C52" i="70"/>
  <c r="C47" i="70"/>
  <c r="F59" i="70"/>
  <c r="C59" i="70"/>
  <c r="D60" i="70"/>
  <c r="F60" i="70"/>
  <c r="C60" i="70"/>
  <c r="F61" i="70"/>
  <c r="F62" i="70"/>
  <c r="C61" i="70"/>
  <c r="C58" i="70"/>
  <c r="C56" i="70"/>
  <c r="F63" i="70"/>
  <c r="C63" i="70"/>
  <c r="C55" i="70"/>
  <c r="F64" i="70"/>
  <c r="C64" i="70"/>
  <c r="F65" i="70"/>
  <c r="C65" i="70"/>
  <c r="C57" i="70"/>
  <c r="C66" i="70"/>
  <c r="F67" i="70"/>
  <c r="F68" i="70"/>
  <c r="C67" i="70"/>
  <c r="C70" i="70"/>
  <c r="Q69" i="70"/>
  <c r="L51" i="70"/>
  <c r="Q68" i="70"/>
  <c r="Q57" i="70"/>
  <c r="Q58" i="70"/>
  <c r="Q63" i="70"/>
  <c r="Q62" i="70"/>
  <c r="P62" i="70"/>
  <c r="Q61" i="70"/>
  <c r="Q60" i="70"/>
  <c r="J57" i="70"/>
  <c r="J55" i="70"/>
  <c r="J58" i="70"/>
  <c r="J59" i="70"/>
  <c r="J60" i="70"/>
  <c r="Q59" i="70"/>
  <c r="F58" i="70"/>
  <c r="L57" i="70"/>
  <c r="L56" i="70"/>
  <c r="Q48" i="70"/>
  <c r="Q49" i="70"/>
  <c r="Q54" i="70"/>
  <c r="I54" i="70"/>
  <c r="Q53" i="70"/>
  <c r="Q52" i="70"/>
  <c r="Q51" i="70"/>
  <c r="Q50" i="70"/>
  <c r="C46" i="70"/>
  <c r="J42" i="70"/>
  <c r="J43" i="70"/>
  <c r="C43" i="70"/>
  <c r="J35" i="70"/>
  <c r="J39" i="70"/>
  <c r="J40" i="70"/>
  <c r="F31" i="70"/>
  <c r="M29" i="70"/>
  <c r="M28" i="70"/>
  <c r="AG9" i="1"/>
  <c r="M27" i="70"/>
  <c r="M26" i="70"/>
  <c r="M18" i="70"/>
  <c r="J18" i="70"/>
  <c r="J19" i="70"/>
  <c r="M20" i="70"/>
  <c r="M21" i="70"/>
  <c r="J20" i="70"/>
  <c r="J17" i="70"/>
  <c r="J14" i="70"/>
  <c r="M22" i="70"/>
  <c r="J22" i="70"/>
  <c r="J15" i="70"/>
  <c r="J13" i="70"/>
  <c r="M23" i="70"/>
  <c r="J23" i="70"/>
  <c r="M24" i="70"/>
  <c r="J24" i="70"/>
  <c r="J16" i="70"/>
  <c r="J25" i="70"/>
  <c r="D24" i="70"/>
  <c r="D23" i="70"/>
  <c r="D22" i="70"/>
  <c r="M19" i="70"/>
  <c r="M17" i="70"/>
  <c r="C7" i="69"/>
  <c r="E7" i="69"/>
  <c r="J7" i="69"/>
  <c r="C8" i="69"/>
  <c r="E8" i="69"/>
  <c r="J8" i="69"/>
  <c r="C9" i="69"/>
  <c r="E9" i="69"/>
  <c r="J9" i="69"/>
  <c r="C10" i="69"/>
  <c r="E10" i="69"/>
  <c r="J10" i="69"/>
  <c r="C11" i="69"/>
  <c r="E11" i="69"/>
  <c r="J11" i="69"/>
  <c r="C12" i="69"/>
  <c r="E12" i="69"/>
  <c r="J12" i="69"/>
  <c r="C13" i="69"/>
  <c r="E13" i="69"/>
  <c r="J13" i="69"/>
  <c r="C14" i="69"/>
  <c r="E14" i="69"/>
  <c r="J14" i="69"/>
  <c r="C17" i="69"/>
  <c r="E17" i="69"/>
  <c r="J17" i="69"/>
  <c r="C18" i="69"/>
  <c r="E18" i="69"/>
  <c r="J18" i="69"/>
  <c r="C19" i="69"/>
  <c r="E19" i="69"/>
  <c r="J19" i="69"/>
  <c r="J5" i="69"/>
  <c r="C61" i="69"/>
  <c r="C31" i="69"/>
  <c r="G31" i="69"/>
  <c r="J2" i="69"/>
  <c r="J31" i="69"/>
  <c r="C32" i="69"/>
  <c r="G32" i="69"/>
  <c r="J32" i="69"/>
  <c r="C33" i="69"/>
  <c r="G33" i="69"/>
  <c r="J33" i="69"/>
  <c r="C34" i="69"/>
  <c r="G34" i="69"/>
  <c r="J34" i="69"/>
  <c r="C35" i="69"/>
  <c r="G35" i="69"/>
  <c r="J35" i="69"/>
  <c r="C36" i="69"/>
  <c r="G36" i="69"/>
  <c r="J36" i="69"/>
  <c r="C37" i="69"/>
  <c r="G37" i="69"/>
  <c r="J37" i="69"/>
  <c r="J30" i="69"/>
  <c r="C39" i="69"/>
  <c r="G39" i="69"/>
  <c r="J39" i="69"/>
  <c r="C40" i="69"/>
  <c r="G40" i="69"/>
  <c r="J40" i="69"/>
  <c r="J38" i="69"/>
  <c r="J29" i="69"/>
  <c r="F47" i="69"/>
  <c r="F46" i="69"/>
  <c r="H46" i="69"/>
  <c r="J46" i="69"/>
  <c r="J4" i="69"/>
  <c r="G52" i="69"/>
  <c r="G53" i="69"/>
  <c r="G57" i="69"/>
  <c r="G51" i="69"/>
  <c r="H51" i="69"/>
  <c r="J51" i="69"/>
  <c r="C60" i="69"/>
  <c r="G60" i="69"/>
  <c r="J60" i="69"/>
  <c r="G61" i="69"/>
  <c r="J61" i="69"/>
  <c r="J62" i="69"/>
  <c r="C63" i="69"/>
  <c r="G63" i="69"/>
  <c r="J63" i="69"/>
  <c r="C64" i="69"/>
  <c r="G64" i="69"/>
  <c r="J64" i="69"/>
  <c r="C65" i="69"/>
  <c r="G65" i="69"/>
  <c r="J65" i="69"/>
  <c r="J66" i="69"/>
  <c r="J67" i="69"/>
  <c r="C15" i="69"/>
  <c r="E15" i="69"/>
  <c r="C16" i="69"/>
  <c r="E16" i="69"/>
  <c r="E6" i="69"/>
  <c r="E5" i="69"/>
  <c r="H5" i="69"/>
  <c r="E23" i="69"/>
  <c r="E24" i="69"/>
  <c r="E25" i="69"/>
  <c r="E26" i="69"/>
  <c r="E27" i="69"/>
  <c r="E22" i="69"/>
  <c r="H22" i="69"/>
  <c r="G30" i="69"/>
  <c r="G41" i="69"/>
  <c r="G42" i="69"/>
  <c r="G43" i="69"/>
  <c r="G44" i="69"/>
  <c r="G45" i="69"/>
  <c r="G38" i="69"/>
  <c r="G29" i="69"/>
  <c r="H29" i="69"/>
  <c r="H4" i="69"/>
  <c r="C68" i="69"/>
  <c r="G68" i="69"/>
  <c r="J68" i="69"/>
  <c r="C69" i="69"/>
  <c r="G69" i="69"/>
  <c r="J69" i="69"/>
  <c r="J70" i="69"/>
  <c r="J71" i="69"/>
  <c r="C72" i="69"/>
  <c r="G72" i="69"/>
  <c r="J72" i="69"/>
  <c r="J59" i="69"/>
  <c r="C79" i="69"/>
  <c r="G79" i="69"/>
  <c r="J79" i="69"/>
  <c r="C80" i="69"/>
  <c r="G80" i="69"/>
  <c r="J80" i="69"/>
  <c r="C81" i="69"/>
  <c r="G81" i="69"/>
  <c r="J81" i="69"/>
  <c r="C82" i="69"/>
  <c r="G82" i="69"/>
  <c r="J82" i="69"/>
  <c r="J78" i="69"/>
  <c r="C87" i="69"/>
  <c r="G87" i="69"/>
  <c r="J87" i="69"/>
  <c r="C88" i="69"/>
  <c r="G88" i="69"/>
  <c r="J88" i="69"/>
  <c r="C89" i="69"/>
  <c r="G89" i="69"/>
  <c r="J89" i="69"/>
  <c r="C90" i="69"/>
  <c r="G90" i="69"/>
  <c r="J90" i="69"/>
  <c r="C91" i="69"/>
  <c r="G91" i="69"/>
  <c r="J91" i="69"/>
  <c r="J86" i="69"/>
  <c r="J92" i="69"/>
  <c r="J50" i="69"/>
  <c r="J104" i="69"/>
  <c r="C105" i="69"/>
  <c r="D106" i="69"/>
  <c r="C106" i="69"/>
  <c r="G106" i="69"/>
  <c r="I15" i="69"/>
  <c r="I16" i="69"/>
  <c r="I5" i="69"/>
  <c r="I2" i="69"/>
  <c r="I31" i="69"/>
  <c r="I32" i="69"/>
  <c r="I33" i="69"/>
  <c r="I34" i="69"/>
  <c r="I35" i="69"/>
  <c r="I36" i="69"/>
  <c r="I37" i="69"/>
  <c r="I30" i="69"/>
  <c r="I39" i="69"/>
  <c r="I40" i="69"/>
  <c r="I38" i="69"/>
  <c r="I29" i="69"/>
  <c r="I4" i="69"/>
  <c r="I106" i="69"/>
  <c r="J106" i="69"/>
  <c r="D107" i="69"/>
  <c r="C107" i="69"/>
  <c r="G107" i="69"/>
  <c r="I107" i="69"/>
  <c r="J107" i="69"/>
  <c r="D108" i="69"/>
  <c r="C108" i="69"/>
  <c r="G108" i="69"/>
  <c r="I108" i="69"/>
  <c r="J108" i="69"/>
  <c r="J105" i="69"/>
  <c r="J103" i="69"/>
  <c r="J109" i="69"/>
  <c r="G111" i="69"/>
  <c r="I51" i="69"/>
  <c r="I60" i="69"/>
  <c r="I61" i="69"/>
  <c r="I62" i="69"/>
  <c r="I63" i="69"/>
  <c r="I64" i="69"/>
  <c r="I65" i="69"/>
  <c r="I66" i="69"/>
  <c r="I67" i="69"/>
  <c r="I68" i="69"/>
  <c r="I69" i="69"/>
  <c r="I70" i="69"/>
  <c r="I71" i="69"/>
  <c r="I72" i="69"/>
  <c r="I59" i="69"/>
  <c r="I79" i="69"/>
  <c r="I80" i="69"/>
  <c r="I81" i="69"/>
  <c r="I78" i="69"/>
  <c r="I87" i="69"/>
  <c r="I88" i="69"/>
  <c r="I89" i="69"/>
  <c r="I90" i="69"/>
  <c r="I91" i="69"/>
  <c r="I86" i="69"/>
  <c r="I92" i="69"/>
  <c r="I50" i="69"/>
  <c r="I104" i="69"/>
  <c r="I105" i="69"/>
  <c r="I103" i="69"/>
  <c r="I109" i="69"/>
  <c r="C73" i="69"/>
  <c r="G73" i="69"/>
  <c r="G76" i="69"/>
  <c r="G59" i="69"/>
  <c r="H59" i="69"/>
  <c r="G83" i="69"/>
  <c r="G84" i="69"/>
  <c r="G78" i="69"/>
  <c r="H78" i="69"/>
  <c r="G86" i="69"/>
  <c r="H86" i="69"/>
  <c r="C92" i="69"/>
  <c r="G92" i="69"/>
  <c r="H92" i="69"/>
  <c r="G96" i="69"/>
  <c r="G97" i="69"/>
  <c r="G93" i="69"/>
  <c r="H93" i="69"/>
  <c r="G101" i="69"/>
  <c r="G102" i="69"/>
  <c r="G98" i="69"/>
  <c r="H98" i="69"/>
  <c r="H50" i="69"/>
  <c r="C104" i="69"/>
  <c r="G104" i="69"/>
  <c r="G105" i="69"/>
  <c r="G103" i="69"/>
  <c r="H103" i="69"/>
  <c r="H109" i="69"/>
  <c r="I111" i="69"/>
  <c r="J111" i="69"/>
  <c r="J110" i="69"/>
  <c r="J113" i="69"/>
  <c r="J119" i="69"/>
  <c r="I110" i="69"/>
  <c r="I114" i="69"/>
  <c r="I113" i="69"/>
  <c r="I119" i="69"/>
  <c r="G110" i="69"/>
  <c r="H110" i="69"/>
  <c r="G113" i="69"/>
  <c r="H113" i="69"/>
  <c r="G115" i="69"/>
  <c r="H115" i="69"/>
  <c r="H119" i="69"/>
  <c r="I82" i="69"/>
  <c r="J77" i="69"/>
  <c r="I77" i="69"/>
  <c r="J76" i="69"/>
  <c r="I76" i="69"/>
  <c r="J75" i="69"/>
  <c r="I75" i="69"/>
  <c r="J74" i="69"/>
  <c r="I74" i="69"/>
  <c r="J73" i="69"/>
  <c r="I73" i="69"/>
  <c r="C52" i="69"/>
  <c r="D52" i="69"/>
  <c r="K51" i="69"/>
  <c r="L51" i="69"/>
  <c r="D51" i="69"/>
  <c r="B18" i="69"/>
  <c r="B17" i="69"/>
  <c r="B16" i="69"/>
  <c r="B15" i="69"/>
  <c r="B14" i="69"/>
  <c r="B13" i="69"/>
  <c r="B12" i="69"/>
  <c r="B11" i="69"/>
  <c r="B10" i="69"/>
  <c r="B9" i="69"/>
  <c r="B8" i="69"/>
  <c r="L2" i="69"/>
  <c r="M2" i="69"/>
  <c r="K2" i="69"/>
  <c r="G6" i="68"/>
  <c r="G7" i="68"/>
  <c r="G8" i="68"/>
  <c r="G9" i="68"/>
  <c r="G10" i="68"/>
  <c r="G5" i="68"/>
  <c r="D5" i="68"/>
  <c r="G30" i="68"/>
  <c r="F5" i="68"/>
  <c r="F30" i="68"/>
  <c r="D27" i="68"/>
  <c r="D26" i="68"/>
  <c r="F22" i="68"/>
  <c r="F21" i="68"/>
  <c r="G20" i="68"/>
  <c r="G19" i="68"/>
  <c r="G18" i="68"/>
  <c r="F18" i="68"/>
  <c r="D18" i="68"/>
  <c r="H6" i="68"/>
  <c r="D4" i="68"/>
  <c r="E21" i="4"/>
  <c r="E22" i="4"/>
  <c r="B13" i="4"/>
  <c r="B7" i="4"/>
  <c r="B5" i="4"/>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G19" i="46"/>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D19" i="4"/>
  <c r="F6" i="1"/>
  <c r="G1" i="44"/>
  <c r="F11" i="1"/>
  <c r="L49" i="44"/>
  <c r="M48" i="44"/>
  <c r="J51" i="44"/>
  <c r="J52" i="44"/>
  <c r="J54" i="44"/>
  <c r="I4" i="65"/>
  <c r="E20" i="46"/>
  <c r="C18" i="46"/>
  <c r="AD5" i="3"/>
  <c r="AH5" i="3"/>
  <c r="AL5" i="3"/>
  <c r="AP5" i="3"/>
  <c r="I5" i="3"/>
  <c r="O5" i="3"/>
  <c r="K5" i="3"/>
  <c r="M5" i="3"/>
  <c r="I4" i="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6" i="59"/>
  <c r="AG6" i="59"/>
  <c r="AE6" i="59"/>
  <c r="AF6" i="59"/>
  <c r="AD6" i="59"/>
  <c r="I3" i="59"/>
  <c r="L3" i="59"/>
  <c r="K3" i="59"/>
  <c r="J3" i="59"/>
  <c r="K38" i="9"/>
  <c r="C14" i="66"/>
  <c r="L38" i="9"/>
  <c r="B14" i="66"/>
  <c r="AE7" i="59"/>
  <c r="AF7" i="59"/>
  <c r="AG7" i="59"/>
  <c r="AH7" i="59"/>
  <c r="AD7" i="59"/>
  <c r="AB6" i="59"/>
  <c r="AA6" i="59"/>
  <c r="Y6" i="59"/>
  <c r="Z6" i="59"/>
  <c r="X6"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7" i="59"/>
  <c r="Y7" i="59"/>
  <c r="Z7" i="59"/>
  <c r="X7" i="59"/>
  <c r="AA7"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7" i="65"/>
  <c r="T7" i="59"/>
  <c r="B76" i="63"/>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2" i="1"/>
  <c r="AP12" i="1"/>
  <c r="F13" i="1"/>
  <c r="AP13" i="1"/>
  <c r="D11" i="1"/>
  <c r="D12" i="1"/>
  <c r="D13" i="1"/>
  <c r="D6" i="1"/>
  <c r="D7" i="1"/>
  <c r="D8" i="1"/>
  <c r="F10" i="1"/>
  <c r="AP10" i="1"/>
  <c r="D10" i="1"/>
  <c r="R12" i="1"/>
  <c r="B13" i="1"/>
  <c r="E13" i="1"/>
  <c r="M23" i="6"/>
  <c r="I23" i="6"/>
  <c r="H23" i="6"/>
  <c r="R23" i="6"/>
  <c r="R10"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F19" i="4"/>
  <c r="F7" i="1"/>
  <c r="B2" i="52"/>
  <c r="E22" i="52"/>
  <c r="I2" i="46"/>
  <c r="N12" i="46"/>
  <c r="A7" i="46"/>
  <c r="F41" i="4"/>
  <c r="J52" i="40"/>
  <c r="H61" i="49"/>
  <c r="H39" i="46"/>
  <c r="H38" i="46"/>
  <c r="H37" i="46"/>
  <c r="H36" i="46"/>
  <c r="H35" i="46"/>
  <c r="H34" i="46"/>
  <c r="P17" i="46"/>
  <c r="O17" i="46"/>
  <c r="N17" i="46"/>
  <c r="M17" i="46"/>
  <c r="E32" i="6"/>
  <c r="D38" i="4"/>
  <c r="C39" i="4"/>
  <c r="C35" i="4"/>
  <c r="E16" i="12"/>
  <c r="F14" i="12"/>
  <c r="F17" i="12"/>
  <c r="E19" i="12"/>
  <c r="E21" i="12"/>
  <c r="E22" i="12"/>
  <c r="F24" i="12"/>
  <c r="F25"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E85"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BB11" i="3"/>
  <c r="AE5" i="3"/>
  <c r="AF5" i="3"/>
  <c r="AG5" i="3"/>
  <c r="AI5" i="3"/>
  <c r="AJ5" i="3"/>
  <c r="AK5" i="3"/>
  <c r="AM5" i="3"/>
  <c r="AN5" i="3"/>
  <c r="AO5" i="3"/>
  <c r="AQ5" i="3"/>
  <c r="AR5" i="3"/>
  <c r="AS5" i="3"/>
  <c r="L5" i="3"/>
  <c r="N5" i="3"/>
  <c r="P5" i="3"/>
  <c r="Q5" i="3"/>
  <c r="R5" i="3"/>
  <c r="S5" i="3"/>
  <c r="T5" i="3"/>
  <c r="U5" i="3"/>
  <c r="V5" i="3"/>
  <c r="W5" i="3"/>
  <c r="X5" i="3"/>
  <c r="Y5" i="3"/>
  <c r="Z5" i="3"/>
  <c r="AA5" i="3"/>
  <c r="AB5" i="3"/>
  <c r="F5"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AC5" i="3"/>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AA29"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B7" i="1"/>
  <c r="E7" i="1"/>
  <c r="K7" i="1"/>
  <c r="M7" i="1"/>
  <c r="O7" i="1"/>
  <c r="P7" i="1"/>
  <c r="C20" i="43"/>
  <c r="C52" i="15"/>
  <c r="AP6" i="1"/>
  <c r="G11" i="1"/>
  <c r="M22" i="44"/>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F77" i="21"/>
  <c r="S15"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F3" i="35"/>
  <c r="K1" i="43"/>
  <c r="K1" i="12"/>
  <c r="E413" i="3"/>
  <c r="BL5"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AP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P23" i="46"/>
  <c r="B73" i="39"/>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R11" i="1"/>
  <c r="R13" i="1"/>
  <c r="B6" i="1"/>
  <c r="E6" i="1"/>
  <c r="B10" i="1"/>
  <c r="E10" i="1"/>
  <c r="B8" i="1"/>
  <c r="E8" i="1"/>
  <c r="B12" i="1"/>
  <c r="E12" i="1"/>
  <c r="K6" i="1"/>
  <c r="M6" i="1"/>
  <c r="C15" i="43"/>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L58" i="15"/>
  <c r="Q74" i="15"/>
  <c r="L59" i="15"/>
  <c r="Q75" i="15"/>
  <c r="I54" i="15"/>
  <c r="I55" i="44"/>
  <c r="L60" i="44"/>
  <c r="Q63" i="44"/>
  <c r="L59" i="44"/>
  <c r="Q75" i="44"/>
  <c r="J58" i="44"/>
  <c r="J56" i="44"/>
  <c r="J59" i="44"/>
  <c r="J60" i="44"/>
  <c r="Q52" i="44"/>
  <c r="L57" i="44"/>
  <c r="J61" i="44"/>
  <c r="Q50" i="44"/>
  <c r="E86" i="3"/>
  <c r="AE11" i="46"/>
  <c r="AE13" i="4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E5" i="6"/>
  <c r="X6" i="3"/>
  <c r="E534" i="3"/>
  <c r="E349" i="3"/>
  <c r="E492" i="3"/>
  <c r="E321" i="3"/>
  <c r="E472" i="3"/>
  <c r="O6" i="1"/>
  <c r="P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30" i="6"/>
  <c r="G31" i="6"/>
  <c r="E14" i="6"/>
  <c r="E10" i="6"/>
  <c r="E15" i="6"/>
  <c r="H16" i="1"/>
  <c r="J12" i="40"/>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F49" i="15"/>
  <c r="F70" i="15"/>
  <c r="L56" i="15"/>
  <c r="J57" i="15"/>
  <c r="J55" i="15"/>
  <c r="J58" i="15"/>
  <c r="Q51" i="15"/>
  <c r="F65" i="15"/>
  <c r="G66" i="36"/>
  <c r="J18" i="36"/>
  <c r="AE7" i="1"/>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H12" i="40"/>
  <c r="AB12" i="40"/>
  <c r="U12" i="39"/>
  <c r="F12" i="40"/>
  <c r="AA12" i="40"/>
  <c r="AC6" i="3"/>
  <c r="D12" i="11"/>
  <c r="C12" i="11"/>
  <c r="F68" i="15"/>
  <c r="E59" i="40"/>
  <c r="L20" i="6"/>
  <c r="E58" i="40"/>
  <c r="E63" i="39"/>
  <c r="E16" i="6"/>
  <c r="F24" i="43"/>
  <c r="E60" i="40"/>
  <c r="E65" i="39"/>
  <c r="K26" i="6"/>
  <c r="M26" i="6"/>
  <c r="I26" i="6"/>
  <c r="S26" i="6"/>
  <c r="K24" i="6"/>
  <c r="M24" i="6"/>
  <c r="I24" i="6"/>
  <c r="S24" i="6"/>
  <c r="S23" i="6"/>
  <c r="K25" i="6"/>
  <c r="M25" i="6"/>
  <c r="I25" i="6"/>
  <c r="S25" i="6"/>
  <c r="E30" i="6"/>
  <c r="E31" i="6"/>
  <c r="L19"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E72" i="39"/>
  <c r="F70" i="39"/>
  <c r="I53" i="34"/>
  <c r="J53" i="34"/>
  <c r="Q61" i="15"/>
  <c r="Q62" i="15"/>
  <c r="Q53" i="15"/>
  <c r="C48" i="15"/>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K16" i="1"/>
  <c r="M20" i="6"/>
  <c r="I20" i="6"/>
  <c r="S20" i="6"/>
  <c r="K27" i="6"/>
  <c r="M19" i="6"/>
  <c r="S21" i="6"/>
  <c r="S22" i="6"/>
  <c r="B1" i="66"/>
  <c r="R43" i="37"/>
  <c r="R50" i="34"/>
  <c r="C50" i="34"/>
  <c r="B3" i="34"/>
  <c r="B2" i="34"/>
  <c r="E49" i="34"/>
  <c r="C39" i="35"/>
  <c r="B3" i="35"/>
  <c r="B2" i="35"/>
  <c r="I48" i="21"/>
  <c r="W7" i="21"/>
  <c r="U7" i="21"/>
  <c r="G48" i="21"/>
  <c r="S7" i="21"/>
  <c r="F72" i="39"/>
  <c r="G70" i="39"/>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E6" i="6"/>
  <c r="D10" i="11"/>
  <c r="M16" i="1"/>
  <c r="T7"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T10" i="1"/>
  <c r="T6" i="1"/>
  <c r="T11" i="1"/>
  <c r="T12" i="1"/>
  <c r="O16" i="1"/>
  <c r="C13" i="43"/>
  <c r="L16" i="1"/>
  <c r="N16" i="1"/>
  <c r="C29" i="43"/>
  <c r="D13" i="11"/>
  <c r="C13" i="11"/>
  <c r="I27" i="6"/>
  <c r="S19" i="6"/>
  <c r="S27" i="6"/>
  <c r="H19" i="6"/>
  <c r="C22" i="4"/>
  <c r="D10" i="6"/>
  <c r="D11" i="6"/>
  <c r="D13" i="6"/>
  <c r="D12" i="6"/>
  <c r="H20" i="6"/>
  <c r="H24" i="6"/>
  <c r="H25" i="6"/>
  <c r="D6" i="6"/>
  <c r="D9" i="6"/>
  <c r="D5" i="6"/>
  <c r="D14" i="6"/>
  <c r="D15" i="6"/>
  <c r="D8" i="6"/>
  <c r="H26" i="6"/>
  <c r="B4" i="11"/>
  <c r="B5" i="11"/>
  <c r="E53" i="21"/>
  <c r="F53" i="21"/>
  <c r="E52" i="21"/>
  <c r="F52" i="21"/>
  <c r="C48" i="21"/>
  <c r="I53" i="21"/>
  <c r="J53" i="21"/>
  <c r="I70" i="39"/>
  <c r="H72" i="39"/>
  <c r="I65" i="40"/>
  <c r="H67" i="40"/>
  <c r="C16" i="44"/>
  <c r="C20" i="44"/>
  <c r="C17" i="44"/>
  <c r="B3" i="67"/>
  <c r="B4" i="67"/>
  <c r="T16" i="1"/>
  <c r="H27" i="6"/>
  <c r="R20" i="6"/>
  <c r="R19" i="6"/>
  <c r="R7" i="1"/>
  <c r="R24" i="6"/>
  <c r="D16" i="6"/>
  <c r="R25" i="6"/>
  <c r="R6" i="1"/>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R16" i="1"/>
  <c r="R27" i="6"/>
  <c r="C18" i="43"/>
  <c r="K70" i="39"/>
  <c r="J72" i="39"/>
  <c r="K65" i="40"/>
  <c r="J67" i="40"/>
  <c r="C65" i="15"/>
  <c r="C59" i="15"/>
  <c r="C28" i="44"/>
  <c r="C31" i="44"/>
  <c r="C35" i="44"/>
  <c r="I5" i="6"/>
  <c r="J59" i="15"/>
  <c r="J60" i="15"/>
  <c r="C19" i="43"/>
  <c r="C22" i="43"/>
  <c r="C21" i="43"/>
  <c r="K67" i="40"/>
  <c r="L65" i="40"/>
  <c r="K72" i="39"/>
  <c r="L70" i="39"/>
  <c r="Q49" i="15"/>
  <c r="C33" i="44"/>
  <c r="J21" i="44"/>
  <c r="J19" i="44"/>
  <c r="Q51" i="44"/>
  <c r="C15" i="44"/>
  <c r="C38" i="44"/>
  <c r="J16" i="44"/>
  <c r="J15" i="44"/>
  <c r="J25" i="44"/>
  <c r="J19" i="15"/>
  <c r="J17" i="15"/>
  <c r="J14" i="15"/>
  <c r="J22" i="15"/>
  <c r="C56" i="15"/>
  <c r="C63" i="15"/>
  <c r="Q50" i="15"/>
  <c r="J35" i="15"/>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2" i="43"/>
  <c r="B2" i="43"/>
  <c r="N70" i="39"/>
  <c r="N72" i="39"/>
  <c r="M72" i="39"/>
  <c r="N65" i="40"/>
  <c r="N67" i="40"/>
  <c r="M67" i="40"/>
  <c r="C60" i="15"/>
  <c r="C44" i="44"/>
  <c r="C45" i="44"/>
  <c r="B2" i="44"/>
  <c r="B4" i="44"/>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Q48" i="15"/>
  <c r="Q54" i="15"/>
  <c r="J39" i="15"/>
  <c r="J40" i="15"/>
  <c r="B5" i="44"/>
  <c r="B3" i="44"/>
  <c r="S9" i="39"/>
  <c r="AA9" i="39"/>
  <c r="W9" i="39"/>
  <c r="AC9" i="39"/>
  <c r="I49" i="39"/>
  <c r="AA9" i="40"/>
  <c r="R44" i="40"/>
  <c r="S9" i="40"/>
  <c r="U9" i="39"/>
  <c r="AB9" i="39"/>
  <c r="G4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G53" i="39"/>
  <c r="H53" i="39"/>
  <c r="G54" i="39"/>
  <c r="H54" i="39"/>
  <c r="I53" i="39"/>
  <c r="J53" i="39"/>
  <c r="E49" i="39"/>
  <c r="Q76" i="15"/>
  <c r="Q58" i="15"/>
  <c r="Q63" i="15"/>
  <c r="E54" i="39"/>
  <c r="F54" i="39"/>
  <c r="E53" i="39"/>
  <c r="F53" i="39"/>
  <c r="E48" i="40"/>
  <c r="F48" i="40"/>
  <c r="E49" i="40"/>
  <c r="F49" i="40"/>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L43" i="9"/>
  <c r="D22" i="9"/>
  <c r="C32" i="9"/>
  <c r="B3" i="40"/>
  <c r="B4" i="40"/>
  <c r="B5" i="40"/>
  <c r="B3" i="39"/>
  <c r="B4" i="39"/>
  <c r="B5" i="39"/>
  <c r="C21" i="9"/>
  <c r="C20" i="9"/>
  <c r="G20" i="9"/>
  <c r="G21" i="9"/>
  <c r="C45" i="9"/>
  <c r="H14" i="66"/>
  <c r="B7" i="66"/>
  <c r="G22" i="9"/>
  <c r="N43"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微软用户</author>
  </authors>
  <commentList>
    <comment ref="B64" authorId="0">
      <text>
        <r>
          <rPr>
            <b/>
            <sz val="9"/>
            <rFont val="宋体"/>
            <family val="3"/>
            <charset val="134"/>
          </rPr>
          <t>微软用户:</t>
        </r>
        <r>
          <rPr>
            <sz val="9"/>
            <rFont val="宋体"/>
            <family val="3"/>
            <charset val="134"/>
          </rPr>
          <t xml:space="preserve">
包括：建筑设计、环境设计、精装修设计、管线综合设计、人防设计、室外管网设计等。</t>
        </r>
      </text>
    </comment>
    <comment ref="C92" authorId="0">
      <text>
        <r>
          <rPr>
            <b/>
            <sz val="9"/>
            <rFont val="宋体"/>
            <family val="3"/>
            <charset val="134"/>
          </rPr>
          <t>微软用户:</t>
        </r>
        <r>
          <rPr>
            <sz val="9"/>
            <rFont val="宋体"/>
            <family val="3"/>
            <charset val="134"/>
          </rPr>
          <t xml:space="preserve">
工程费用。</t>
        </r>
      </text>
    </comment>
    <comment ref="C104" authorId="0">
      <text>
        <r>
          <rPr>
            <b/>
            <sz val="9"/>
            <rFont val="宋体"/>
            <family val="3"/>
            <charset val="134"/>
          </rPr>
          <t>微软用户:</t>
        </r>
        <r>
          <rPr>
            <sz val="9"/>
            <rFont val="宋体"/>
            <family val="3"/>
            <charset val="134"/>
          </rPr>
          <t xml:space="preserve">
建设项目的工程费用和工程建设其他费用之和。
</t>
        </r>
      </text>
    </comment>
    <comment ref="B105" authorId="0">
      <text>
        <r>
          <rPr>
            <b/>
            <sz val="9"/>
            <rFont val="宋体"/>
            <family val="3"/>
            <charset val="134"/>
          </rPr>
          <t>微软用户:</t>
        </r>
        <r>
          <rPr>
            <sz val="9"/>
            <rFont val="宋体"/>
            <family val="3"/>
            <charset val="134"/>
          </rPr>
          <t xml:space="preserve">
PF={It[(1+f)^(m+t-0.5)-1]的各年之和}
式中，PF--涨价预备费；
n--建设期年数；
m--估算年到项目开工年的间隔年数，本次取0年；
f--年涨价率；
It--建设期中第t年的工程费用。
</t>
        </r>
      </text>
    </comment>
    <comment ref="C105" authorId="0">
      <text>
        <r>
          <rPr>
            <b/>
            <sz val="9"/>
            <rFont val="宋体"/>
            <family val="3"/>
            <charset val="134"/>
          </rPr>
          <t>微软用户:</t>
        </r>
        <r>
          <rPr>
            <sz val="9"/>
            <rFont val="宋体"/>
            <family val="3"/>
            <charset val="134"/>
          </rPr>
          <t xml:space="preserve">
建设项目的工程费用。
</t>
        </r>
      </text>
    </comment>
    <comment ref="D106" authorId="0">
      <text>
        <r>
          <rPr>
            <b/>
            <sz val="9"/>
            <rFont val="宋体"/>
            <family val="3"/>
            <charset val="134"/>
          </rPr>
          <t>微软用户:</t>
        </r>
        <r>
          <rPr>
            <sz val="9"/>
            <rFont val="宋体"/>
            <family val="3"/>
            <charset val="134"/>
          </rPr>
          <t xml:space="preserve">
工程费用投入比例。</t>
        </r>
      </text>
    </comment>
    <comment ref="D107" authorId="0">
      <text>
        <r>
          <rPr>
            <b/>
            <sz val="9"/>
            <rFont val="宋体"/>
            <family val="3"/>
            <charset val="134"/>
          </rPr>
          <t>微软用户:</t>
        </r>
        <r>
          <rPr>
            <sz val="9"/>
            <rFont val="宋体"/>
            <family val="3"/>
            <charset val="134"/>
          </rPr>
          <t xml:space="preserve">
工程费用投入比例。</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<sst xmlns="http://schemas.openxmlformats.org/spreadsheetml/2006/main" count="9522" uniqueCount="3820">
  <si>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</si>
  <si>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</si>
  <si>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</si>
  <si>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</si>
  <si>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</si>
  <si>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</si>
  <si>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</si>
  <si>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</si>
  <si>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</si>
  <si>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</si>
  <si>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</si>
  <si>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</si>
  <si>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</si>
  <si>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</si>
  <si>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</si>
  <si>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</si>
  <si>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</si>
  <si>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</si>
  <si>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</si>
  <si>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</si>
  <si>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</si>
  <si>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</si>
  <si>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</si>
  <si>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</si>
  <si>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</si>
  <si>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</si>
  <si>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</si>
  <si>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</si>
  <si>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</si>
  <si>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</si>
  <si>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</si>
  <si>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</si>
  <si>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</si>
  <si>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</si>
  <si>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</si>
  <si>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</si>
  <si>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</si>
  <si>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</si>
  <si>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</si>
  <si>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</si>
  <si>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</si>
  <si>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</si>
  <si>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</si>
  <si>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</si>
  <si>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</si>
  <si>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</si>
  <si>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</si>
  <si>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</si>
  <si>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</si>
  <si>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</si>
  <si>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</si>
  <si>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</si>
  <si>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</si>
  <si>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</si>
  <si>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</si>
  <si>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</si>
  <si>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</si>
  <si>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</si>
  <si>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</si>
  <si>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</si>
  <si>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</si>
  <si>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</si>
  <si>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</si>
  <si>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</si>
  <si>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</si>
  <si>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</si>
  <si>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</si>
  <si>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</si>
  <si>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</si>
  <si>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</si>
  <si>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</si>
  <si>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</si>
  <si>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</si>
  <si>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</si>
  <si>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</si>
  <si>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</si>
  <si>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</si>
  <si>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</si>
  <si>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</si>
  <si>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</si>
  <si>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</si>
  <si>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</si>
  <si>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</si>
  <si>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</si>
  <si>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</si>
  <si>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</si>
  <si>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</si>
  <si>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</si>
  <si>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</si>
  <si>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</si>
  <si>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</si>
  <si>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</si>
  <si>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</si>
  <si>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</si>
  <si>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</si>
  <si>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</si>
  <si>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</si>
  <si>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</si>
  <si>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</si>
  <si>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</si>
  <si>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</si>
  <si>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</si>
  <si>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</si>
  <si>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</si>
  <si>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</si>
  <si>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</si>
  <si>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</si>
  <si>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</si>
  <si>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</si>
  <si>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</si>
  <si>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</si>
  <si>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</si>
  <si>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</si>
  <si>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</si>
  <si>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</si>
  <si>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</si>
  <si>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</si>
  <si>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</si>
  <si>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</si>
  <si>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</si>
  <si>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</si>
  <si>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</si>
  <si>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</si>
  <si>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</si>
  <si>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</si>
  <si>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</si>
  <si>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</si>
  <si>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</si>
  <si>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</si>
  <si>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</si>
  <si>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</si>
  <si>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</si>
  <si>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</si>
  <si>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</si>
  <si>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</si>
  <si>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</si>
  <si>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</si>
  <si>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</si>
  <si>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</si>
  <si>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</si>
  <si>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</si>
  <si>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</si>
  <si>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</si>
  <si>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</si>
  <si>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</si>
  <si>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</si>
  <si>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</si>
  <si>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</si>
  <si>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</si>
  <si>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</si>
  <si>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</si>
  <si>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</si>
  <si>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</si>
  <si>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</si>
  <si>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</si>
  <si>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</si>
  <si>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</si>
  <si>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</si>
  <si>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</si>
  <si>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</si>
  <si>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</si>
  <si>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</si>
  <si>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</si>
  <si>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</si>
  <si>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</si>
  <si>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</si>
  <si>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</si>
  <si>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</si>
  <si>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</si>
  <si>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</si>
  <si>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</si>
  <si>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</si>
  <si>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</si>
  <si>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</si>
  <si>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</si>
  <si>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</si>
  <si>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</si>
  <si>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</si>
  <si>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</si>
  <si>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</si>
  <si>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</si>
  <si>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</si>
  <si>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</si>
  <si>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</si>
  <si>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</si>
  <si>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</si>
  <si>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</si>
  <si>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</si>
  <si>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</si>
  <si>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</si>
  <si>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</si>
  <si>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</si>
  <si>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</si>
  <si>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</si>
  <si>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</si>
  <si>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</si>
  <si>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</si>
  <si>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</si>
  <si>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</si>
  <si>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</si>
  <si>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</si>
  <si>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</si>
  <si>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</si>
  <si>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</si>
  <si>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</si>
  <si>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</si>
  <si>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</si>
  <si>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</si>
  <si>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</si>
  <si>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</si>
  <si>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</si>
  <si>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</si>
  <si>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</si>
  <si>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</si>
  <si>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</si>
  <si>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</si>
  <si>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</si>
  <si>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</si>
  <si>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</si>
  <si>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</si>
  <si>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</si>
  <si>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</si>
  <si>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</si>
  <si>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</si>
  <si>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</si>
  <si>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</si>
  <si>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</si>
  <si>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</si>
  <si>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</si>
  <si>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</si>
  <si>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</si>
  <si>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</si>
  <si>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</si>
  <si>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</si>
  <si>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</si>
  <si>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</si>
  <si>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</si>
  <si>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</si>
  <si>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</si>
  <si>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</si>
  <si>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</si>
  <si>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</si>
  <si>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</si>
  <si>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</si>
  <si>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</si>
  <si>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</si>
  <si>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</si>
  <si>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</si>
  <si>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</si>
  <si>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</si>
  <si>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</si>
  <si>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</si>
  <si>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</si>
  <si>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</si>
  <si>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</si>
  <si>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</si>
  <si>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</si>
  <si>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</si>
  <si>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</si>
  <si>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</si>
  <si>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</si>
  <si>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</si>
  <si>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</si>
  <si>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</si>
  <si>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</si>
  <si>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</si>
  <si>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</si>
  <si>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</si>
  <si>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</si>
  <si>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</si>
  <si>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</si>
  <si>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</si>
  <si>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</si>
  <si>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</si>
  <si>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</si>
  <si>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</si>
  <si>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</si>
  <si>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</si>
  <si>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</si>
  <si>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</si>
  <si>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</si>
  <si>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</si>
  <si>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</si>
  <si>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</si>
  <si>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</si>
  <si>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</si>
  <si>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</si>
  <si>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</si>
  <si>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</si>
  <si>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</si>
  <si>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</si>
  <si>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</si>
  <si>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</si>
  <si>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</si>
  <si>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</si>
  <si>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</si>
  <si>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</si>
  <si>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</si>
  <si>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</si>
  <si>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</si>
  <si>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</si>
  <si>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</si>
  <si>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</si>
  <si>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</si>
  <si>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</si>
  <si>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</si>
  <si>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</si>
  <si>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</si>
  <si>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</si>
  <si>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</si>
  <si>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</si>
  <si>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</si>
  <si>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</si>
  <si>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</si>
  <si>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</si>
  <si>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</si>
  <si>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</si>
  <si>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</si>
  <si>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</si>
  <si>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</si>
  <si>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</si>
  <si>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</si>
  <si>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</si>
  <si>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</si>
  <si>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</si>
  <si>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</si>
  <si>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</si>
  <si>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</si>
  <si>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</si>
  <si>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</si>
  <si>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</si>
  <si>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</si>
  <si>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</si>
  <si>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</si>
  <si>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</si>
  <si>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</si>
  <si>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</si>
  <si>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</si>
  <si>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</si>
  <si>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</si>
  <si>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</si>
  <si>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</si>
  <si>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</si>
  <si>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</si>
  <si>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</si>
  <si>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</si>
  <si>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</si>
  <si>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</si>
  <si>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</si>
  <si>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</si>
  <si>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</si>
  <si>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</si>
  <si>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</si>
  <si>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</si>
  <si>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</si>
  <si>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</si>
  <si>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</si>
  <si>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</si>
  <si>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</si>
  <si>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</si>
  <si>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</si>
  <si>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</si>
  <si>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</si>
  <si>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</si>
  <si>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</si>
  <si>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</si>
  <si>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</si>
  <si>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</si>
  <si>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</si>
  <si>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</si>
  <si>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</si>
  <si>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</si>
  <si>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</si>
  <si>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</si>
  <si>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</si>
  <si>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</si>
  <si>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</si>
  <si>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</si>
  <si>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</si>
  <si>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</si>
  <si>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</si>
  <si>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</si>
  <si>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</si>
  <si>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</si>
  <si>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</si>
  <si>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</si>
  <si>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</si>
  <si>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</si>
  <si>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</si>
  <si>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</si>
  <si>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</si>
  <si>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</si>
  <si>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</si>
  <si>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</si>
  <si>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</si>
  <si>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</si>
  <si>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</si>
  <si>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</si>
  <si>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</si>
  <si>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</si>
  <si>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</si>
  <si>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</si>
  <si>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</si>
  <si>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</si>
  <si>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</si>
  <si>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</si>
  <si>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</si>
  <si>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</si>
  <si>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</si>
  <si>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</si>
  <si>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</si>
  <si>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</si>
  <si>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</si>
  <si>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</si>
  <si>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</si>
  <si>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</si>
  <si>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</si>
  <si>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</si>
  <si>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</si>
  <si>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</si>
  <si>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</si>
  <si>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</si>
  <si>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</si>
  <si>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</si>
  <si>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</si>
  <si>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</si>
  <si>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</si>
  <si>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</si>
  <si>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</si>
  <si>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</si>
  <si>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</si>
  <si>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</si>
  <si>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</si>
  <si>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</si>
  <si>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</si>
  <si>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</si>
  <si>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</si>
  <si>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</si>
  <si>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</si>
  <si>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</si>
  <si>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</si>
  <si>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</si>
  <si>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</si>
  <si>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</si>
  <si>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</si>
  <si>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</si>
  <si>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</si>
  <si>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</si>
  <si>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</si>
  <si>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</si>
  <si>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</si>
  <si>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</si>
  <si>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</si>
  <si>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</si>
  <si>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</si>
  <si>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</si>
  <si>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</si>
  <si>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</si>
  <si>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</si>
  <si>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</si>
  <si>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</si>
  <si>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</si>
  <si>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</si>
  <si>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</si>
  <si>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</si>
  <si>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</si>
  <si>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</si>
  <si>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</si>
  <si>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</si>
  <si>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</si>
  <si>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</si>
  <si>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</si>
  <si>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</si>
  <si>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</si>
  <si>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</si>
  <si>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</si>
  <si>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</si>
  <si>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</si>
  <si>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</si>
  <si>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</si>
  <si>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</si>
  <si>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</si>
  <si>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</si>
  <si>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</si>
  <si>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</si>
  <si>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</si>
  <si>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</si>
  <si>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</si>
  <si>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</si>
  <si>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</si>
  <si>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</si>
  <si>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</si>
  <si>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</si>
  <si>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</si>
  <si>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</si>
  <si>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</si>
  <si>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</si>
  <si>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</si>
  <si>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</si>
  <si>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</si>
  <si>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</si>
  <si>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</si>
  <si>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</si>
  <si>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</si>
  <si>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</si>
  <si>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</si>
  <si>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</si>
  <si>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</si>
  <si>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</si>
  <si>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</si>
  <si>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</si>
  <si>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</si>
  <si>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</si>
  <si>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</si>
  <si>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</si>
  <si>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</si>
  <si>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</si>
  <si>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</si>
  <si>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</si>
  <si>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</si>
  <si>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</si>
  <si>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</si>
  <si>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</si>
  <si>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</si>
  <si>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</si>
  <si>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</si>
  <si>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</si>
  <si>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</si>
  <si>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</si>
  <si>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</si>
  <si>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</si>
  <si>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</si>
  <si>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</si>
  <si>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</si>
  <si>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</si>
  <si>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</si>
  <si>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</si>
  <si>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</si>
  <si>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</si>
  <si>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</si>
  <si>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</si>
  <si>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</si>
  <si>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</si>
  <si>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</si>
  <si>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</si>
  <si>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</si>
  <si>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</si>
  <si>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</si>
  <si>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</si>
  <si>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</si>
  <si>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</si>
  <si>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</si>
  <si>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</si>
  <si>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</si>
  <si>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</si>
  <si>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</si>
  <si>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</si>
  <si>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</si>
  <si>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</si>
  <si>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</si>
  <si>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</si>
  <si>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</si>
  <si>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</si>
  <si>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</si>
  <si>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</si>
  <si>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</si>
  <si>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</si>
  <si>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</si>
  <si>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</si>
  <si>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</si>
  <si>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</si>
  <si>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</si>
  <si>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</si>
  <si>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</si>
  <si>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</si>
  <si>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</si>
  <si>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</si>
  <si>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</si>
  <si>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</si>
  <si>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</si>
  <si>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</si>
  <si>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</si>
  <si>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</si>
  <si>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</si>
  <si>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</si>
  <si>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</si>
  <si>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</si>
  <si>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</si>
  <si>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</si>
  <si>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</si>
  <si>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</si>
  <si>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</si>
  <si>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</si>
  <si>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</si>
  <si>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</si>
  <si>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</si>
  <si>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</si>
  <si>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</si>
  <si>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</si>
  <si>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</si>
  <si>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</si>
  <si>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</si>
  <si>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</si>
  <si>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</si>
  <si>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</si>
  <si>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</si>
  <si>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</si>
  <si>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</si>
  <si>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</si>
  <si>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</si>
  <si>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</si>
  <si>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</si>
  <si>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</si>
  <si>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</si>
  <si>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</si>
  <si>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</si>
  <si>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</si>
  <si>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</si>
  <si>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</si>
  <si>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</si>
  <si>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</si>
  <si>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</si>
  <si>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</si>
  <si>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</si>
  <si>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</si>
  <si>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</si>
  <si>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</si>
  <si>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</si>
  <si>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</si>
  <si>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</si>
  <si>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</si>
  <si>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</si>
  <si>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</si>
  <si>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</si>
  <si>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</si>
  <si>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</si>
  <si>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</si>
  <si>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</si>
  <si>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</si>
  <si>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</si>
  <si>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</si>
  <si>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</si>
  <si>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</si>
  <si>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</si>
  <si>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</si>
  <si>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</si>
  <si>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</si>
  <si>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</si>
  <si>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</si>
  <si>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</si>
  <si>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</si>
  <si>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</si>
  <si>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</si>
  <si>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</si>
  <si>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</si>
  <si>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</si>
  <si>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</si>
  <si>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</si>
  <si>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</si>
  <si>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</si>
  <si>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</si>
  <si>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</si>
  <si>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</si>
  <si>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</si>
  <si>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</si>
  <si>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</si>
  <si>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</si>
  <si>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</si>
  <si>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</si>
  <si>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</si>
  <si>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</si>
  <si>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</si>
  <si>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</si>
  <si>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</si>
  <si>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</si>
  <si>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</si>
  <si>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</si>
  <si>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</si>
  <si>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</si>
  <si>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</si>
  <si>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</si>
  <si>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</si>
  <si>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</si>
  <si>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</si>
  <si>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</si>
  <si>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</si>
  <si>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</si>
  <si>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</si>
  <si>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</si>
  <si>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</si>
  <si>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</si>
  <si>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</si>
  <si>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</si>
  <si>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</si>
  <si>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</si>
  <si>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</si>
  <si>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</si>
  <si>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</si>
  <si>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</si>
  <si>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</si>
  <si>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</si>
  <si>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</si>
  <si>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</si>
  <si>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</si>
  <si>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</si>
  <si>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</si>
  <si>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</si>
  <si>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</si>
  <si>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</si>
  <si>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</si>
  <si>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</si>
  <si>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</si>
  <si>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</si>
  <si>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</si>
  <si>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</si>
  <si>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</si>
  <si>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</si>
  <si>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</si>
  <si>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</si>
  <si>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</si>
  <si>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</si>
  <si>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</si>
  <si>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</si>
  <si>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</si>
  <si>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</si>
  <si>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</si>
  <si>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</si>
  <si>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</si>
  <si>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</si>
  <si>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</si>
  <si>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</si>
  <si>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</si>
  <si>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</si>
  <si>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</si>
  <si>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</si>
  <si>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</si>
  <si>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</si>
  <si>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</si>
  <si>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</si>
  <si>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</si>
  <si>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</si>
  <si>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</si>
  <si>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</si>
  <si>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</si>
  <si>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</si>
  <si>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</si>
  <si>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</si>
  <si>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</si>
  <si>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</si>
  <si>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</si>
  <si>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</si>
  <si>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</si>
  <si>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</si>
  <si>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</si>
  <si>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</si>
  <si>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</si>
  <si>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</si>
  <si>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</si>
  <si>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</si>
  <si>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</si>
  <si>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</si>
  <si>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</si>
  <si>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</si>
  <si>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</si>
  <si>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</si>
  <si>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</si>
  <si>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</si>
  <si>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</si>
  <si>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</si>
  <si>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</si>
  <si>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</si>
  <si>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</si>
  <si>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</si>
  <si>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</si>
  <si>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</si>
  <si>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</si>
  <si>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</si>
  <si>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</si>
  <si>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</si>
  <si>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</si>
  <si>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</si>
  <si>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</si>
  <si>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</si>
  <si>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</si>
  <si>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</si>
  <si>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</si>
  <si>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</si>
  <si>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</si>
  <si>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</si>
  <si>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</si>
  <si>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</si>
  <si>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</si>
  <si>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</si>
  <si>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</si>
  <si>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</si>
  <si>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</si>
  <si>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</si>
  <si>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</si>
  <si>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</si>
  <si>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</si>
  <si>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</si>
  <si>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</si>
  <si>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</si>
  <si>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</si>
  <si>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</si>
  <si>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</si>
  <si>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</si>
  <si>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</si>
  <si>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</si>
  <si>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</si>
  <si>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</si>
  <si>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</si>
  <si>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</si>
  <si>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</si>
  <si>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</si>
  <si>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</si>
  <si>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</si>
  <si>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</si>
  <si>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</si>
  <si>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</si>
  <si>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</si>
  <si>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</si>
  <si>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</si>
  <si>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</si>
  <si>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</si>
  <si>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</si>
  <si>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</si>
  <si>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</si>
  <si>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</si>
  <si>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</si>
  <si>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</si>
  <si>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</si>
  <si>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</si>
  <si>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</si>
  <si>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</si>
  <si>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</si>
  <si>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</si>
  <si>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</si>
  <si>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</si>
  <si>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</si>
  <si>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</si>
  <si>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</si>
  <si>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</si>
  <si>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</si>
  <si>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</si>
  <si>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</si>
  <si>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</si>
  <si>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</si>
  <si>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</si>
  <si>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</si>
  <si>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</si>
  <si>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</si>
  <si>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</si>
  <si>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</si>
  <si>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</si>
  <si>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</si>
  <si>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</si>
  <si>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</si>
  <si>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</si>
  <si>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</si>
  <si>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</si>
  <si>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</si>
  <si>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</si>
  <si>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</si>
  <si>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</si>
  <si>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</si>
  <si>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</si>
  <si>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</si>
  <si>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</si>
  <si>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</si>
  <si>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</si>
  <si>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</si>
  <si>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</si>
  <si>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</si>
  <si>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</si>
  <si>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</si>
  <si>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</si>
  <si>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</si>
  <si>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</si>
  <si>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</si>
  <si>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</si>
  <si>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</si>
  <si>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</si>
  <si>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</si>
  <si>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</si>
  <si>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</si>
  <si>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</si>
  <si>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</si>
  <si>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</si>
  <si>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</si>
  <si>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</si>
  <si>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</si>
  <si>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</si>
  <si>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</si>
  <si>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</si>
  <si>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</si>
  <si>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</si>
  <si>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</si>
  <si>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</si>
  <si>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</si>
  <si>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</si>
  <si>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</si>
  <si>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</si>
  <si>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</si>
  <si>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</si>
  <si>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</si>
  <si>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</si>
  <si>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</si>
  <si>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</si>
  <si>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</si>
  <si>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</si>
  <si>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</si>
  <si>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</si>
  <si>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</si>
  <si>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</si>
  <si>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</si>
  <si>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</si>
  <si>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</si>
  <si>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</si>
  <si>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</si>
  <si>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</si>
  <si>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</si>
  <si>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</si>
  <si>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</si>
  <si>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</si>
  <si>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</si>
  <si>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</si>
  <si>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</si>
  <si>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</si>
  <si>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</si>
  <si>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</si>
  <si>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</si>
  <si>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</si>
  <si>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</si>
  <si>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</si>
  <si>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</si>
  <si>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</si>
  <si>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</si>
  <si>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</si>
  <si>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</si>
  <si>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</si>
  <si>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</si>
  <si>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</si>
  <si>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</si>
  <si>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</si>
  <si>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</si>
  <si>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</si>
  <si>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</si>
  <si>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</si>
  <si>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</si>
  <si>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</si>
  <si>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</si>
  <si>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</si>
  <si>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</si>
  <si>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</si>
  <si>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</si>
  <si>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</si>
  <si>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</si>
  <si>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</si>
  <si>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</si>
  <si>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</si>
  <si>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</si>
  <si>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</si>
  <si>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</si>
  <si>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</si>
  <si>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</si>
  <si>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</si>
  <si>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</si>
  <si>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</si>
  <si>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</si>
  <si>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</si>
  <si>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</si>
  <si>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</si>
  <si>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</si>
  <si>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</si>
  <si>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</si>
  <si>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</si>
  <si>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</si>
  <si>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</si>
  <si>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</si>
  <si>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</si>
  <si>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</si>
  <si>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</si>
  <si>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</si>
  <si>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</si>
  <si>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</si>
  <si>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</si>
  <si>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</si>
  <si>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</si>
  <si>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</si>
  <si>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</si>
  <si>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</si>
  <si>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</si>
  <si>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</si>
  <si>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</si>
  <si>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</si>
  <si>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</si>
  <si>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</si>
  <si>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</si>
  <si>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</si>
  <si>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</si>
  <si>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</si>
  <si>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</si>
  <si>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</si>
  <si>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</si>
  <si>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</si>
  <si>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</si>
  <si>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</si>
  <si>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</si>
  <si>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</si>
  <si>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</si>
  <si>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</si>
  <si>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</si>
  <si>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</si>
  <si>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</si>
  <si>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</si>
  <si>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</si>
  <si>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</si>
  <si>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</si>
  <si>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</si>
  <si>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</si>
  <si>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</si>
  <si>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</si>
  <si>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</si>
  <si>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</si>
  <si>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</si>
  <si>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</si>
  <si>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</si>
  <si>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</si>
  <si>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</si>
  <si>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</si>
  <si>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</si>
  <si>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</si>
  <si>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</si>
  <si>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</si>
  <si>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</si>
  <si>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</si>
  <si>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</si>
  <si>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</si>
  <si>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</si>
  <si>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</si>
  <si>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</si>
  <si>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</si>
  <si>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</si>
  <si>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</si>
  <si>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</si>
  <si>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</si>
  <si>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</si>
  <si>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</si>
  <si>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</si>
  <si>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</si>
  <si>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</si>
  <si>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</si>
  <si>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</si>
  <si>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</si>
  <si>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</si>
  <si>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</si>
  <si>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</si>
  <si>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</si>
  <si>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</si>
  <si>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</si>
  <si>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</si>
  <si>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</si>
  <si>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</si>
  <si>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</si>
  <si>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</si>
  <si>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</si>
  <si>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</si>
  <si>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</si>
  <si>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</si>
  <si>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</si>
  <si>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</si>
  <si>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</si>
  <si>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</si>
  <si>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</si>
  <si>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</si>
  <si>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</si>
  <si>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</si>
  <si>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</si>
  <si>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</si>
  <si>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</si>
  <si>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</si>
  <si>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</si>
  <si>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</si>
  <si>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</si>
  <si>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</si>
  <si>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</si>
  <si>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</si>
  <si>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</si>
  <si>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</si>
  <si>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</si>
  <si>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</si>
  <si>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</si>
  <si>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</si>
  <si>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</si>
  <si>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</si>
  <si>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</si>
  <si>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</si>
  <si>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</si>
  <si>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</si>
  <si>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</si>
  <si>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</si>
  <si>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</si>
  <si>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</si>
  <si>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</si>
  <si>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</si>
  <si>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</si>
  <si>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</si>
  <si>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</si>
  <si>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</si>
  <si>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</si>
  <si>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</si>
  <si>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</si>
  <si>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</si>
  <si>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</si>
  <si>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</si>
  <si>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</si>
  <si>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</si>
  <si>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</si>
  <si>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</si>
  <si>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</si>
  <si>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</si>
  <si>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</si>
  <si>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</si>
  <si>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</si>
  <si>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</si>
  <si>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</si>
  <si>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</si>
  <si>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</si>
  <si>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</si>
  <si>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</si>
  <si>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</si>
  <si>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</si>
  <si>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</si>
  <si>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</si>
  <si>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</si>
  <si>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</si>
  <si>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</si>
  <si>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</si>
  <si>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</si>
  <si>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</si>
  <si>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</si>
  <si>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</si>
  <si>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</si>
  <si>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</si>
  <si>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</si>
  <si>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</si>
  <si>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</si>
  <si>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</si>
  <si>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</si>
  <si>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</si>
  <si>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</si>
  <si>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</si>
  <si>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</si>
  <si>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</si>
  <si>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</si>
  <si>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</si>
  <si>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</si>
  <si>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</si>
  <si>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</si>
  <si>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</si>
  <si>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</si>
  <si>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</si>
  <si>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</si>
  <si>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</si>
  <si>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</si>
  <si>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</si>
  <si>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</si>
  <si>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</si>
  <si>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</si>
  <si>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</si>
  <si>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</si>
  <si>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</si>
  <si>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</si>
  <si>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</si>
  <si>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</si>
  <si>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</si>
  <si>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</si>
  <si>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</si>
  <si>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</si>
  <si>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</si>
  <si>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</si>
  <si>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</si>
  <si>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</si>
  <si>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</si>
  <si>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</si>
  <si>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</si>
  <si>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</si>
  <si>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</si>
  <si>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</si>
  <si>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</si>
  <si>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</si>
  <si>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</si>
  <si>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</si>
  <si>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</si>
  <si>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</si>
  <si>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</si>
  <si>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</si>
  <si>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</si>
  <si>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</si>
  <si>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</si>
  <si>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</si>
  <si>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</si>
  <si>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</si>
  <si>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</si>
  <si>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</si>
  <si>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</si>
  <si>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</si>
  <si>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</si>
  <si>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</si>
  <si>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</si>
  <si>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</si>
  <si>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</si>
  <si>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</si>
  <si>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</si>
  <si>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</si>
  <si>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</si>
  <si>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</si>
  <si>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</si>
  <si>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</si>
  <si>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</si>
  <si>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</si>
  <si>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</si>
  <si>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</si>
  <si>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</si>
  <si>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</si>
  <si>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</si>
  <si>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</si>
  <si>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</si>
  <si>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</si>
  <si>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</si>
  <si>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</si>
  <si>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</si>
  <si>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</si>
  <si>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</si>
  <si>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</si>
  <si>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</si>
  <si>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</si>
  <si>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</si>
  <si>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</si>
  <si>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</si>
  <si>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</si>
  <si>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</si>
  <si>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</si>
  <si>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</si>
  <si>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</si>
  <si>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</si>
  <si>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</si>
  <si>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</si>
  <si>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</si>
  <si>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</si>
  <si>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</si>
  <si>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</si>
  <si>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</si>
  <si>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</si>
  <si>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</si>
  <si>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</si>
  <si>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</si>
  <si>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</si>
  <si>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</si>
  <si>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</si>
  <si>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</si>
  <si>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</si>
  <si>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</si>
  <si>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</si>
  <si>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</si>
  <si>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</si>
  <si>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</si>
  <si>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</si>
  <si>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</si>
  <si>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</si>
  <si>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</si>
  <si>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</si>
  <si>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</si>
  <si>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</si>
  <si>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</si>
  <si>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</si>
  <si>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</si>
  <si>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</si>
  <si>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</si>
  <si>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</si>
  <si>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</si>
  <si>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</si>
  <si>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</si>
  <si>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</si>
  <si>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</si>
  <si>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</si>
  <si>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</si>
  <si>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</si>
  <si>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</si>
  <si>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</si>
  <si>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</si>
  <si>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</si>
  <si>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</si>
  <si>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</si>
  <si>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</si>
  <si>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</si>
  <si>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</si>
  <si>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</si>
  <si>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</si>
  <si>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</si>
  <si>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</si>
  <si>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</si>
  <si>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</si>
  <si>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</si>
  <si>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</si>
  <si>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</si>
  <si>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</si>
  <si>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</si>
  <si>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</si>
  <si>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</si>
  <si>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</si>
  <si>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</si>
  <si>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</si>
  <si>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</si>
  <si>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</si>
  <si>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</si>
  <si>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</si>
  <si>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</si>
  <si>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</si>
  <si>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</si>
  <si>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</si>
  <si>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</si>
  <si>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</si>
  <si>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</si>
  <si>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</si>
  <si>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</si>
  <si>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</si>
  <si>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</si>
  <si>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</si>
  <si>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</si>
  <si>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</si>
  <si>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</si>
  <si>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</si>
  <si>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</si>
  <si>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</si>
  <si>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</si>
  <si>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</si>
  <si>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</si>
  <si>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</si>
  <si>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</si>
  <si>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</si>
  <si>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</si>
  <si>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</si>
  <si>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</si>
  <si>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</si>
  <si>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</si>
  <si>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</si>
  <si>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</si>
  <si>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</si>
  <si>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</si>
  <si>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</si>
  <si>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</si>
  <si>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</si>
  <si>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</si>
  <si>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</si>
  <si>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</si>
  <si>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</si>
  <si>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</si>
  <si>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</si>
  <si>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</si>
  <si>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</si>
  <si>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</si>
  <si>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</si>
  <si>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</si>
  <si>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</si>
  <si>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</si>
  <si>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</si>
  <si>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</si>
  <si>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</si>
  <si>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</si>
  <si>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</si>
  <si>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</si>
  <si>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</si>
  <si>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</si>
  <si>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</si>
  <si>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</si>
  <si>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</si>
  <si>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</si>
  <si>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</si>
  <si>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</si>
  <si>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</si>
  <si>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</si>
  <si>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</si>
  <si>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</si>
  <si>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</si>
  <si>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</si>
  <si>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</si>
  <si>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</si>
  <si>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</si>
  <si>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</si>
  <si>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</si>
  <si>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</si>
  <si>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</si>
  <si>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</si>
  <si>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</si>
  <si>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</si>
  <si>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</si>
  <si>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</si>
  <si>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</si>
  <si>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</si>
  <si>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</si>
  <si>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</si>
  <si>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</si>
  <si>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</si>
  <si>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</si>
  <si>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</si>
  <si>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</si>
  <si>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</si>
  <si>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</si>
  <si>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</si>
  <si>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</si>
  <si>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</si>
  <si>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</si>
  <si>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</si>
  <si>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</si>
  <si>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</si>
  <si>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</si>
  <si>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</si>
  <si>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</si>
  <si>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</si>
  <si>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</si>
  <si>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</si>
  <si>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</si>
  <si>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</si>
  <si>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</si>
  <si>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</si>
  <si>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</si>
  <si>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</si>
  <si>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</si>
  <si>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</si>
  <si>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</si>
  <si>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</si>
  <si>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</si>
  <si>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</si>
  <si>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</si>
  <si>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</si>
  <si>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</si>
  <si>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</si>
  <si>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</si>
  <si>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</si>
  <si>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</si>
  <si>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</si>
  <si>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</si>
  <si>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</si>
  <si>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</si>
  <si>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</si>
  <si>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</si>
  <si>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</si>
  <si>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</si>
  <si>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</si>
  <si>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</si>
  <si>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</si>
  <si>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</si>
  <si>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</si>
  <si>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</si>
  <si>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</si>
  <si>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</si>
  <si>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</si>
  <si>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</si>
  <si>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</si>
  <si>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</si>
  <si>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</si>
  <si>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</si>
  <si>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</si>
  <si>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</si>
  <si>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</si>
  <si>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</si>
  <si>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</si>
  <si>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</si>
  <si>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</si>
  <si>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</si>
  <si>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</si>
  <si>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</si>
  <si>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</si>
  <si>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</si>
  <si>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</si>
  <si>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</si>
  <si>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</si>
  <si>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</si>
  <si>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</si>
  <si>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</si>
  <si>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</si>
  <si>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</si>
  <si>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</si>
  <si>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</si>
  <si>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</si>
  <si>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</si>
  <si>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</si>
  <si>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</si>
  <si>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</si>
  <si>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</si>
  <si>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</si>
  <si>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</si>
  <si>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</si>
  <si>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</si>
  <si>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</si>
  <si>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</si>
  <si>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</si>
  <si>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</si>
  <si>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</si>
  <si>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</si>
  <si>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</si>
  <si>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</si>
  <si>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</si>
  <si>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</si>
  <si>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</si>
  <si>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</si>
  <si>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</si>
  <si>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</si>
  <si>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</si>
  <si>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</si>
  <si>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</si>
  <si>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</si>
  <si>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</si>
  <si>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</si>
  <si>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</si>
  <si>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</si>
  <si>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</si>
  <si>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</si>
  <si>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</si>
  <si>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</si>
  <si>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</si>
  <si>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</si>
  <si>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</si>
  <si>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</si>
  <si>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</si>
  <si>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</si>
  <si>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</si>
  <si>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</si>
  <si>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</si>
  <si>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</si>
  <si>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</si>
  <si>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</si>
  <si>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</si>
  <si>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</si>
  <si>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</si>
  <si>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</si>
  <si>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</si>
  <si>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</si>
  <si>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</si>
  <si>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</si>
  <si>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</si>
  <si>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</si>
  <si>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</si>
  <si>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</si>
  <si>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</si>
  <si>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</si>
  <si>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</si>
  <si>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</si>
  <si>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</si>
  <si>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</si>
  <si>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</si>
  <si>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</si>
  <si>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</si>
  <si>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</si>
  <si>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</si>
  <si>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</si>
  <si>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</si>
  <si>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</si>
  <si>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</si>
  <si>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</si>
  <si>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</si>
  <si>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</si>
  <si>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</si>
  <si>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</si>
  <si>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</si>
  <si>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</si>
  <si>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</si>
  <si>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</si>
  <si>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</si>
  <si>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</si>
  <si>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</si>
  <si>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</si>
  <si>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</si>
  <si>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</si>
  <si>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</si>
  <si>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</si>
  <si>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</si>
  <si>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</si>
  <si>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</si>
  <si>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</si>
  <si>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</si>
  <si>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</si>
  <si>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</si>
  <si>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</si>
  <si>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</si>
  <si>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</si>
  <si>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</si>
  <si>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</si>
  <si>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</si>
  <si>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</si>
  <si>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</si>
  <si>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</si>
  <si>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</si>
  <si>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</si>
  <si>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</si>
  <si>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</si>
  <si>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</si>
  <si>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</si>
  <si>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</si>
  <si>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</si>
  <si>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</si>
  <si>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</si>
  <si>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</si>
  <si>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</si>
  <si>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</si>
  <si>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</si>
  <si>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</si>
  <si>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</si>
  <si>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</si>
  <si>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</si>
  <si>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</si>
  <si>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</si>
  <si>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</si>
  <si>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</si>
  <si>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</si>
  <si>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</si>
  <si>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</si>
  <si>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</si>
  <si>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</si>
  <si>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</si>
  <si>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</si>
  <si>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</si>
  <si>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</si>
  <si>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</si>
  <si>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</si>
  <si>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</si>
  <si>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</si>
  <si>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</si>
  <si>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</si>
  <si>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</si>
  <si>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</si>
  <si>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</si>
  <si>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</si>
  <si>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</si>
  <si>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</si>
  <si>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</si>
  <si>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</si>
  <si>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</si>
  <si>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</si>
  <si>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</si>
  <si>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</si>
  <si>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</si>
  <si>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</si>
  <si>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</si>
  <si>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</si>
  <si>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</si>
  <si>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</si>
  <si>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</si>
  <si>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</si>
  <si>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</si>
  <si>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</si>
  <si>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</si>
  <si>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</si>
  <si>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</si>
  <si>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</si>
  <si>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</si>
  <si>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</si>
  <si>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</si>
  <si>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</si>
  <si>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</si>
  <si>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</si>
  <si>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</si>
  <si>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</si>
  <si>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</si>
  <si>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</si>
  <si>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</si>
  <si>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</si>
  <si>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</si>
  <si>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</si>
  <si>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</si>
  <si>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</si>
  <si>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</si>
  <si>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</si>
  <si>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</si>
  <si>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</si>
  <si>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</si>
  <si>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</si>
  <si>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</si>
  <si>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</si>
  <si>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</si>
  <si>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</si>
  <si>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</si>
  <si>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</si>
  <si>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</si>
  <si>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</si>
  <si>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</si>
  <si>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</si>
  <si>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</si>
  <si>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</si>
  <si>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</si>
  <si>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</si>
  <si>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</si>
  <si>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</si>
  <si>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</si>
  <si>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</si>
  <si>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</si>
  <si>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</si>
  <si>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</si>
  <si>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</si>
  <si>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</si>
  <si>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</si>
  <si>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</si>
  <si>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</si>
  <si>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</si>
  <si>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</si>
  <si>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</si>
  <si>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</si>
  <si>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</si>
  <si>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</si>
  <si>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</si>
  <si>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</si>
  <si>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</si>
  <si>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</si>
  <si>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</si>
  <si>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</si>
  <si>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</si>
  <si>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</si>
  <si>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</si>
  <si>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</si>
  <si>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</si>
  <si>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</si>
  <si>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</si>
  <si>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</si>
  <si>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</si>
  <si>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</si>
  <si>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</si>
  <si>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</si>
  <si>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</si>
  <si>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</si>
  <si>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</si>
  <si>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</si>
  <si>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</si>
  <si>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</si>
  <si>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</si>
  <si>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</si>
  <si>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</si>
  <si>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</si>
  <si>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</si>
  <si>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</si>
  <si>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</si>
  <si>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</si>
  <si>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</si>
  <si>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</si>
  <si>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</si>
  <si>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</si>
  <si>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</si>
  <si>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</si>
  <si>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</si>
  <si>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</si>
  <si>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</si>
  <si>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</si>
  <si>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</si>
  <si>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</si>
  <si>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</si>
  <si>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</si>
  <si>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</si>
  <si>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</si>
  <si>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</si>
  <si>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</si>
  <si>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</si>
  <si>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</si>
  <si>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</si>
  <si>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</si>
  <si>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</si>
  <si>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</si>
  <si>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</si>
  <si>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</si>
  <si>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</si>
  <si>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</si>
  <si>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</si>
  <si>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</si>
  <si>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</si>
  <si>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</si>
  <si>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</si>
  <si>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</si>
  <si>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</si>
  <si>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</si>
  <si>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</si>
  <si>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</si>
  <si>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</si>
  <si>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</si>
  <si>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</si>
  <si>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</si>
  <si>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</si>
  <si>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</si>
  <si>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</si>
  <si>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</si>
  <si>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</si>
  <si>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</si>
  <si>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</si>
  <si>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</si>
  <si>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</si>
  <si>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</si>
  <si>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</si>
  <si>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</si>
  <si>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</si>
  <si>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</si>
  <si>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</si>
  <si>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</si>
  <si>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</si>
  <si>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</si>
  <si>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</si>
  <si>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</si>
  <si>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</si>
  <si>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</si>
  <si>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</si>
  <si>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</si>
  <si>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</si>
  <si>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</si>
  <si>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</si>
  <si>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</si>
  <si>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</si>
  <si>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</si>
  <si>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</si>
  <si>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</si>
  <si>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</si>
  <si>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</si>
  <si>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</si>
  <si>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</si>
  <si>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</si>
  <si>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</si>
  <si>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</si>
  <si>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</si>
  <si>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</si>
  <si>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</si>
  <si>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</si>
  <si>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</si>
  <si>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</si>
  <si>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</si>
  <si>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</si>
  <si>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</si>
  <si>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</si>
  <si>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</si>
  <si>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</si>
  <si>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</si>
  <si>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</si>
  <si>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</si>
  <si>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</si>
  <si>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</si>
  <si>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</si>
  <si>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</si>
  <si>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</si>
  <si>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</si>
  <si>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</si>
  <si>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</si>
  <si>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</si>
  <si>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</si>
  <si>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</si>
  <si>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</si>
  <si>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</si>
  <si>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</si>
  <si>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</si>
  <si>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</si>
  <si>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</si>
  <si>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</si>
  <si>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</si>
  <si>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</si>
  <si>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</si>
  <si>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</si>
  <si>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</si>
  <si>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</si>
  <si>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</si>
  <si>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</si>
  <si>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</si>
  <si>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</si>
  <si>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</si>
  <si>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</si>
  <si>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</si>
  <si>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</si>
  <si>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</si>
  <si>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</si>
  <si>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</si>
  <si>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</si>
  <si>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</si>
  <si>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</si>
  <si>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</si>
  <si>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</si>
  <si>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</si>
  <si>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</si>
  <si>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</si>
  <si>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</si>
  <si>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</si>
  <si>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</si>
  <si>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</si>
  <si>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</si>
  <si>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</si>
  <si>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</si>
  <si>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</si>
  <si>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</si>
  <si>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</si>
  <si>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</si>
  <si>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</si>
  <si>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</si>
  <si>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</si>
  <si>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</si>
  <si>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</si>
  <si>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</si>
  <si>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</si>
  <si>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</si>
  <si>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</si>
  <si>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</si>
  <si>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</si>
  <si>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</si>
  <si>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</si>
  <si>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</si>
  <si>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</si>
  <si>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</si>
  <si>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</si>
  <si>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</si>
  <si>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</si>
  <si>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</si>
  <si>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</si>
  <si>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</si>
  <si>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</si>
  <si>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</si>
  <si>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</si>
  <si>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</si>
  <si>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</si>
  <si>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</si>
  <si>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</si>
  <si>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</si>
  <si>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</si>
  <si>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</si>
  <si>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</si>
  <si>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</si>
  <si>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</si>
  <si>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</si>
  <si>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</si>
  <si>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</si>
  <si>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</si>
  <si>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</si>
  <si>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</si>
  <si>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</si>
  <si>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</si>
  <si>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</si>
  <si>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</si>
  <si>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</si>
  <si>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</si>
  <si>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</si>
  <si>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</si>
  <si>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</si>
  <si>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</si>
  <si>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</si>
  <si>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</si>
  <si>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</si>
  <si>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</si>
  <si>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</si>
  <si>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</si>
  <si>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</si>
  <si>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</si>
  <si>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</si>
  <si>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</si>
  <si>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</si>
  <si>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</si>
  <si>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</si>
  <si>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</si>
  <si>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</si>
  <si>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</si>
  <si>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</si>
  <si>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</si>
  <si>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</si>
  <si>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</si>
  <si>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</si>
  <si>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</si>
  <si>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</si>
  <si>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</si>
  <si>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</si>
  <si>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</si>
  <si>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</si>
  <si>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</si>
  <si>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</si>
  <si>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</si>
  <si>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</si>
  <si>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</si>
  <si>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</si>
  <si>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</si>
  <si>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</si>
  <si>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</si>
  <si>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</si>
  <si>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</si>
  <si>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</si>
  <si>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</si>
  <si>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</si>
  <si>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</si>
  <si>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</si>
  <si>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</si>
  <si>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</si>
  <si>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</si>
  <si>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</si>
  <si>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</si>
  <si>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</si>
  <si>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</si>
  <si>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</si>
  <si>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</si>
  <si>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</si>
  <si>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</si>
  <si>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</si>
  <si>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</si>
  <si>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</si>
  <si>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</si>
  <si>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</si>
  <si>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</si>
  <si>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</si>
  <si>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</si>
  <si>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</si>
  <si>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</si>
  <si>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</si>
  <si>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</si>
  <si>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</si>
  <si>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</si>
  <si>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</si>
  <si>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</si>
  <si>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</si>
  <si>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</si>
  <si>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</si>
  <si>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</si>
  <si>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</si>
  <si>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</si>
  <si>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</si>
  <si>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</si>
  <si>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</si>
  <si>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</si>
  <si>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</si>
  <si>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</si>
  <si>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</si>
  <si>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</si>
  <si>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</si>
  <si>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</si>
  <si>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</si>
  <si>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</si>
  <si>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</si>
  <si>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</si>
  <si>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</si>
  <si>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</si>
  <si>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</si>
  <si>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</si>
  <si>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</si>
  <si>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</si>
  <si>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</si>
  <si>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</si>
  <si>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</si>
  <si>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</si>
  <si>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</si>
  <si>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</si>
  <si>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</si>
  <si>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</si>
  <si>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</si>
  <si>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</si>
  <si>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</si>
  <si>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</si>
  <si>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</si>
  <si>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</si>
  <si>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</si>
  <si>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</si>
  <si>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</si>
  <si>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</si>
  <si>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</si>
  <si>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</si>
  <si>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</si>
  <si>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</si>
  <si>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</si>
  <si>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</si>
  <si>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</si>
  <si>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</si>
  <si>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</si>
  <si>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</si>
  <si>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</si>
  <si>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</si>
  <si>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</si>
  <si>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</si>
  <si>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</si>
  <si>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</si>
  <si>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</si>
  <si>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</si>
  <si>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</si>
  <si>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</si>
  <si>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</si>
  <si>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</si>
  <si>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</si>
  <si>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</si>
  <si>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</si>
  <si>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</si>
  <si>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</si>
  <si>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</si>
  <si>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</si>
  <si>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</si>
  <si>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</si>
  <si>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</si>
  <si>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</si>
  <si>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</si>
  <si>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</si>
  <si>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</si>
  <si>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</si>
  <si>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</si>
  <si>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</si>
  <si>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</si>
  <si>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</si>
  <si>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</si>
  <si>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</si>
  <si>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</si>
  <si>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</si>
  <si>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</si>
  <si>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</si>
  <si>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</si>
  <si>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</si>
  <si>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</si>
  <si>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</si>
  <si>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</si>
  <si>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</si>
  <si>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</si>
  <si>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</si>
  <si>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</si>
  <si>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</si>
  <si>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</si>
  <si>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</si>
  <si>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</si>
  <si>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</si>
  <si>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</si>
  <si>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</si>
  <si>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</si>
  <si>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</si>
  <si>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</si>
  <si>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</si>
  <si>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</si>
  <si>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</si>
  <si>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</si>
  <si>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</si>
  <si>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</si>
  <si>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</si>
  <si>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</si>
  <si>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</si>
  <si>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</si>
  <si>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</si>
  <si>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</si>
  <si>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</si>
  <si>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</si>
  <si>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</si>
  <si>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</si>
  <si>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</si>
  <si>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</si>
  <si>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</si>
  <si>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</si>
  <si>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</si>
  <si>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</si>
  <si>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</si>
  <si>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</si>
  <si>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</si>
  <si>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</si>
  <si>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</si>
  <si>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</si>
  <si>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</si>
  <si>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</si>
  <si>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</si>
  <si>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</si>
  <si>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</si>
  <si>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</si>
  <si>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</si>
  <si>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</si>
  <si>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</si>
  <si>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</si>
  <si>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</si>
  <si>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</si>
  <si>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</si>
  <si>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</si>
  <si>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</si>
  <si>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</si>
  <si>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</si>
  <si>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</si>
  <si>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</si>
  <si>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</si>
  <si>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</si>
  <si>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</si>
  <si>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</si>
  <si>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</si>
  <si>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</si>
  <si>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</si>
  <si>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</si>
  <si>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</si>
  <si>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</si>
  <si>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</si>
  <si>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</si>
  <si>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</si>
  <si>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</si>
  <si>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</si>
  <si>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</si>
  <si>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</si>
  <si>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</si>
  <si>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</si>
  <si>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</si>
  <si>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</si>
  <si>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</si>
  <si>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</si>
  <si>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</si>
  <si>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</si>
  <si>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</si>
  <si>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</si>
  <si>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</si>
  <si>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</si>
  <si>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</si>
  <si>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</si>
  <si>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</si>
  <si>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</si>
  <si>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</si>
  <si>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</si>
  <si>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</si>
  <si>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</si>
  <si>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</si>
  <si>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</si>
  <si>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</si>
  <si>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</si>
  <si>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</si>
  <si>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</si>
  <si>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</si>
  <si>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</si>
  <si>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</si>
  <si>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</si>
  <si>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</si>
  <si>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</si>
  <si>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</si>
  <si>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</si>
  <si>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</si>
  <si>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</si>
  <si>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</si>
  <si>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</si>
  <si>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</si>
  <si>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</si>
  <si>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</si>
  <si>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</si>
  <si>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</si>
  <si>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</si>
  <si>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</si>
  <si>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</si>
  <si>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</si>
  <si>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</si>
  <si>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</si>
  <si>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</si>
  <si>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</si>
  <si>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</si>
  <si>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</si>
  <si>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</si>
  <si>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</si>
  <si>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</si>
  <si>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</si>
  <si>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</si>
  <si>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</si>
  <si>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</si>
  <si>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</si>
  <si>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</si>
  <si>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</si>
  <si>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</si>
  <si>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</si>
  <si>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</si>
  <si>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</si>
  <si>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</si>
  <si>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</si>
  <si>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</si>
  <si>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</si>
  <si>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</si>
  <si>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</si>
  <si>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</si>
  <si>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</si>
  <si>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</si>
  <si>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</si>
  <si>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</si>
  <si>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</si>
  <si>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</si>
  <si>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</si>
  <si>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</si>
  <si>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</si>
  <si>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</si>
  <si>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</si>
  <si>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</si>
  <si>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</si>
  <si>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</si>
  <si>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</si>
  <si>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</si>
  <si>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</si>
  <si>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</si>
  <si>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</si>
  <si>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</si>
  <si>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</si>
  <si>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</si>
  <si>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</si>
  <si>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</si>
  <si>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</si>
  <si>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</si>
  <si>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</si>
  <si>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</si>
  <si>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</si>
  <si>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</si>
  <si>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</si>
  <si>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</si>
  <si>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</si>
  <si>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</si>
  <si>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</si>
  <si>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</si>
  <si>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</si>
  <si>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</si>
  <si>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</si>
  <si>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</si>
  <si>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</si>
  <si>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</si>
  <si>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</si>
  <si>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</si>
  <si>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</si>
  <si>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</si>
  <si>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</si>
  <si>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</si>
  <si>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</si>
  <si>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</si>
  <si>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</si>
  <si>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</si>
  <si>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</si>
  <si>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</si>
  <si>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</si>
  <si>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</si>
  <si>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</si>
  <si>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</si>
  <si>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</si>
  <si>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</si>
  <si>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</si>
  <si>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</si>
  <si>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</si>
  <si>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</si>
  <si>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</si>
  <si>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</si>
  <si>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</si>
  <si>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</si>
  <si>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</si>
  <si>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</si>
  <si>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</si>
  <si>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</si>
  <si>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</si>
  <si>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</si>
  <si>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</si>
  <si>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</si>
  <si>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</si>
  <si>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</si>
  <si>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</si>
  <si>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</si>
  <si>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</si>
  <si>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</si>
  <si>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</si>
  <si>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</si>
  <si>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</si>
  <si>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</si>
  <si>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</si>
  <si>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</si>
  <si>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</si>
  <si>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</si>
  <si>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</si>
  <si>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</si>
  <si>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</si>
  <si>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</si>
  <si>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</si>
  <si>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</si>
  <si>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</si>
  <si>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</si>
  <si>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</si>
  <si>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</si>
  <si>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</si>
  <si>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</si>
  <si>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</si>
  <si>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</si>
  <si>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</si>
  <si>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</si>
  <si>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</si>
  <si>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</si>
  <si>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</si>
  <si>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</si>
  <si>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</si>
  <si>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</si>
  <si>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</si>
  <si>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</si>
  <si>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</si>
  <si>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</si>
  <si>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</si>
  <si>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</si>
  <si>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</si>
  <si>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</si>
  <si>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</si>
  <si>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</si>
  <si>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</si>
  <si>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</si>
  <si>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</si>
  <si>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</si>
  <si>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</si>
  <si>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</si>
  <si>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</si>
  <si>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</si>
  <si>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</si>
  <si>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</si>
  <si>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</si>
  <si>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</si>
  <si>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</si>
  <si>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</si>
  <si>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</si>
  <si>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</si>
  <si>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</si>
  <si>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</si>
  <si>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</si>
  <si>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</si>
  <si>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</si>
  <si>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</si>
  <si>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</si>
  <si>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</si>
  <si>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</si>
  <si>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</si>
  <si>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</si>
  <si>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</si>
  <si>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</si>
  <si>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</si>
  <si>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</si>
  <si>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</si>
  <si>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</si>
  <si>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</si>
  <si>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</si>
  <si>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</si>
  <si>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</si>
  <si>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</si>
  <si>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</si>
  <si>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</si>
  <si>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</si>
  <si>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</si>
  <si>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</si>
  <si>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</si>
  <si>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</si>
  <si>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</si>
  <si>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</si>
  <si>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</si>
  <si>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</si>
  <si>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</si>
  <si>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</si>
  <si>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</si>
  <si>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</si>
  <si>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</si>
  <si>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</si>
  <si>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</si>
  <si>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</si>
  <si>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</si>
  <si>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</si>
  <si>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</si>
  <si>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</si>
  <si>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</si>
  <si>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</si>
  <si>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</si>
  <si>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</si>
  <si>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</si>
  <si>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</si>
  <si>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</si>
  <si>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</si>
  <si>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</si>
  <si>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</si>
  <si>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</si>
  <si>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</si>
  <si>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</si>
  <si>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</si>
  <si>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</si>
  <si>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</si>
  <si>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</si>
  <si>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</si>
  <si>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</si>
  <si>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</si>
  <si>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</si>
  <si>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</si>
  <si>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</si>
  <si>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</si>
  <si>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</si>
  <si>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</si>
  <si>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</si>
  <si>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</si>
  <si>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</si>
  <si>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</si>
  <si>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</si>
  <si>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</si>
  <si>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</si>
  <si>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</si>
  <si>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</si>
  <si>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</si>
  <si>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</si>
  <si>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</si>
  <si>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</si>
  <si>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</si>
  <si>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</si>
  <si>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</si>
  <si>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</si>
  <si>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</si>
  <si>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</si>
  <si>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</si>
  <si>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</si>
  <si>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</si>
  <si>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</si>
  <si>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</si>
  <si>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</si>
  <si>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</si>
  <si>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</si>
  <si>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</si>
  <si>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</si>
  <si>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</si>
  <si>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</si>
  <si>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</si>
  <si>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</si>
  <si>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</si>
  <si>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</si>
  <si>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</si>
  <si>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</si>
  <si>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</si>
  <si>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</si>
  <si>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</si>
  <si>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</si>
  <si>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</si>
  <si>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</si>
  <si>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</si>
  <si>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</si>
  <si>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</si>
  <si>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</si>
  <si>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</si>
  <si>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</si>
  <si>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</si>
  <si>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</si>
  <si>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</si>
  <si>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</si>
  <si>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</si>
  <si>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</si>
  <si>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</si>
  <si>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</si>
  <si>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</si>
  <si>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</si>
  <si>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</si>
  <si>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</si>
  <si>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</si>
  <si>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</si>
  <si>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</si>
  <si>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</si>
  <si>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</si>
  <si>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</si>
  <si>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</si>
  <si>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</si>
  <si>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</si>
  <si>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</si>
  <si>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</si>
  <si>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</si>
  <si>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</si>
  <si>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</si>
  <si>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</si>
  <si>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</si>
  <si>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</si>
  <si>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</si>
  <si>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</si>
  <si>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</si>
  <si>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</si>
  <si>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</si>
  <si>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</si>
  <si>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</si>
  <si>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</si>
  <si>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</si>
  <si>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</si>
  <si>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</si>
  <si>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</si>
  <si>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</si>
  <si>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</si>
  <si>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</si>
  <si>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</si>
  <si>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</si>
  <si>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</si>
  <si>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</si>
  <si>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</si>
  <si>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</si>
  <si>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</si>
  <si>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</si>
  <si>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</si>
  <si>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</si>
  <si>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</si>
  <si>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</si>
  <si>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</si>
  <si>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</si>
  <si>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</si>
  <si>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</si>
  <si>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</si>
  <si>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</si>
  <si>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</si>
  <si>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</si>
  <si>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</si>
  <si>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</si>
  <si>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</si>
  <si>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</si>
  <si>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</si>
  <si>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</si>
  <si>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</si>
  <si>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</si>
  <si>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</si>
  <si>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</si>
  <si>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</si>
  <si>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</si>
  <si>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</si>
  <si>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</si>
  <si>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</si>
  <si>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</si>
  <si>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</si>
  <si>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</si>
  <si>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</si>
  <si>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</si>
  <si>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</si>
  <si>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</si>
  <si>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</si>
  <si>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</si>
  <si>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</si>
  <si>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</si>
  <si>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</si>
  <si>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</si>
  <si>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</si>
  <si>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</si>
  <si>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</si>
  <si>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</si>
  <si>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</si>
  <si>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</si>
  <si>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</si>
  <si>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</si>
  <si>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</si>
  <si>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</si>
  <si>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</si>
  <si>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</si>
  <si>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</si>
  <si>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</si>
  <si>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</si>
  <si>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</si>
  <si>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</si>
  <si>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</si>
  <si>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</si>
  <si>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</si>
  <si>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</si>
  <si>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</si>
  <si>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</si>
  <si>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</si>
  <si>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</si>
  <si>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</si>
  <si>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</si>
  <si>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</si>
  <si>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</si>
  <si>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</si>
  <si>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</si>
  <si>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</si>
  <si>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</si>
  <si>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</si>
  <si>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</si>
  <si>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</si>
  <si>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</si>
  <si>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</si>
  <si>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</si>
  <si>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</si>
  <si>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</si>
  <si>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</si>
  <si>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</si>
  <si>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</si>
  <si>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</si>
  <si>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</si>
  <si>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</si>
  <si>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</si>
  <si>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</si>
  <si>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</si>
  <si>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</si>
  <si>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</si>
  <si>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</si>
  <si>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</si>
  <si>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</si>
  <si>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</si>
  <si>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</si>
  <si>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</si>
  <si>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</si>
  <si>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</si>
  <si>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</si>
  <si>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</si>
  <si>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</si>
  <si>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</si>
  <si>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</si>
  <si>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</si>
  <si>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</si>
  <si>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</si>
  <si>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</si>
  <si>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</si>
  <si>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</si>
  <si>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</si>
  <si>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</si>
  <si>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</si>
  <si>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</si>
  <si>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</si>
  <si>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</si>
  <si>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</si>
  <si>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</si>
  <si>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</si>
  <si>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</si>
  <si>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</si>
  <si>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</si>
  <si>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</si>
  <si>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</si>
  <si>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</si>
  <si>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</si>
  <si>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</si>
  <si>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</si>
  <si>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</si>
  <si>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</si>
  <si>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</si>
  <si>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</si>
  <si>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</si>
  <si>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</si>
  <si>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</si>
  <si>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</si>
  <si>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</si>
  <si>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</si>
  <si>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</si>
  <si>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</si>
  <si>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</si>
  <si>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</si>
  <si>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</si>
  <si>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</si>
  <si>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</si>
  <si>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</si>
  <si>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</si>
  <si>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</si>
  <si>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</si>
  <si>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</si>
  <si>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</si>
  <si>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</si>
  <si>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</si>
  <si>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</si>
  <si>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</si>
  <si>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</si>
  <si>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</si>
  <si>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</si>
  <si>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</si>
  <si>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</si>
  <si>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</si>
  <si>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</si>
  <si>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</si>
  <si>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</si>
  <si>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</si>
  <si>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</si>
  <si>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</si>
  <si>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</si>
  <si>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</si>
  <si>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</si>
  <si>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</si>
  <si>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</si>
  <si>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</si>
  <si>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</si>
  <si>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</si>
  <si>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</si>
  <si>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</si>
  <si>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</si>
  <si>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</si>
  <si>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</si>
  <si>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</si>
  <si>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</si>
  <si>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</si>
  <si>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</si>
  <si>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</si>
  <si>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</si>
  <si>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</si>
  <si>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</si>
  <si>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</si>
  <si>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</si>
  <si>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</si>
  <si>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</si>
  <si>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</si>
  <si>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</si>
  <si>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</si>
  <si>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</si>
  <si>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</si>
  <si>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</si>
  <si>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</si>
  <si>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</si>
  <si>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</si>
  <si>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</si>
  <si>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</si>
  <si>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</si>
  <si>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</si>
  <si>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</si>
  <si>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</si>
  <si>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</si>
  <si>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</si>
  <si>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</si>
  <si>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</si>
  <si>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</si>
  <si>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</si>
  <si>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</si>
  <si>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</si>
  <si>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</si>
  <si>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</si>
  <si>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</si>
  <si>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</si>
  <si>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</si>
  <si>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</si>
  <si>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</si>
  <si>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</si>
  <si>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</si>
  <si>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</si>
  <si>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</si>
  <si>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</si>
  <si>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</si>
  <si>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</si>
  <si>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</si>
  <si>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</si>
  <si>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</si>
  <si>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</si>
  <si>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</si>
  <si>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</si>
  <si>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</si>
  <si>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</si>
  <si>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</si>
  <si>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</si>
  <si>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</si>
  <si>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</si>
  <si>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</si>
  <si>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</si>
  <si>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</si>
  <si>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</si>
  <si>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</si>
  <si>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</si>
  <si>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</si>
  <si>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</si>
  <si>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</si>
  <si>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</si>
  <si>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</si>
  <si>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</si>
  <si>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</si>
  <si>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</si>
  <si>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</si>
  <si>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</si>
  <si>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</si>
  <si>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</si>
  <si>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</si>
  <si>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</si>
  <si>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</si>
  <si>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</si>
  <si>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</si>
  <si>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</si>
  <si>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</si>
  <si>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</si>
  <si>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</si>
  <si>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</si>
  <si>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</si>
  <si>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</si>
  <si>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</si>
  <si>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</si>
  <si>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</si>
  <si>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</si>
  <si>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</si>
  <si>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</si>
  <si>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</si>
  <si>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</si>
  <si>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</si>
  <si>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</si>
  <si>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</si>
  <si>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</si>
  <si>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</si>
  <si>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</si>
  <si>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</si>
  <si>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</si>
  <si>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</si>
  <si>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</si>
  <si>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</si>
  <si>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</si>
  <si>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</si>
  <si>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</si>
  <si>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</si>
  <si>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</si>
  <si>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</si>
  <si>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</si>
  <si>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</si>
  <si>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</si>
  <si>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</si>
  <si>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</si>
  <si>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</si>
  <si>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</si>
  <si>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</si>
  <si>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</si>
  <si>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</si>
  <si>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</si>
  <si>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</si>
  <si>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</si>
  <si>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</si>
  <si>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</si>
  <si>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</si>
  <si>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</si>
  <si>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</si>
  <si>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</si>
  <si>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</si>
  <si>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</si>
  <si>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</si>
  <si>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</si>
  <si>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</si>
  <si>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</si>
  <si>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</si>
  <si>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</si>
  <si>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</si>
  <si>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</si>
  <si>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</si>
  <si>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</si>
  <si>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</si>
  <si>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</si>
  <si>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</si>
  <si>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</si>
  <si>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</si>
  <si>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</si>
  <si>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</si>
  <si>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</si>
  <si>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</si>
  <si>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</si>
  <si>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</si>
  <si>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</si>
  <si>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</si>
  <si>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</si>
  <si>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</si>
  <si>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</si>
  <si>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</si>
  <si>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</si>
  <si>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</si>
  <si>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</si>
  <si>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</si>
  <si>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</si>
  <si>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</si>
  <si>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</si>
  <si>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</si>
  <si>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</si>
  <si>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</si>
  <si>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</si>
  <si>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</si>
  <si>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</si>
  <si>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</si>
  <si>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</si>
  <si>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</si>
  <si>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</si>
  <si>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</si>
  <si>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</si>
  <si>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</si>
  <si>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</si>
  <si>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</si>
  <si>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</si>
  <si>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</si>
  <si>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</si>
  <si>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</si>
  <si>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</si>
  <si>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</si>
  <si>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</si>
  <si>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</si>
  <si>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</si>
  <si>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</si>
  <si>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</si>
  <si>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</si>
  <si>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</si>
  <si>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</si>
  <si>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</si>
  <si>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</si>
  <si>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</si>
  <si>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</si>
  <si>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</si>
  <si>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</si>
  <si>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</si>
  <si>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</si>
  <si>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</si>
  <si>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</si>
  <si>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</si>
  <si>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</si>
  <si>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</si>
  <si>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</si>
  <si>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</si>
  <si>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</si>
  <si>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</si>
  <si>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</si>
  <si>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</si>
  <si>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</si>
  <si>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</si>
  <si>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</si>
  <si>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</si>
  <si>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</si>
  <si>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</si>
  <si>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</si>
  <si>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</si>
  <si>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</si>
  <si>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</si>
  <si>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</si>
  <si>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王鹏</t>
  </si>
  <si>
    <t>崔锴</t>
  </si>
  <si>
    <t>大业信托有限责任公司</t>
    <phoneticPr fontId="3" type="noConversion"/>
  </si>
  <si>
    <t>抵押</t>
  </si>
  <si>
    <t>其他：</t>
  </si>
  <si>
    <t>企业</t>
  </si>
  <si>
    <t>山东省青岛市</t>
    <phoneticPr fontId="3" type="noConversion"/>
  </si>
  <si>
    <t>青岛世茂世悦置业有限公司</t>
    <phoneticPr fontId="3" type="noConversion"/>
  </si>
  <si>
    <t>抵押价格</t>
  </si>
  <si>
    <t>其他普通商品住房、批发零售</t>
    <phoneticPr fontId="3" type="noConversion"/>
  </si>
  <si>
    <t>高新区火炬路以北、规划中32号线以西370214005030GB00261号一宗住宅、商业用地</t>
    <phoneticPr fontId="3" type="noConversion"/>
  </si>
  <si>
    <t>商业</t>
  </si>
  <si>
    <t>车库</t>
  </si>
  <si>
    <t>出让</t>
  </si>
  <si>
    <t>符合</t>
  </si>
  <si>
    <t>否</t>
  </si>
  <si>
    <t>居住项目</t>
  </si>
  <si>
    <t>场地平整</t>
  </si>
  <si>
    <t>平整</t>
  </si>
  <si>
    <t>通路</t>
  </si>
  <si>
    <t>通电</t>
  </si>
  <si>
    <t>通讯</t>
  </si>
  <si>
    <t>通上水</t>
  </si>
  <si>
    <t>通下水</t>
  </si>
  <si>
    <t>通热</t>
  </si>
  <si>
    <t>燃气</t>
  </si>
  <si>
    <t>项目经济技术指标</t>
    <phoneticPr fontId="3" type="noConversion"/>
  </si>
  <si>
    <r>
      <rPr>
        <sz val="12"/>
        <rFont val="宋体"/>
        <family val="3"/>
        <charset val="134"/>
      </rPr>
      <t>名称</t>
    </r>
  </si>
  <si>
    <r>
      <rPr>
        <sz val="12"/>
        <rFont val="宋体"/>
        <family val="3"/>
        <charset val="134"/>
      </rPr>
      <t>数据</t>
    </r>
  </si>
  <si>
    <r>
      <rPr>
        <sz val="12"/>
        <rFont val="宋体"/>
        <family val="3"/>
        <charset val="134"/>
      </rPr>
      <t>单位</t>
    </r>
  </si>
  <si>
    <t>自持</t>
  </si>
  <si>
    <r>
      <rPr>
        <sz val="12"/>
        <rFont val="宋体"/>
        <family val="3"/>
        <charset val="134"/>
      </rPr>
      <t>销售</t>
    </r>
  </si>
  <si>
    <r>
      <rPr>
        <sz val="12"/>
        <rFont val="宋体"/>
        <family val="3"/>
        <charset val="134"/>
      </rPr>
      <t>建
设
规
模</t>
    </r>
  </si>
  <si>
    <r>
      <rPr>
        <sz val="12"/>
        <rFont val="宋体"/>
        <family val="3"/>
        <charset val="134"/>
      </rPr>
      <t>土地面积</t>
    </r>
  </si>
  <si>
    <r>
      <rPr>
        <sz val="12"/>
        <rFont val="宋体"/>
        <family val="3"/>
        <charset val="134"/>
      </rPr>
      <t>平方米</t>
    </r>
  </si>
  <si>
    <r>
      <rPr>
        <sz val="12"/>
        <rFont val="宋体"/>
        <family val="3"/>
        <charset val="134"/>
      </rPr>
      <t>总建筑面积</t>
    </r>
  </si>
  <si>
    <r>
      <t xml:space="preserve">      </t>
    </r>
    <r>
      <rPr>
        <sz val="12"/>
        <rFont val="宋体"/>
        <family val="3"/>
        <charset val="134"/>
      </rPr>
      <t>地上建筑面积</t>
    </r>
  </si>
  <si>
    <r>
      <rPr>
        <sz val="12"/>
        <rFont val="宋体"/>
        <family val="3"/>
        <charset val="134"/>
      </rPr>
      <t>其中</t>
    </r>
  </si>
  <si>
    <t>高层</t>
    <phoneticPr fontId="3" type="noConversion"/>
  </si>
  <si>
    <t>人才公寓</t>
    <phoneticPr fontId="3" type="noConversion"/>
  </si>
  <si>
    <t>联排别墅</t>
    <phoneticPr fontId="3" type="noConversion"/>
  </si>
  <si>
    <t>商业</t>
    <phoneticPr fontId="3" type="noConversion"/>
  </si>
  <si>
    <t>公建配套</t>
    <phoneticPr fontId="3" type="noConversion"/>
  </si>
  <si>
    <r>
      <rPr>
        <sz val="12"/>
        <rFont val="宋体"/>
        <family val="3"/>
        <charset val="134"/>
      </rPr>
      <t>地下建筑</t>
    </r>
  </si>
  <si>
    <t>其中</t>
    <phoneticPr fontId="3" type="noConversion"/>
  </si>
  <si>
    <t>人防车库（40%）</t>
    <phoneticPr fontId="3" type="noConversion"/>
  </si>
  <si>
    <t>非人防车库（60%）</t>
    <phoneticPr fontId="3" type="noConversion"/>
  </si>
  <si>
    <t>建筑占地面积</t>
  </si>
  <si>
    <t>绿化面积</t>
    <phoneticPr fontId="3" type="noConversion"/>
  </si>
  <si>
    <t>建筑密度</t>
  </si>
  <si>
    <r>
      <rPr>
        <sz val="12"/>
        <rFont val="宋体"/>
        <family val="3"/>
        <charset val="134"/>
      </rPr>
      <t>绿化率</t>
    </r>
  </si>
  <si>
    <r>
      <rPr>
        <sz val="12"/>
        <rFont val="宋体"/>
        <family val="3"/>
        <charset val="134"/>
      </rPr>
      <t>地下车位</t>
    </r>
  </si>
  <si>
    <r>
      <rPr>
        <sz val="12"/>
        <rFont val="宋体"/>
        <family val="3"/>
        <charset val="134"/>
      </rPr>
      <t>个</t>
    </r>
  </si>
  <si>
    <t>户数</t>
    <phoneticPr fontId="3" type="noConversion"/>
  </si>
  <si>
    <t>户</t>
    <phoneticPr fontId="3" type="noConversion"/>
  </si>
  <si>
    <t>项目建设投资及总投资估算表</t>
  </si>
  <si>
    <t>单位：万元</t>
  </si>
  <si>
    <t>费用项目名称</t>
  </si>
  <si>
    <t>计算基数</t>
  </si>
  <si>
    <t>单价</t>
  </si>
  <si>
    <t>建筑工程
费用</t>
  </si>
  <si>
    <t>设备购置
安装费用</t>
  </si>
  <si>
    <t>其他费用</t>
  </si>
  <si>
    <t>自持物业</t>
  </si>
  <si>
    <t>销售物业</t>
  </si>
  <si>
    <t>工程费用</t>
  </si>
  <si>
    <t>建筑工程费用</t>
  </si>
  <si>
    <t>建筑装饰工程费用</t>
  </si>
  <si>
    <t>土石方及支护工程</t>
    <phoneticPr fontId="3" type="noConversion"/>
  </si>
  <si>
    <t>地下</t>
    <phoneticPr fontId="3" type="noConversion"/>
  </si>
  <si>
    <t>公共基础设施配套费用</t>
  </si>
  <si>
    <t>物业用房</t>
  </si>
  <si>
    <t>幼儿园</t>
  </si>
  <si>
    <t>会所</t>
  </si>
  <si>
    <t>停车场</t>
  </si>
  <si>
    <t>其他配套设施</t>
  </si>
  <si>
    <t>场区基础设施配套费用</t>
  </si>
  <si>
    <t>1.3.1</t>
  </si>
  <si>
    <t>室外管网工程费用</t>
  </si>
  <si>
    <t>供电工程建设费</t>
  </si>
  <si>
    <t>青价字[2006]3号</t>
  </si>
  <si>
    <t>燃气入网费</t>
  </si>
  <si>
    <t>青价格（2006）211号</t>
  </si>
  <si>
    <t>供气工程建设费</t>
  </si>
  <si>
    <t>高层1150元/户；多层630元/户(青价字[2003]8号)</t>
  </si>
  <si>
    <t>供水工程建设费</t>
  </si>
  <si>
    <t>排雨、污工程建设费</t>
  </si>
  <si>
    <t>通信、有线、网络工程建设费</t>
  </si>
  <si>
    <t>室内外消防工程费</t>
  </si>
  <si>
    <t>1.3.2</t>
  </si>
  <si>
    <t>室外景观环境</t>
  </si>
  <si>
    <t>道路、台阶、铺装、围墙</t>
  </si>
  <si>
    <t>环境绿化、景观</t>
  </si>
  <si>
    <t>挡土墙、围墙</t>
  </si>
  <si>
    <t>照明</t>
  </si>
  <si>
    <t>景观</t>
  </si>
  <si>
    <t>环卫设施</t>
  </si>
  <si>
    <t>其他设施费用</t>
  </si>
  <si>
    <t>设备购置及安装</t>
  </si>
  <si>
    <t>电梯</t>
  </si>
  <si>
    <t>工程建设其他费用</t>
  </si>
  <si>
    <t>土地成本</t>
  </si>
  <si>
    <t>土地出让金</t>
  </si>
  <si>
    <t>土地契税及印花税</t>
    <phoneticPr fontId="3" type="noConversion"/>
  </si>
  <si>
    <t>耕地占用税</t>
  </si>
  <si>
    <t>耕地开垦费</t>
  </si>
  <si>
    <t>城镇土地使用税</t>
  </si>
  <si>
    <t>其他</t>
  </si>
  <si>
    <t>前期工程费用</t>
  </si>
  <si>
    <t>建设用地规划技术服务费</t>
  </si>
  <si>
    <t>Ⅱ类1.8（鲁价费发[2001]396号、鲁价费发[2003]35号）</t>
  </si>
  <si>
    <t>建设工程规划技术服务费</t>
  </si>
  <si>
    <t>Ⅱ类2.0（鲁价费发[2001]396号、鲁价费发[2003]36号）</t>
  </si>
  <si>
    <t>地质勘察费</t>
  </si>
  <si>
    <t>土地测绘费</t>
  </si>
  <si>
    <t>工程设计费</t>
  </si>
  <si>
    <t>施工图审查费</t>
  </si>
  <si>
    <t>8%（鲁价费发[2003]257号、青价费〔2004〕13号）</t>
  </si>
  <si>
    <t>建设项目前期工作咨询费</t>
  </si>
  <si>
    <t>环评费</t>
  </si>
  <si>
    <t>计价格（2002）125号</t>
  </si>
  <si>
    <t>工程招投标代理服务费</t>
  </si>
  <si>
    <t>鲁价费发[2003]64号</t>
  </si>
  <si>
    <t>交易中心服务费</t>
  </si>
  <si>
    <t>鲁价费发[2001]243号</t>
  </si>
  <si>
    <t>专家评审费</t>
  </si>
  <si>
    <t>鲁价费发[1999]367号</t>
  </si>
  <si>
    <t>招标、合同公证费</t>
  </si>
  <si>
    <t>预算编制费</t>
  </si>
  <si>
    <t>鲁价费发[2004]239号</t>
  </si>
  <si>
    <t>红线内三通一平</t>
  </si>
  <si>
    <t>晒图费、复印费</t>
  </si>
  <si>
    <t>拆除物土石方外运费</t>
  </si>
  <si>
    <t>行政事业性收费（基金）</t>
  </si>
  <si>
    <t>城市基础设施配套费</t>
  </si>
  <si>
    <r>
      <t>扣除1</t>
    </r>
    <r>
      <rPr>
        <sz val="10"/>
        <rFont val="宋体"/>
        <family val="3"/>
        <charset val="134"/>
      </rPr>
      <t>8元燃气费</t>
    </r>
  </si>
  <si>
    <t>防空地下室易地建设费</t>
  </si>
  <si>
    <t>26（青价费字[2001]179号）</t>
  </si>
  <si>
    <t>水土保持设施补偿费</t>
  </si>
  <si>
    <t>2.0（鲁价涉发[1995]112号）</t>
  </si>
  <si>
    <t>其他</t>
    <phoneticPr fontId="3" type="noConversion"/>
  </si>
  <si>
    <t>工程监理费</t>
  </si>
  <si>
    <t>发改价格[2007]670号</t>
  </si>
  <si>
    <t>审计费（工程结算）</t>
  </si>
  <si>
    <t>鲁价费发[2004]239号、鲁价费发[1999]73号</t>
  </si>
  <si>
    <t>房屋测绘费</t>
  </si>
  <si>
    <t>住宅1.36元/㎡；其他2.04元/㎡（财综[2001]94号）</t>
  </si>
  <si>
    <t>防雷审图测试费</t>
  </si>
  <si>
    <t>审图0.2元/㎡，测试费1元/㎡（青价费[2004]20号）</t>
  </si>
  <si>
    <t>防雷设施设备费</t>
  </si>
  <si>
    <t>4元/㎡</t>
  </si>
  <si>
    <t>建设单位管理费用</t>
  </si>
  <si>
    <t>专利、专有技术使用费</t>
  </si>
  <si>
    <t>生产准备及开办费</t>
  </si>
  <si>
    <t>办公家具购置</t>
  </si>
  <si>
    <t>人员培训费</t>
  </si>
  <si>
    <t>预备费</t>
  </si>
  <si>
    <t>基本预备费</t>
  </si>
  <si>
    <t>涨价预备金</t>
  </si>
  <si>
    <t>3.2.1</t>
  </si>
  <si>
    <t>第一年涨价预备金</t>
  </si>
  <si>
    <t>3.2.2</t>
  </si>
  <si>
    <t>第二年涨价预备金</t>
  </si>
  <si>
    <t>3.2.3</t>
  </si>
  <si>
    <t>第三年涨价预备金</t>
  </si>
  <si>
    <t>一</t>
  </si>
  <si>
    <t>建设投资</t>
  </si>
  <si>
    <t>(1+2+3)</t>
  </si>
  <si>
    <t>二</t>
  </si>
  <si>
    <t>建设期利息</t>
  </si>
  <si>
    <t>投资利息</t>
  </si>
  <si>
    <t>其他财务费用</t>
  </si>
  <si>
    <t>三</t>
  </si>
  <si>
    <t>流动资金</t>
  </si>
  <si>
    <t>详见《流动资金估算表》</t>
  </si>
  <si>
    <t>四</t>
  </si>
  <si>
    <t>其他变动投资</t>
  </si>
  <si>
    <t>汇率变动部分</t>
  </si>
  <si>
    <t>固定资产投资方向调节税</t>
  </si>
  <si>
    <t>国家新批准的税费</t>
  </si>
  <si>
    <t>五</t>
  </si>
  <si>
    <t>总投资（一+二+三+四）</t>
  </si>
  <si>
    <t>地上</t>
  </si>
  <si>
    <t>普通住宅</t>
  </si>
  <si>
    <t>联排</t>
  </si>
  <si>
    <t>地下</t>
  </si>
  <si>
    <t>住宅（高层）</t>
  </si>
  <si>
    <t>住宅（高层）</t>
    <phoneticPr fontId="7" type="noConversion"/>
  </si>
  <si>
    <t>住宅（联排）</t>
  </si>
  <si>
    <t>住宅（联排）</t>
    <phoneticPr fontId="7" type="noConversion"/>
  </si>
  <si>
    <t>商业</t>
    <phoneticPr fontId="7" type="noConversion"/>
  </si>
  <si>
    <t>车位</t>
  </si>
  <si>
    <t>车位</t>
    <phoneticPr fontId="7" type="noConversion"/>
  </si>
  <si>
    <t>人才公寓</t>
  </si>
  <si>
    <t>人才公寓</t>
    <phoneticPr fontId="7" type="noConversion"/>
  </si>
  <si>
    <t>省会市名称</t>
  </si>
  <si>
    <t>建筑型式</t>
  </si>
  <si>
    <t>多层</t>
  </si>
  <si>
    <t>小高层</t>
  </si>
  <si>
    <t>高层</t>
  </si>
  <si>
    <t>济南</t>
  </si>
  <si>
    <t>1382</t>
  </si>
  <si>
    <t>1680</t>
  </si>
  <si>
    <t>1950</t>
  </si>
  <si>
    <t>钢混</t>
  </si>
  <si>
    <t>按租金收入计税</t>
  </si>
  <si>
    <t>土地（套用方法）</t>
  </si>
  <si>
    <t>不动产收益法（车位）</t>
  </si>
  <si>
    <t>不动产收益法（商业）</t>
  </si>
  <si>
    <t>售价</t>
  </si>
  <si>
    <t>比较法-住宅、综合</t>
  </si>
  <si>
    <t>剩余法-待开发</t>
  </si>
  <si>
    <t>项目全部</t>
  </si>
  <si>
    <t>土地</t>
  </si>
  <si>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</si>
  <si>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</si>
  <si>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</si>
  <si>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</si>
  <si>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</si>
  <si>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</si>
  <si>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</si>
  <si>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</si>
  <si>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</si>
  <si>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</si>
  <si>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</si>
  <si>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</si>
  <si>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</si>
  <si>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</si>
  <si>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</si>
  <si>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</si>
  <si>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</si>
  <si>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</si>
  <si>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高新区新业路以南、规划中34号线以东、规划中32号线以西</t>
  </si>
  <si>
    <t>青岛市</t>
  </si>
  <si>
    <t>综合用地(含住宅)</t>
  </si>
  <si>
    <t>拍卖</t>
  </si>
  <si>
    <t>G-2018-024</t>
  </si>
  <si>
    <t>城镇住宅用地、零售商业用地</t>
  </si>
  <si>
    <t>＞1且≤1.8</t>
  </si>
  <si>
    <t>2018-07-30</t>
  </si>
  <si>
    <t>青土资房告字[2018]410号-2</t>
  </si>
  <si>
    <t>青岛碧桂园博林置业有限公司</t>
  </si>
  <si>
    <t>住宅70年,商业40年</t>
  </si>
  <si>
    <t>高新区火炬路以北、规划中32号线以西</t>
  </si>
  <si>
    <t>2018-07-26</t>
  </si>
  <si>
    <t>青土资房告字[2018]410号-1</t>
  </si>
  <si>
    <t>南京硕天投资管理有限公司</t>
  </si>
  <si>
    <t>高新区岙东路以东、河东路以南、广博路以北</t>
  </si>
  <si>
    <t>住宅用地</t>
  </si>
  <si>
    <t>G-2018-016</t>
  </si>
  <si>
    <t>其他普通商品住房用地</t>
  </si>
  <si>
    <t>＞1且＜1.5</t>
  </si>
  <si>
    <t>2018-06-29</t>
  </si>
  <si>
    <t>青土资房告字[2018]408号</t>
  </si>
  <si>
    <t>青岛东风盐场</t>
    <phoneticPr fontId="233" type="noConversion"/>
  </si>
  <si>
    <t>70年</t>
  </si>
  <si>
    <t>高新区河东路以南、聚贤桥路以西、广盛支路两侧</t>
  </si>
  <si>
    <t>G-2018-007-1</t>
  </si>
  <si>
    <t>2018-03-30</t>
  </si>
  <si>
    <t>青土资房告字[2018]404号-1</t>
  </si>
  <si>
    <t>中海地产集团有限公司</t>
  </si>
  <si>
    <t>G-2018-007-2</t>
    <phoneticPr fontId="233" type="noConversion"/>
  </si>
  <si>
    <t>青土资房告字[2018]404号-2</t>
  </si>
  <si>
    <t>高新区丰庆路以南、华东路以东、规划东4号线以西</t>
  </si>
  <si>
    <t>高新区丰庆路以南、华东路以东、规划东5号线以西</t>
  </si>
  <si>
    <t>G-2017-060</t>
  </si>
  <si>
    <t>大于1且≤1.8</t>
  </si>
  <si>
    <t>2018-03-27</t>
  </si>
  <si>
    <t>青土资房告字[2018]403号-2</t>
  </si>
  <si>
    <t>青岛海克斯康投资有限公司,青岛海信房地产股份有限公司</t>
  </si>
  <si>
    <t>高新区智力岛路以北、岙东路以东、和融路以西、广博路以南</t>
  </si>
  <si>
    <t>G-2017-074</t>
  </si>
  <si>
    <t>大于1且≤2.2</t>
  </si>
  <si>
    <t>2018-02-11</t>
  </si>
  <si>
    <t>青土资房告字[2018]401号-3</t>
  </si>
  <si>
    <t>青岛中腾双创产业发展有限公司</t>
  </si>
  <si>
    <t>G-2017-077</t>
  </si>
  <si>
    <t>大于1且≤2.5</t>
  </si>
  <si>
    <t>青土资房告字[2018]401号-6</t>
  </si>
  <si>
    <t>G-2017-075</t>
  </si>
  <si>
    <t>青土资房告字[2018]401号-4</t>
  </si>
  <si>
    <t>G-2017-078</t>
  </si>
  <si>
    <t>青土资房告字[2018]401号-7</t>
  </si>
  <si>
    <t>高新区华中路以西、胶州湾高速路以北、海月路以东C地块</t>
  </si>
  <si>
    <t>G-2017-021</t>
  </si>
  <si>
    <t>＞1且≤2.7</t>
  </si>
  <si>
    <t>2018-01-02</t>
  </si>
  <si>
    <t>青土资房告字[2017]415号-3</t>
  </si>
  <si>
    <t>青岛网信荣创创新置业有限公司</t>
  </si>
  <si>
    <t>高新区河东路以南、祥源路以东、规划东25号线以北、华贯路以西</t>
  </si>
  <si>
    <t>高新区河东路以南、祥源路以东、规划东26号线以北、华贯路以西</t>
  </si>
  <si>
    <t>G-2017-039</t>
  </si>
  <si>
    <t>＞1且≤3</t>
  </si>
  <si>
    <t>2017-12-13</t>
  </si>
  <si>
    <t>青土资房告字[2017]413号-2</t>
  </si>
  <si>
    <t>北京兴茂置业有限公司</t>
  </si>
  <si>
    <t>高新区规划东33号线以南、宝源路以东、华东路以西、火炬路以北</t>
  </si>
  <si>
    <t>高新区规划东34号线以南、宝源路以东、华东路以西、火炬路以北</t>
  </si>
  <si>
    <t>G-2017-033</t>
  </si>
  <si>
    <t>＞1且≤2.8</t>
  </si>
  <si>
    <t>青土资房告字[2017]413号-1</t>
  </si>
  <si>
    <t>住宅70年商业40年</t>
  </si>
  <si>
    <t>高新区泰祥路以南、规划一路以西、规划东33号线以北、华贯路以东</t>
  </si>
  <si>
    <t>高新区泰祥路以南、规划一路以西、规划东34号线以北、华贯路以东</t>
  </si>
  <si>
    <t>G-2017-048</t>
  </si>
  <si>
    <t>＞1且≤2</t>
  </si>
  <si>
    <t>青土资房告字[2017]413号-6</t>
  </si>
  <si>
    <t>高新区泰祥路以南、规划一路以东、规划东33号线以北、宝源路以西</t>
  </si>
  <si>
    <t>高新区泰祥路以南、规划一路以东、规划东34号线以北、宝源路以西</t>
  </si>
  <si>
    <t>G-2017-045</t>
  </si>
  <si>
    <t>＞1且≤2.5</t>
  </si>
  <si>
    <t>青土资房告字[2017]413号-5</t>
  </si>
  <si>
    <t>高新区华东路以东、规划东4号线以西、泰祥路以南、规划东33号线以北</t>
  </si>
  <si>
    <t>高新区华东路以东、规划东4号线以西、泰祥路以南、规划东34号线以北</t>
  </si>
  <si>
    <t>G-2017-043</t>
  </si>
  <si>
    <t>＞1且≤2.2</t>
  </si>
  <si>
    <t>青土资房告字[2017]413号-4</t>
  </si>
  <si>
    <t>高新区规划一路以东、泰瑞路以南、宝源路以西、规划东29号线西路以北</t>
  </si>
  <si>
    <t>G-2017-049</t>
  </si>
  <si>
    <t>城镇住宅、商服</t>
  </si>
  <si>
    <t>2017-12-04</t>
  </si>
  <si>
    <t>青土资房告字〔2017〕412号</t>
  </si>
  <si>
    <t>凱喜有限公司</t>
  </si>
  <si>
    <t>住宅70年商服40年</t>
  </si>
  <si>
    <t>高新区规划一路以东、规划东29号线西路以南、宝源路以西、泰祥路以北</t>
  </si>
  <si>
    <t>G-2017-051</t>
  </si>
  <si>
    <t>高新区规划东25号线以南、规划一路以东、泰鸿路以北、宝源路以西</t>
  </si>
  <si>
    <t>G-2017-050</t>
  </si>
  <si>
    <t>高新区规划东25号线以南、宝源路以东、泰鸿路以北、规划三路以西</t>
  </si>
  <si>
    <t>G-2017-053</t>
  </si>
  <si>
    <t>高新区河东路以南、规划东25号线以北、规划一路以东、宝源路以西</t>
  </si>
  <si>
    <t>G-2017-037</t>
  </si>
  <si>
    <t>＞1且≤3.3</t>
  </si>
  <si>
    <t>高新区华东路以西、规划内环路以南、丰年路以北</t>
  </si>
  <si>
    <t>G-2016-013</t>
  </si>
  <si>
    <t>＞1且小于1.8</t>
  </si>
  <si>
    <t>2017-09-26</t>
  </si>
  <si>
    <t>青土资房告字[2017]410号-2</t>
  </si>
  <si>
    <t>山东鼎特信息科技有限公司</t>
  </si>
  <si>
    <t>高新区汇智桥路以东、规划中11号线以南、规划中48号线以西、同顺路以北</t>
  </si>
  <si>
    <t>高新区汇智桥路以东、规划中11号线以南、规划中49号线以西、同顺路以北</t>
  </si>
  <si>
    <t>G-2016-002</t>
  </si>
  <si>
    <t>2017-09-21</t>
  </si>
  <si>
    <t>青土资房告字[2017]409号-1</t>
  </si>
  <si>
    <t>招商局产业园区(青岛)创业有限公司</t>
  </si>
  <si>
    <t>高新区规划东4号线以东、规划内环路以南、丰年路以北</t>
  </si>
  <si>
    <t>G-2016-019</t>
  </si>
  <si>
    <t>＞1且＜1.8</t>
  </si>
  <si>
    <t>2017-08-15</t>
  </si>
  <si>
    <t>青土资房告字[2017]407号-4</t>
  </si>
  <si>
    <t>高新区华东路以东、规划内环路以南、丰年路以北、规划东4号线以西</t>
  </si>
  <si>
    <t>G-2016-017</t>
  </si>
  <si>
    <t>青土资房告字[2017]407号-3</t>
  </si>
  <si>
    <t>高新区规划路以东、火炬路以北、规划中34号线以西</t>
  </si>
  <si>
    <t>高新区规划路以东、火炬路以北、规划中35号线以西</t>
  </si>
  <si>
    <t>G-2016-042</t>
  </si>
  <si>
    <t>≥1且≤1.2</t>
  </si>
  <si>
    <t>2017-05-11</t>
  </si>
  <si>
    <t>青土资房告字[2017]405号-5</t>
  </si>
  <si>
    <t>青岛海尔地产集团有限公司,青岛海尔特种电器有限公司</t>
  </si>
  <si>
    <t>高新区新悦路以东、火炬路以北</t>
  </si>
  <si>
    <t>G-2016-041</t>
  </si>
  <si>
    <t>青土资房告字[2017]405号-4</t>
  </si>
  <si>
    <t>高新区火炬路以南、华中路以东、祥茂河入海口以西、青岛中学北</t>
  </si>
  <si>
    <t>G-2016-044</t>
  </si>
  <si>
    <t>住宅、商服用地</t>
  </si>
  <si>
    <t>＞1且＜2</t>
  </si>
  <si>
    <t>2017-03-30</t>
  </si>
  <si>
    <t>青土资房告字[2017]402号</t>
  </si>
  <si>
    <t>青岛高新区房地产开发有限公司</t>
  </si>
  <si>
    <t>高新区河东路以北、华东路以东、规划东23号线以南</t>
  </si>
  <si>
    <t>G-2016-011</t>
    <phoneticPr fontId="233" type="noConversion"/>
  </si>
  <si>
    <t>城镇住宅用地</t>
  </si>
  <si>
    <t>＜1.8且＞1.0</t>
  </si>
  <si>
    <t>2016-09-19</t>
  </si>
  <si>
    <t>青土资房告字〔2016〕411号</t>
  </si>
  <si>
    <t>北京融创建投房地产有限公司</t>
    <phoneticPr fontId="233" type="noConversion"/>
  </si>
  <si>
    <t>高新区河东路以南、静园路以东、秀园路以西、广裕路以北</t>
  </si>
  <si>
    <t>G-2015-010</t>
  </si>
  <si>
    <t>城镇住宅、批发零售用地</t>
  </si>
  <si>
    <t>≤2.0且＞1.0</t>
  </si>
  <si>
    <t>2016-05-11</t>
  </si>
  <si>
    <t>青土资房告字〔2016〕405号</t>
  </si>
  <si>
    <t>青岛中科信置业有限公司</t>
  </si>
  <si>
    <t>住宅70年、商服40年</t>
  </si>
  <si>
    <t>高新区规划东4号线以东、规划东29号线以南、和源路以西、泰祥路以北</t>
  </si>
  <si>
    <t>G-2015-044</t>
  </si>
  <si>
    <t>＜1.2且＞1.0</t>
  </si>
  <si>
    <t>2016-01-11</t>
  </si>
  <si>
    <t>青土资房告字〔2015〕412号-4</t>
  </si>
  <si>
    <t>高新区华贯路以西、规划东33号线以南、规划东35号线西路以北</t>
  </si>
  <si>
    <t>G-2015-031</t>
  </si>
  <si>
    <t>＜2.0且＞1.0</t>
  </si>
  <si>
    <t>青土资房告字〔2015〕412号-2</t>
  </si>
  <si>
    <t>青岛方盛置业有限公司</t>
  </si>
  <si>
    <t>高新区广博路以南、规划中17号线以北、和融路以东、暖融路以西</t>
  </si>
  <si>
    <t>G-2014-068</t>
  </si>
  <si>
    <t>商服、城镇住宅用地</t>
  </si>
  <si>
    <t>2015-12-28</t>
  </si>
  <si>
    <t>青土资房告字〔2015〕410号</t>
  </si>
  <si>
    <t>青岛城投地产控资控股(集团)有限公司</t>
  </si>
  <si>
    <t>住宅70年、商业40年</t>
  </si>
  <si>
    <r>
      <rPr>
        <sz val="11"/>
        <color rgb="FF78B43C"/>
        <rFont val="宋体"/>
        <family val="3"/>
        <charset val="134"/>
      </rPr>
      <t>青岛监测指标情况一览表</t>
    </r>
  </si>
  <si>
    <t>住宅</t>
    <phoneticPr fontId="233" type="noConversion"/>
  </si>
  <si>
    <r>
      <rPr>
        <sz val="11"/>
        <color rgb="FF313131"/>
        <rFont val="宋体"/>
        <family val="3"/>
        <charset val="134"/>
      </rPr>
      <t>时间</t>
    </r>
  </si>
  <si>
    <r>
      <rPr>
        <sz val="11"/>
        <color rgb="FF313131"/>
        <rFont val="宋体"/>
        <family val="3"/>
        <charset val="134"/>
      </rPr>
      <t>水平值</t>
    </r>
  </si>
  <si>
    <r>
      <rPr>
        <sz val="11"/>
        <color rgb="FF313131"/>
        <rFont val="宋体"/>
        <family val="3"/>
        <charset val="134"/>
      </rPr>
      <t>环比增长率</t>
    </r>
  </si>
  <si>
    <t>碧桂园</t>
    <phoneticPr fontId="233" type="noConversion"/>
  </si>
  <si>
    <t>http://qd.newhouse.fang.com/2018-07-30/29114913.htm</t>
    <phoneticPr fontId="233" type="noConversion"/>
  </si>
  <si>
    <t>中海</t>
    <phoneticPr fontId="233" type="noConversion"/>
  </si>
  <si>
    <t>http://qd.news.fang.com/2018-03-30/28112354.htm</t>
    <phoneticPr fontId="233" type="noConversion"/>
  </si>
  <si>
    <t>http://www.qdsdu.com/dongtai/148085.html</t>
    <phoneticPr fontId="233" type="noConversion"/>
  </si>
  <si>
    <t>http://house.qingdaonews.com/news/2018-03/13/content_20105767.htm</t>
  </si>
  <si>
    <t>融创</t>
    <phoneticPr fontId="233" type="noConversion"/>
  </si>
  <si>
    <t>http://qd.leju.com/news/2016-09-19/10376183463755587055557.shtml</t>
    <phoneticPr fontId="233" type="noConversion"/>
  </si>
  <si>
    <t>正常</t>
  </si>
  <si>
    <t>其他普通商品住房、批发零售</t>
  </si>
  <si>
    <t>人才公寓面积</t>
  </si>
  <si>
    <t>销售均价</t>
  </si>
  <si>
    <t>人才公寓</t>
    <phoneticPr fontId="26" type="noConversion"/>
  </si>
  <si>
    <t>较差</t>
  </si>
  <si>
    <t>一般</t>
  </si>
  <si>
    <t>较好</t>
  </si>
  <si>
    <t>七通</t>
  </si>
  <si>
    <t>支路</t>
  </si>
  <si>
    <t>支路</t>
    <phoneticPr fontId="26" type="noConversion"/>
  </si>
  <si>
    <t>较规则</t>
  </si>
  <si>
    <t>较规则</t>
    <phoneticPr fontId="26" type="noConversion"/>
  </si>
  <si>
    <t>七通一平</t>
  </si>
  <si>
    <t>七通一平</t>
    <phoneticPr fontId="26" type="noConversion"/>
  </si>
  <si>
    <t>较好</t>
    <phoneticPr fontId="26" type="noConversion"/>
  </si>
  <si>
    <t>火炬路</t>
    <phoneticPr fontId="3" type="noConversion"/>
  </si>
  <si>
    <t>新业路</t>
    <phoneticPr fontId="3" type="noConversion"/>
  </si>
  <si>
    <t>河东路</t>
    <phoneticPr fontId="3" type="noConversion"/>
  </si>
  <si>
    <t>住宅</t>
    <phoneticPr fontId="21" type="noConversion"/>
  </si>
  <si>
    <t>60-70（含）</t>
  </si>
  <si>
    <t>世茂公园美地</t>
    <phoneticPr fontId="3" type="noConversion"/>
  </si>
  <si>
    <t>新城云樾晓院</t>
    <phoneticPr fontId="3" type="noConversion"/>
  </si>
  <si>
    <t>领秀·珊瑚湾</t>
    <phoneticPr fontId="3" type="noConversion"/>
  </si>
  <si>
    <t>小高层</t>
    <phoneticPr fontId="21" type="noConversion"/>
  </si>
  <si>
    <t>高层</t>
    <phoneticPr fontId="21" type="noConversion"/>
  </si>
  <si>
    <t>钢混</t>
    <phoneticPr fontId="21" type="noConversion"/>
  </si>
  <si>
    <t>精装修</t>
  </si>
  <si>
    <t>精装修</t>
    <phoneticPr fontId="21" type="noConversion"/>
  </si>
  <si>
    <t>专业</t>
  </si>
  <si>
    <t>专业</t>
    <phoneticPr fontId="21" type="noConversion"/>
  </si>
  <si>
    <t>七通</t>
    <phoneticPr fontId="21" type="noConversion"/>
  </si>
  <si>
    <t>平层</t>
  </si>
  <si>
    <t>平层</t>
    <phoneticPr fontId="21" type="noConversion"/>
  </si>
  <si>
    <t>中档</t>
  </si>
  <si>
    <t>中档</t>
    <phoneticPr fontId="21" type="noConversion"/>
  </si>
  <si>
    <t>联排</t>
    <phoneticPr fontId="21" type="noConversion"/>
  </si>
  <si>
    <t>叠拼</t>
  </si>
  <si>
    <t>叠拼</t>
    <phoneticPr fontId="21" type="noConversion"/>
  </si>
  <si>
    <t>简装</t>
  </si>
  <si>
    <t>简装</t>
    <phoneticPr fontId="233" type="noConversion"/>
  </si>
  <si>
    <t>毛坯</t>
  </si>
  <si>
    <t>毛坯</t>
    <phoneticPr fontId="233" type="noConversion"/>
  </si>
  <si>
    <t>精装</t>
  </si>
  <si>
    <t>精装</t>
    <phoneticPr fontId="21" type="noConversion"/>
  </si>
  <si>
    <t>楼面地价</t>
  </si>
  <si>
    <t>销售收入与增值税及附加估算表</t>
    <phoneticPr fontId="3" type="noConversion"/>
  </si>
  <si>
    <t>单位：万元</t>
    <phoneticPr fontId="3" type="noConversion"/>
  </si>
  <si>
    <r>
      <t xml:space="preserve">金额合计
</t>
    </r>
    <r>
      <rPr>
        <b/>
        <sz val="10"/>
        <rFont val="Times New Roman"/>
        <family val="1"/>
      </rPr>
      <t>(</t>
    </r>
    <r>
      <rPr>
        <b/>
        <sz val="10"/>
        <rFont val="宋体"/>
        <family val="3"/>
        <charset val="134"/>
      </rPr>
      <t>万元</t>
    </r>
    <r>
      <rPr>
        <b/>
        <sz val="10"/>
        <rFont val="Times New Roman"/>
        <family val="1"/>
      </rPr>
      <t>)</t>
    </r>
  </si>
  <si>
    <t>数量</t>
  </si>
  <si>
    <t>单位</t>
  </si>
  <si>
    <t>单价
(元/*)</t>
    <phoneticPr fontId="3" type="noConversion"/>
  </si>
  <si>
    <r>
      <t>第</t>
    </r>
    <r>
      <rPr>
        <b/>
        <sz val="10"/>
        <rFont val="Times New Roman"/>
        <family val="1"/>
      </rPr>
      <t>1</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</si>
  <si>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2</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</si>
  <si>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3</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</si>
  <si>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4</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</si>
  <si>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5</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</si>
  <si>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6</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</si>
  <si>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7</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</si>
  <si>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8</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</si>
  <si>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9</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</si>
  <si>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10</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</si>
  <si>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11</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</si>
  <si>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12</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</si>
  <si>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13</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</si>
  <si>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14</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</si>
  <si>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15年
(万元)</t>
    </r>
  </si>
  <si>
    <r>
      <t>第</t>
    </r>
    <r>
      <rPr>
        <b/>
        <sz val="10"/>
        <rFont val="Times New Roman"/>
        <family val="1"/>
      </rPr>
      <t>16年
(万元)</t>
    </r>
  </si>
  <si>
    <r>
      <t>第</t>
    </r>
    <r>
      <rPr>
        <b/>
        <sz val="10"/>
        <rFont val="Times New Roman"/>
        <family val="1"/>
      </rPr>
      <t>17年
(万元)</t>
    </r>
  </si>
  <si>
    <r>
      <t>第</t>
    </r>
    <r>
      <rPr>
        <b/>
        <sz val="10"/>
        <rFont val="Times New Roman"/>
        <family val="1"/>
      </rPr>
      <t>18年
(万元)</t>
    </r>
  </si>
  <si>
    <r>
      <t>第</t>
    </r>
    <r>
      <rPr>
        <b/>
        <sz val="10"/>
        <rFont val="Times New Roman"/>
        <family val="1"/>
      </rPr>
      <t>19年
(万元)</t>
    </r>
  </si>
  <si>
    <r>
      <t>第</t>
    </r>
    <r>
      <rPr>
        <b/>
        <sz val="10"/>
        <rFont val="Times New Roman"/>
        <family val="1"/>
      </rPr>
      <t>20年
(万元)</t>
    </r>
  </si>
  <si>
    <t>基准价格</t>
  </si>
  <si>
    <t>售价浮动系数</t>
  </si>
  <si>
    <t>经营收入</t>
  </si>
  <si>
    <t>销售收入（含税）</t>
  </si>
  <si>
    <t>售价浮动系数</t>
    <phoneticPr fontId="3" type="noConversion"/>
  </si>
  <si>
    <t>㎡</t>
    <phoneticPr fontId="3" type="noConversion"/>
  </si>
  <si>
    <t>销售比例</t>
  </si>
  <si>
    <t>㎡</t>
  </si>
  <si>
    <t>销售比例</t>
    <phoneticPr fontId="3" type="noConversion"/>
  </si>
  <si>
    <t>个</t>
    <phoneticPr fontId="3" type="noConversion"/>
  </si>
  <si>
    <t>2.1</t>
    <phoneticPr fontId="3" type="noConversion"/>
  </si>
  <si>
    <t>2.0</t>
    <phoneticPr fontId="3" type="noConversion"/>
  </si>
  <si>
    <t>出租收入（含税）</t>
  </si>
  <si>
    <t>租金浮动系数</t>
    <phoneticPr fontId="3" type="noConversion"/>
  </si>
  <si>
    <r>
      <rPr>
        <sz val="10"/>
        <rFont val="宋体"/>
        <family val="3"/>
        <charset val="134"/>
      </rPr>
      <t>元</t>
    </r>
    <r>
      <rPr>
        <sz val="10"/>
        <rFont val="Times New Roman"/>
        <family val="1"/>
      </rPr>
      <t>/</t>
    </r>
    <r>
      <rPr>
        <sz val="10"/>
        <rFont val="宋体"/>
        <family val="3"/>
        <charset val="134"/>
      </rPr>
      <t>㎡</t>
    </r>
    <r>
      <rPr>
        <sz val="10"/>
        <rFont val="Times New Roman"/>
        <family val="1"/>
      </rPr>
      <t>/</t>
    </r>
    <r>
      <rPr>
        <sz val="10"/>
        <rFont val="宋体"/>
        <family val="3"/>
        <charset val="134"/>
      </rPr>
      <t>年</t>
    </r>
  </si>
  <si>
    <t>租赁比例</t>
  </si>
  <si>
    <t>酒店</t>
    <phoneticPr fontId="3" type="noConversion"/>
  </si>
  <si>
    <t>其他收入</t>
    <phoneticPr fontId="3" type="noConversion"/>
  </si>
  <si>
    <t>二</t>
    <phoneticPr fontId="3" type="noConversion"/>
  </si>
  <si>
    <t>增值税</t>
  </si>
  <si>
    <t>进项税额浮动</t>
  </si>
  <si>
    <t>进项税额</t>
  </si>
  <si>
    <t>3.1.1</t>
    <phoneticPr fontId="3" type="noConversion"/>
  </si>
  <si>
    <t>建筑工程费</t>
  </si>
  <si>
    <t>3.1.2</t>
    <phoneticPr fontId="3" type="noConversion"/>
  </si>
  <si>
    <t>设备</t>
  </si>
  <si>
    <t>3.1.3</t>
    <phoneticPr fontId="3" type="noConversion"/>
  </si>
  <si>
    <t>经营可变成本费用</t>
  </si>
  <si>
    <t>销项税额</t>
  </si>
  <si>
    <t>3.2.1</t>
    <phoneticPr fontId="3" type="noConversion"/>
  </si>
  <si>
    <t>销售收入（扣除土地费用）</t>
  </si>
  <si>
    <t>3.2.2</t>
    <phoneticPr fontId="3" type="noConversion"/>
  </si>
  <si>
    <t>出租收入</t>
  </si>
  <si>
    <t>3.2.3</t>
    <phoneticPr fontId="3" type="noConversion"/>
  </si>
  <si>
    <t>自营收入</t>
  </si>
  <si>
    <t>增值税附加</t>
  </si>
  <si>
    <t>增值税</t>
    <phoneticPr fontId="3" type="noConversion"/>
  </si>
  <si>
    <t>城建税</t>
  </si>
  <si>
    <t>教育费附加</t>
  </si>
  <si>
    <t>房产税</t>
  </si>
  <si>
    <t>土地增值税（前期预征，末年清算）</t>
    <phoneticPr fontId="3" type="noConversion"/>
  </si>
  <si>
    <r>
      <t>4%</t>
    </r>
    <r>
      <rPr>
        <b/>
        <sz val="12"/>
        <rFont val="宋体"/>
        <family val="3"/>
        <charset val="134"/>
      </rPr>
      <t>预缴，末年清算</t>
    </r>
    <phoneticPr fontId="3" type="noConversion"/>
  </si>
  <si>
    <t>合同号</t>
  </si>
  <si>
    <t>合同签订日期</t>
  </si>
  <si>
    <t>合同销售面积</t>
  </si>
  <si>
    <t>合同最终协议总价</t>
  </si>
  <si>
    <t>客户姓名</t>
  </si>
  <si>
    <t>销售楼栋名称</t>
  </si>
  <si>
    <t>单元</t>
  </si>
  <si>
    <t>房间号</t>
  </si>
  <si>
    <t>产品类型</t>
  </si>
  <si>
    <t>业态类型</t>
  </si>
  <si>
    <t>均价</t>
  </si>
  <si>
    <t>青岛公园美地</t>
  </si>
  <si>
    <t>1000346934</t>
  </si>
  <si>
    <t>孟凡磊</t>
  </si>
  <si>
    <t>37#楼-Ⅲ</t>
  </si>
  <si>
    <t>一单元</t>
  </si>
  <si>
    <t>101</t>
  </si>
  <si>
    <t>叠拼别墅</t>
  </si>
  <si>
    <t>别墅</t>
  </si>
  <si>
    <t>1000336311</t>
  </si>
  <si>
    <t>于娟</t>
  </si>
  <si>
    <t>9号楼-Ⅲ</t>
  </si>
  <si>
    <t>201</t>
  </si>
  <si>
    <t>1000296457</t>
  </si>
  <si>
    <t>袁辉君</t>
  </si>
  <si>
    <t>55#楼-Ⅲ</t>
  </si>
  <si>
    <t>1000296456</t>
  </si>
  <si>
    <t>张焱</t>
  </si>
  <si>
    <t>202</t>
  </si>
  <si>
    <t>1000305874</t>
  </si>
  <si>
    <t>李甲祥</t>
  </si>
  <si>
    <t>40#楼-Ⅲ</t>
  </si>
  <si>
    <t>二单元</t>
  </si>
  <si>
    <t>1000305731</t>
  </si>
  <si>
    <t>吕品</t>
  </si>
  <si>
    <t>102</t>
  </si>
  <si>
    <t>1000305401</t>
  </si>
  <si>
    <t>杨帆</t>
  </si>
  <si>
    <t>50#楼-Ⅲ</t>
  </si>
  <si>
    <t>1单元</t>
  </si>
  <si>
    <t>1000304594</t>
  </si>
  <si>
    <t>田志荣</t>
  </si>
  <si>
    <t>三单元</t>
  </si>
  <si>
    <t>1000304446</t>
  </si>
  <si>
    <t>马英俊</t>
  </si>
  <si>
    <t>1000304133</t>
  </si>
  <si>
    <t>林娜娜</t>
  </si>
  <si>
    <t>42#楼-Ⅲ</t>
  </si>
  <si>
    <t>1000304132</t>
  </si>
  <si>
    <t>张凌宇</t>
  </si>
  <si>
    <t>1000299949</t>
  </si>
  <si>
    <t>曲峰</t>
  </si>
  <si>
    <t>56#楼-Ⅲ</t>
  </si>
  <si>
    <t>1000299832</t>
  </si>
  <si>
    <t>梁懿</t>
  </si>
  <si>
    <t>1000306252</t>
  </si>
  <si>
    <t>王炜</t>
  </si>
  <si>
    <t>38#楼-Ⅲ</t>
  </si>
  <si>
    <t>1000306244</t>
  </si>
  <si>
    <t>徐杨梅</t>
  </si>
  <si>
    <t>57#楼-Ⅲ</t>
  </si>
  <si>
    <t>1000297255</t>
  </si>
  <si>
    <t>金川</t>
  </si>
  <si>
    <t>1000296995</t>
  </si>
  <si>
    <t>耿赛</t>
  </si>
  <si>
    <t>1000296705</t>
  </si>
  <si>
    <t>陈庆海</t>
  </si>
  <si>
    <t>60#楼-Ⅲ</t>
  </si>
  <si>
    <t>1000294816</t>
  </si>
  <si>
    <t>方崇春</t>
  </si>
  <si>
    <t>1000294815</t>
  </si>
  <si>
    <t>袁良参</t>
  </si>
  <si>
    <t>39#楼-Ⅲ</t>
  </si>
  <si>
    <t>1000294813</t>
  </si>
  <si>
    <t>李岩</t>
  </si>
  <si>
    <t>58#楼-Ⅲ</t>
  </si>
  <si>
    <t>1000294812</t>
  </si>
  <si>
    <t>苏宁</t>
  </si>
  <si>
    <t>1000294811</t>
  </si>
  <si>
    <t>范平平</t>
  </si>
  <si>
    <t>1000294810</t>
  </si>
  <si>
    <t>宋云霞</t>
  </si>
  <si>
    <t>1000294804</t>
  </si>
  <si>
    <t>刘光菊</t>
  </si>
  <si>
    <t>1000294799</t>
  </si>
  <si>
    <t>田岩岩</t>
  </si>
  <si>
    <t>1000294817</t>
  </si>
  <si>
    <t>寇廷勇</t>
  </si>
  <si>
    <t>1000295706</t>
  </si>
  <si>
    <t>王朝玉</t>
  </si>
  <si>
    <t>1000295703</t>
  </si>
  <si>
    <t>吴萌</t>
  </si>
  <si>
    <t>1000295536</t>
  </si>
  <si>
    <t>刘永娟</t>
  </si>
  <si>
    <t>1000295535</t>
  </si>
  <si>
    <t>罗明明</t>
  </si>
  <si>
    <t>59#楼-Ⅲ</t>
  </si>
  <si>
    <t>1000295534</t>
  </si>
  <si>
    <t>张萌萌</t>
  </si>
  <si>
    <t>1000295533</t>
  </si>
  <si>
    <t>王祖昆</t>
  </si>
  <si>
    <t>1000295532</t>
  </si>
  <si>
    <t>刘丽侠</t>
  </si>
  <si>
    <t>41#楼-Ⅲ</t>
  </si>
  <si>
    <t>1000295531</t>
  </si>
  <si>
    <t>孙淑华</t>
  </si>
  <si>
    <t>1000295530</t>
  </si>
  <si>
    <t>孙晓萍</t>
  </si>
  <si>
    <t>1000295529</t>
  </si>
  <si>
    <t>徐晓函</t>
  </si>
  <si>
    <t>1000295528</t>
  </si>
  <si>
    <t>张利杰</t>
  </si>
  <si>
    <t>1000295527</t>
  </si>
  <si>
    <t>孟诗珊</t>
  </si>
  <si>
    <t>1000295012</t>
  </si>
  <si>
    <t>王圆</t>
  </si>
  <si>
    <t>1000295011</t>
  </si>
  <si>
    <t>吴琦</t>
  </si>
  <si>
    <t>1000294951</t>
  </si>
  <si>
    <t>金柯彤</t>
  </si>
  <si>
    <t>1000294823</t>
  </si>
  <si>
    <t>高仙君</t>
  </si>
  <si>
    <t>1000294822</t>
  </si>
  <si>
    <t>姜显生</t>
  </si>
  <si>
    <t>1000294821</t>
  </si>
  <si>
    <t>阎维娜</t>
  </si>
  <si>
    <t>1000294820</t>
  </si>
  <si>
    <t>王寒冰</t>
  </si>
  <si>
    <t>1000294818</t>
  </si>
  <si>
    <t>李奕萱</t>
  </si>
  <si>
    <t>1000313676</t>
  </si>
  <si>
    <t>詹联</t>
  </si>
  <si>
    <t>1000312333</t>
  </si>
  <si>
    <t>张璐</t>
  </si>
  <si>
    <t>1000315803</t>
  </si>
  <si>
    <t>刘力</t>
  </si>
  <si>
    <t>1000310948</t>
  </si>
  <si>
    <t>曹升美</t>
  </si>
  <si>
    <t>1000308993</t>
  </si>
  <si>
    <t>法良春</t>
  </si>
  <si>
    <t>1000308673</t>
  </si>
  <si>
    <t>孙宁</t>
  </si>
  <si>
    <t>1000343395</t>
  </si>
  <si>
    <t>刘建敏</t>
  </si>
  <si>
    <t>1000340859</t>
  </si>
  <si>
    <t>成峰</t>
  </si>
  <si>
    <t>1000349539</t>
  </si>
  <si>
    <t>刘志远</t>
  </si>
  <si>
    <t>1000306044</t>
  </si>
  <si>
    <t>徐禹擎</t>
  </si>
  <si>
    <t>1000306046</t>
  </si>
  <si>
    <t>张永波</t>
  </si>
  <si>
    <t>1000323599</t>
  </si>
  <si>
    <t>王晓寒</t>
  </si>
  <si>
    <t>1000319422</t>
  </si>
  <si>
    <t>张甲勇</t>
  </si>
  <si>
    <t>1000308125</t>
  </si>
  <si>
    <t>盛金荣</t>
  </si>
  <si>
    <t>1000302978</t>
  </si>
  <si>
    <t>王锴博</t>
  </si>
  <si>
    <t>61#楼-Ⅲ</t>
  </si>
  <si>
    <t>103</t>
  </si>
  <si>
    <t>联排别墅</t>
  </si>
  <si>
    <t>1000302719</t>
  </si>
  <si>
    <t>周刚</t>
  </si>
  <si>
    <t>106</t>
  </si>
  <si>
    <t>1000300860</t>
  </si>
  <si>
    <t>高著晓</t>
  </si>
  <si>
    <t>62#楼-Ⅲ</t>
  </si>
  <si>
    <t>1000299818</t>
  </si>
  <si>
    <t>黄冠桐</t>
  </si>
  <si>
    <t>45#楼-Ⅲ</t>
  </si>
  <si>
    <t>1000299617</t>
  </si>
  <si>
    <t>乔丽丽</t>
  </si>
  <si>
    <t>51#楼-Ⅲ</t>
  </si>
  <si>
    <t>1000299584</t>
  </si>
  <si>
    <t>周海滨</t>
  </si>
  <si>
    <t>63#楼-Ⅲ</t>
  </si>
  <si>
    <t>1000298686</t>
  </si>
  <si>
    <t>64#楼-Ⅲ</t>
  </si>
  <si>
    <t>1000298684</t>
  </si>
  <si>
    <t>1000298489</t>
  </si>
  <si>
    <t>李单露</t>
  </si>
  <si>
    <t>107</t>
  </si>
  <si>
    <t>1000298488</t>
  </si>
  <si>
    <t>胡丽华</t>
  </si>
  <si>
    <t>1000298487</t>
  </si>
  <si>
    <t>袁俊伟</t>
  </si>
  <si>
    <t>1000306632</t>
  </si>
  <si>
    <t>韩霞</t>
  </si>
  <si>
    <t>1000298153</t>
  </si>
  <si>
    <t>禹香香</t>
  </si>
  <si>
    <t>52#楼-Ⅲ</t>
  </si>
  <si>
    <t>105</t>
  </si>
  <si>
    <t>1000298152</t>
  </si>
  <si>
    <t>朴海英</t>
  </si>
  <si>
    <t>43#楼-Ⅲ</t>
  </si>
  <si>
    <t>1000298151</t>
  </si>
  <si>
    <t>张树梅</t>
  </si>
  <si>
    <t>44#楼-Ⅲ</t>
  </si>
  <si>
    <t>1000298150</t>
  </si>
  <si>
    <t>刘泉君</t>
  </si>
  <si>
    <t>46#楼-Ⅲ</t>
  </si>
  <si>
    <t>1000298089</t>
  </si>
  <si>
    <t>林丰军</t>
  </si>
  <si>
    <t>1000298154</t>
  </si>
  <si>
    <t>黄若咏</t>
  </si>
  <si>
    <t>1000298486</t>
  </si>
  <si>
    <t>李静</t>
  </si>
  <si>
    <t>1000298331</t>
  </si>
  <si>
    <t>孙逊</t>
  </si>
  <si>
    <t>1000298315</t>
  </si>
  <si>
    <t>李彩莲</t>
  </si>
  <si>
    <t>1000298304</t>
  </si>
  <si>
    <t>霍强</t>
  </si>
  <si>
    <t>1000298303</t>
  </si>
  <si>
    <t>吕伟</t>
  </si>
  <si>
    <t>1000298301</t>
  </si>
  <si>
    <t>韩鹏</t>
  </si>
  <si>
    <t>1000298300</t>
  </si>
  <si>
    <t>刘军</t>
  </si>
  <si>
    <t>1000298289</t>
  </si>
  <si>
    <t>程绍一</t>
  </si>
  <si>
    <t>1000298288</t>
  </si>
  <si>
    <t>胡玉娟</t>
  </si>
  <si>
    <t>54#楼-Ⅲ</t>
  </si>
  <si>
    <t>1000298287</t>
  </si>
  <si>
    <t>梁秀金</t>
  </si>
  <si>
    <t>53#楼-Ⅲ</t>
  </si>
  <si>
    <t>1000298286</t>
  </si>
  <si>
    <t>刘雅楠</t>
  </si>
  <si>
    <t>1000298285</t>
  </si>
  <si>
    <t>丁怀武</t>
  </si>
  <si>
    <t>1000298282</t>
  </si>
  <si>
    <t>刘璐</t>
  </si>
  <si>
    <t>1000298245</t>
  </si>
  <si>
    <t>马玲玲</t>
  </si>
  <si>
    <t>1000298243</t>
  </si>
  <si>
    <t>隋轩</t>
  </si>
  <si>
    <t>1000298242</t>
  </si>
  <si>
    <t>徐绍芳</t>
  </si>
  <si>
    <t>1000298241</t>
  </si>
  <si>
    <t>黄美光</t>
  </si>
  <si>
    <t>1000298219</t>
  </si>
  <si>
    <t>孔祥明</t>
  </si>
  <si>
    <t>1000298218</t>
  </si>
  <si>
    <t>王冰松</t>
  </si>
  <si>
    <t>1000298217</t>
  </si>
  <si>
    <t>徐文琦</t>
  </si>
  <si>
    <t>1000298216</t>
  </si>
  <si>
    <t>郝连英</t>
  </si>
  <si>
    <t>1000298215</t>
  </si>
  <si>
    <t>宋霄飞</t>
  </si>
  <si>
    <t>1000298213</t>
  </si>
  <si>
    <t>钟秀媚</t>
  </si>
  <si>
    <t>1000298212</t>
  </si>
  <si>
    <t>杨富泰</t>
  </si>
  <si>
    <t>1000298211</t>
  </si>
  <si>
    <t>邱添</t>
  </si>
  <si>
    <t>1000298179</t>
  </si>
  <si>
    <t>李菡</t>
  </si>
  <si>
    <t>1000298178</t>
  </si>
  <si>
    <t>侯夏辉</t>
  </si>
  <si>
    <t>1000298177</t>
  </si>
  <si>
    <t>刘琳</t>
  </si>
  <si>
    <t>1000298176</t>
  </si>
  <si>
    <t>郝在超</t>
  </si>
  <si>
    <t>1000298175</t>
  </si>
  <si>
    <t>胡健</t>
  </si>
  <si>
    <t>1000298174</t>
  </si>
  <si>
    <t>李常娥</t>
  </si>
  <si>
    <t>1000298173</t>
  </si>
  <si>
    <t>巩丽秋</t>
  </si>
  <si>
    <t>1000298172</t>
  </si>
  <si>
    <t>赵博</t>
  </si>
  <si>
    <t>1000298171</t>
  </si>
  <si>
    <t>王文静</t>
  </si>
  <si>
    <t>1000298170</t>
  </si>
  <si>
    <t>王本彬</t>
  </si>
  <si>
    <t>1000298159</t>
  </si>
  <si>
    <t>陈蓉蓉</t>
  </si>
  <si>
    <t>1000298158</t>
  </si>
  <si>
    <t>解亚楠</t>
  </si>
  <si>
    <t>1000298157</t>
  </si>
  <si>
    <t>姜玉华</t>
  </si>
  <si>
    <t>1000298156</t>
  </si>
  <si>
    <t>郑庆磊</t>
  </si>
  <si>
    <t>1000298155</t>
  </si>
  <si>
    <t>唐翠华</t>
  </si>
  <si>
    <t>1000312638</t>
  </si>
  <si>
    <t>袁靖</t>
  </si>
  <si>
    <t>1000315782</t>
  </si>
  <si>
    <t>庄湘莉</t>
  </si>
  <si>
    <t>1000314160</t>
  </si>
  <si>
    <t>盛会亮</t>
  </si>
  <si>
    <t>1000299817</t>
  </si>
  <si>
    <t>王蓉</t>
  </si>
  <si>
    <t>1000306257</t>
  </si>
  <si>
    <t>张淑琴</t>
  </si>
  <si>
    <t>1000306256</t>
  </si>
  <si>
    <t>中低档</t>
  </si>
  <si>
    <t>中低档</t>
    <phoneticPr fontId="233" type="noConversion"/>
  </si>
  <si>
    <t>高新区丰年路与宝源路交汇处</t>
    <phoneticPr fontId="3" type="noConversion"/>
  </si>
  <si>
    <t>华贯路603号、666号</t>
    <phoneticPr fontId="3" type="noConversion"/>
  </si>
  <si>
    <t>华贯路758号</t>
  </si>
  <si>
    <t>华贯路758号</t>
    <phoneticPr fontId="3" type="noConversion"/>
  </si>
  <si>
    <t>领秀·珊瑚湾</t>
  </si>
  <si>
    <t>G-2018-023</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</si>
</sst>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8" formatCode="&quot;￥&quot;#,##0.00;[Red]\-&quot;￥&quot;#,##0.00"/>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_);[Red]\(0.0000\)"/>
  </numFmts>
  <fonts count="29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name val="Times New Roman"/>
      <family val="1"/>
    </font>
    <font>
      <sz val="12"/>
      <name val="Times New Roman"/>
      <family val="1"/>
    </font>
    <font>
      <sz val="11"/>
      <name val="Times New Roman"/>
      <family val="1"/>
    </font>
    <font>
      <sz val="10"/>
      <color indexed="10"/>
      <name val="宋体"/>
      <family val="3"/>
      <charset val="134"/>
    </font>
    <font>
      <b/>
      <sz val="10"/>
      <color indexed="10"/>
      <name val="宋体"/>
      <family val="3"/>
      <charset val="134"/>
    </font>
    <font>
      <b/>
      <sz val="9"/>
      <name val="宋体"/>
      <family val="3"/>
      <charset val="134"/>
    </font>
    <font>
      <u/>
      <sz val="10.199999999999999"/>
      <color indexed="12"/>
      <name val="宋体"/>
      <family val="3"/>
      <charset val="134"/>
    </font>
    <font>
      <sz val="11"/>
      <color rgb="FF78B43C"/>
      <name val="Arial"/>
      <family val="2"/>
    </font>
    <font>
      <sz val="11"/>
      <color rgb="FF78B43C"/>
      <name val="宋体"/>
      <family val="3"/>
      <charset val="134"/>
    </font>
    <font>
      <sz val="11"/>
      <color rgb="FF313131"/>
      <name val="Arial"/>
      <family val="2"/>
    </font>
    <font>
      <sz val="11"/>
      <color rgb="FF313131"/>
      <name val="宋体"/>
      <family val="3"/>
      <charset val="134"/>
    </font>
    <font>
      <u/>
      <sz val="11"/>
      <color theme="10"/>
      <name val="宋体"/>
      <family val="3"/>
      <charset val="134"/>
      <scheme val="minor"/>
    </font>
    <font>
      <sz val="9"/>
      <color rgb="FF2E2E2E"/>
      <name val="Arial"/>
      <family val="2"/>
    </font>
    <font>
      <b/>
      <sz val="18"/>
      <name val="新宋体"/>
      <family val="3"/>
      <charset val="134"/>
    </font>
    <font>
      <b/>
      <sz val="18"/>
      <name val="Times New Roman"/>
      <family val="1"/>
    </font>
    <font>
      <b/>
      <sz val="10"/>
      <name val="Times New Roman"/>
      <family val="1"/>
    </font>
    <font>
      <b/>
      <sz val="12"/>
      <name val="Times New Roman"/>
      <family val="1"/>
    </font>
    <font>
      <sz val="16"/>
      <name val="Times New Roman"/>
      <family val="1"/>
    </font>
    <font>
      <sz val="10"/>
      <color rgb="FFFF0000"/>
      <name val="Times New Roman"/>
      <family val="1"/>
    </font>
    <font>
      <b/>
      <sz val="10"/>
      <color rgb="FFFF0000"/>
      <name val="Times New Roman"/>
      <family val="1"/>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43"/>
        <bgColor indexed="64"/>
      </patternFill>
    </fill>
    <fill>
      <patternFill patternType="solid">
        <fgColor indexed="42"/>
        <bgColor indexed="64"/>
      </patternFill>
    </fill>
    <fill>
      <patternFill patternType="solid">
        <fgColor indexed="45"/>
        <bgColor indexed="64"/>
      </patternFill>
    </fill>
    <fill>
      <patternFill patternType="solid">
        <fgColor theme="7"/>
        <bgColor indexed="64"/>
      </patternFill>
    </fill>
    <fill>
      <patternFill patternType="solid">
        <fgColor rgb="FFFFC000"/>
        <bgColor indexed="64"/>
      </patternFill>
    </fill>
    <fill>
      <patternFill patternType="solid">
        <fgColor rgb="FFEAE8E8"/>
        <bgColor indexed="64"/>
      </patternFill>
    </fill>
    <fill>
      <patternFill patternType="solid">
        <fgColor rgb="FFF1F1F1"/>
        <bgColor indexed="64"/>
      </patternFill>
    </fill>
    <fill>
      <patternFill patternType="solid">
        <fgColor theme="3" tint="0.39997558519241921"/>
        <bgColor indexed="64"/>
      </patternFill>
    </fill>
  </fills>
  <borders count="18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top/>
      <bottom style="dotted">
        <color indexed="64"/>
      </bottom>
      <diagonal/>
    </border>
    <border>
      <left style="mediumDashDot">
        <color indexed="64"/>
      </left>
      <right style="medium">
        <color indexed="64"/>
      </right>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mediumDashDot">
        <color indexed="64"/>
      </left>
      <right style="medium">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mediumDashDot">
        <color indexed="64"/>
      </left>
      <right style="medium">
        <color indexed="64"/>
      </right>
      <top style="dotted">
        <color indexed="64"/>
      </top>
      <bottom/>
      <diagonal/>
    </border>
    <border>
      <left style="dotted">
        <color indexed="64"/>
      </left>
      <right/>
      <top style="medium">
        <color indexed="64"/>
      </top>
      <bottom style="medium">
        <color indexed="64"/>
      </bottom>
      <diagonal/>
    </border>
    <border>
      <left style="mediumDashDot">
        <color indexed="64"/>
      </left>
      <right style="medium">
        <color indexed="64"/>
      </right>
      <top style="medium">
        <color indexed="64"/>
      </top>
      <bottom style="medium">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right style="dotted">
        <color indexed="64"/>
      </right>
      <top style="medium">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right style="dotted">
        <color indexed="64"/>
      </right>
      <top style="dotted">
        <color indexed="64"/>
      </top>
      <bottom style="medium">
        <color indexed="64"/>
      </bottom>
      <diagonal/>
    </border>
  </borders>
  <cellStyleXfs count="23">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192" fontId="32" fillId="0" borderId="0">
      <alignment vertical="center"/>
    </xf>
    <xf numFmtId="176" fontId="32" fillId="0" borderId="0" applyFont="0" applyFill="0" applyBorder="0" applyAlignment="0" applyProtection="0">
      <alignment vertical="center"/>
    </xf>
    <xf numFmtId="192" fontId="32" fillId="0" borderId="0"/>
    <xf numFmtId="192" fontId="32" fillId="0" borderId="0"/>
    <xf numFmtId="192" fontId="283" fillId="0" borderId="0" applyNumberFormat="0" applyFill="0" applyBorder="0" applyAlignment="0" applyProtection="0">
      <alignment vertical="top"/>
      <protection locked="0"/>
    </xf>
    <xf numFmtId="192" fontId="86" fillId="0" borderId="0"/>
    <xf numFmtId="192" fontId="145" fillId="0" borderId="0">
      <alignment vertical="center"/>
    </xf>
    <xf numFmtId="192" fontId="288" fillId="0" borderId="0" applyNumberFormat="0" applyFill="0" applyBorder="0" applyAlignment="0" applyProtection="0">
      <alignment vertical="center"/>
    </xf>
  </cellStyleXfs>
  <cellXfs count="380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8" fillId="2" borderId="20" xfId="0" applyFont="1" applyFill="1" applyBorder="1" applyAlignment="1" applyProtection="1">
      <alignment horizontal="left" vertical="center" wrapText="1"/>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92" fontId="277" fillId="0" borderId="0" xfId="15" applyFont="1" applyBorder="1" applyAlignment="1">
      <alignment vertical="center"/>
    </xf>
    <xf numFmtId="192" fontId="278" fillId="0" borderId="0" xfId="15" applyFont="1" applyAlignment="1">
      <alignment horizontal="left" vertical="center"/>
    </xf>
    <xf numFmtId="192" fontId="278" fillId="0" borderId="0" xfId="15" applyFont="1">
      <alignment vertical="center"/>
    </xf>
    <xf numFmtId="192" fontId="278" fillId="0" borderId="1" xfId="15" applyFont="1" applyBorder="1">
      <alignment vertical="center"/>
    </xf>
    <xf numFmtId="192" fontId="278" fillId="0" borderId="6" xfId="15" applyFont="1" applyBorder="1" applyAlignment="1">
      <alignment horizontal="center" vertical="center"/>
    </xf>
    <xf numFmtId="192" fontId="278" fillId="0" borderId="7" xfId="15" applyFont="1" applyBorder="1" applyAlignment="1">
      <alignment horizontal="center" vertical="center"/>
    </xf>
    <xf numFmtId="192" fontId="32" fillId="0" borderId="42" xfId="15" applyBorder="1" applyAlignment="1">
      <alignment horizontal="center" vertical="center"/>
    </xf>
    <xf numFmtId="192" fontId="278" fillId="0" borderId="7" xfId="15" applyFont="1" applyFill="1" applyBorder="1" applyAlignment="1">
      <alignment horizontal="center" vertical="center"/>
    </xf>
    <xf numFmtId="188" fontId="278" fillId="0" borderId="2" xfId="15" applyNumberFormat="1" applyFont="1" applyFill="1" applyBorder="1">
      <alignment vertical="center"/>
    </xf>
    <xf numFmtId="192" fontId="278" fillId="0" borderId="12" xfId="15" applyFont="1" applyBorder="1" applyAlignment="1">
      <alignment horizontal="center"/>
    </xf>
    <xf numFmtId="180" fontId="278" fillId="0" borderId="9" xfId="15" applyNumberFormat="1" applyFont="1" applyBorder="1" applyAlignment="1">
      <alignment horizontal="center"/>
    </xf>
    <xf numFmtId="192" fontId="278" fillId="0" borderId="12" xfId="15" applyFont="1" applyBorder="1">
      <alignment vertical="center"/>
    </xf>
    <xf numFmtId="177" fontId="278" fillId="0" borderId="2" xfId="15" applyNumberFormat="1" applyFont="1" applyBorder="1">
      <alignment vertical="center"/>
    </xf>
    <xf numFmtId="192" fontId="278" fillId="0" borderId="9" xfId="15" applyFont="1" applyBorder="1" applyAlignment="1">
      <alignment horizontal="center"/>
    </xf>
    <xf numFmtId="177" fontId="278" fillId="0" borderId="9" xfId="15" applyNumberFormat="1" applyFont="1" applyBorder="1" applyAlignment="1"/>
    <xf numFmtId="177" fontId="278" fillId="0" borderId="12" xfId="15" applyNumberFormat="1" applyFont="1" applyBorder="1" applyAlignment="1"/>
    <xf numFmtId="192" fontId="144" fillId="0" borderId="2" xfId="15" applyFont="1" applyBorder="1" applyAlignment="1">
      <alignment vertical="center"/>
    </xf>
    <xf numFmtId="177" fontId="278" fillId="0" borderId="2" xfId="15" applyNumberFormat="1" applyFont="1" applyFill="1" applyBorder="1" applyAlignment="1">
      <alignment vertical="center"/>
    </xf>
    <xf numFmtId="192" fontId="278" fillId="0" borderId="12" xfId="15" applyFont="1" applyBorder="1" applyAlignment="1">
      <alignment horizontal="center" vertical="center"/>
    </xf>
    <xf numFmtId="185" fontId="278" fillId="0" borderId="9" xfId="15" applyNumberFormat="1" applyFont="1" applyBorder="1" applyAlignment="1"/>
    <xf numFmtId="192" fontId="144" fillId="0" borderId="2" xfId="15" applyFont="1" applyFill="1" applyBorder="1" applyAlignment="1">
      <alignment vertical="center"/>
    </xf>
    <xf numFmtId="192" fontId="32" fillId="0" borderId="0" xfId="15" applyBorder="1" applyAlignment="1">
      <alignment horizontal="left" vertical="center"/>
    </xf>
    <xf numFmtId="192" fontId="144" fillId="0" borderId="2" xfId="15" applyFont="1" applyBorder="1" applyAlignment="1">
      <alignment horizontal="left" vertical="center" wrapText="1"/>
    </xf>
    <xf numFmtId="192" fontId="144" fillId="0" borderId="2" xfId="15" applyFont="1" applyBorder="1" applyAlignment="1">
      <alignment horizontal="left" vertical="center"/>
    </xf>
    <xf numFmtId="177" fontId="278" fillId="0" borderId="2" xfId="15" applyNumberFormat="1" applyFont="1" applyFill="1" applyBorder="1">
      <alignment vertical="center"/>
    </xf>
    <xf numFmtId="192" fontId="278" fillId="0" borderId="0" xfId="15" applyFont="1" applyBorder="1" applyAlignment="1">
      <alignment horizontal="left" vertical="center"/>
    </xf>
    <xf numFmtId="177" fontId="279" fillId="0" borderId="2" xfId="15" applyNumberFormat="1" applyFont="1" applyFill="1" applyBorder="1" applyAlignment="1">
      <alignment horizontal="right" vertical="center"/>
    </xf>
    <xf numFmtId="177" fontId="279" fillId="0" borderId="9" xfId="15" applyNumberFormat="1" applyFont="1" applyBorder="1" applyAlignment="1"/>
    <xf numFmtId="192" fontId="32" fillId="0" borderId="0" xfId="15" applyFont="1" applyBorder="1" applyAlignment="1">
      <alignment horizontal="left" vertical="center"/>
    </xf>
    <xf numFmtId="176" fontId="279" fillId="0" borderId="2" xfId="16" applyFont="1" applyFill="1" applyBorder="1" applyAlignment="1">
      <alignment horizontal="right" vertical="center"/>
    </xf>
    <xf numFmtId="185" fontId="278" fillId="0" borderId="12" xfId="15" applyNumberFormat="1" applyFont="1" applyBorder="1" applyAlignment="1"/>
    <xf numFmtId="192" fontId="279" fillId="0" borderId="2" xfId="15" applyFont="1" applyBorder="1" applyAlignment="1">
      <alignment horizontal="left" vertical="center"/>
    </xf>
    <xf numFmtId="185" fontId="279" fillId="0" borderId="2" xfId="15" applyNumberFormat="1" applyFont="1" applyFill="1" applyBorder="1">
      <alignment vertical="center"/>
    </xf>
    <xf numFmtId="192" fontId="32" fillId="0" borderId="2" xfId="15" applyFont="1" applyBorder="1" applyAlignment="1">
      <alignment horizontal="left" vertical="center" wrapText="1"/>
    </xf>
    <xf numFmtId="177" fontId="278" fillId="0" borderId="12" xfId="15" applyNumberFormat="1" applyFont="1" applyFill="1" applyBorder="1" applyAlignment="1"/>
    <xf numFmtId="185" fontId="278" fillId="0" borderId="2" xfId="15" applyNumberFormat="1" applyFont="1" applyFill="1" applyBorder="1">
      <alignment vertical="center"/>
    </xf>
    <xf numFmtId="192" fontId="278" fillId="0" borderId="9" xfId="15" applyFont="1" applyBorder="1" applyAlignment="1">
      <alignment horizontal="center" vertical="center"/>
    </xf>
    <xf numFmtId="180" fontId="278" fillId="0" borderId="2" xfId="15" applyNumberFormat="1" applyFont="1" applyFill="1" applyBorder="1">
      <alignment vertical="center"/>
    </xf>
    <xf numFmtId="10" fontId="278" fillId="0" borderId="2" xfId="15" applyNumberFormat="1" applyFont="1" applyFill="1" applyBorder="1">
      <alignment vertical="center"/>
    </xf>
    <xf numFmtId="10" fontId="278" fillId="0" borderId="12" xfId="15" applyNumberFormat="1" applyFont="1" applyBorder="1">
      <alignment vertical="center"/>
    </xf>
    <xf numFmtId="192" fontId="278" fillId="0" borderId="2" xfId="15" applyFont="1" applyBorder="1" applyAlignment="1">
      <alignment horizontal="left"/>
    </xf>
    <xf numFmtId="177" fontId="278" fillId="0" borderId="47" xfId="15" applyNumberFormat="1" applyFont="1" applyBorder="1" applyAlignment="1">
      <alignment horizontal="center"/>
    </xf>
    <xf numFmtId="10" fontId="278" fillId="0" borderId="46" xfId="15" applyNumberFormat="1" applyFont="1" applyBorder="1">
      <alignment vertical="center"/>
    </xf>
    <xf numFmtId="178" fontId="278" fillId="0" borderId="44" xfId="15" applyNumberFormat="1" applyFont="1" applyFill="1" applyBorder="1">
      <alignment vertical="center"/>
    </xf>
    <xf numFmtId="192" fontId="32" fillId="0" borderId="46" xfId="15" applyFont="1" applyBorder="1" applyAlignment="1">
      <alignment horizontal="center" vertical="center"/>
    </xf>
    <xf numFmtId="192" fontId="278" fillId="0" borderId="0" xfId="15" applyFont="1" applyAlignment="1">
      <alignment horizontal="center" vertical="center"/>
    </xf>
    <xf numFmtId="10" fontId="278" fillId="0" borderId="0" xfId="11" applyNumberFormat="1" applyFont="1" applyBorder="1" applyAlignment="1">
      <alignment horizontal="center" vertical="center"/>
    </xf>
    <xf numFmtId="10" fontId="278" fillId="0" borderId="0" xfId="11" applyNumberFormat="1" applyFont="1">
      <alignment vertical="center"/>
    </xf>
    <xf numFmtId="192" fontId="217" fillId="0" borderId="0" xfId="15" applyNumberFormat="1" applyFont="1" applyFill="1" applyBorder="1" applyAlignment="1" applyProtection="1">
      <alignment horizontal="centerContinuous" vertical="center" wrapText="1"/>
      <protection locked="0"/>
    </xf>
    <xf numFmtId="192" fontId="127" fillId="0" borderId="0" xfId="15" applyFont="1">
      <alignment vertical="center"/>
    </xf>
    <xf numFmtId="192" fontId="234" fillId="0" borderId="0" xfId="15" applyNumberFormat="1" applyFont="1" applyFill="1" applyBorder="1" applyAlignment="1" applyProtection="1">
      <alignment horizontal="left" vertical="center" wrapText="1"/>
      <protection locked="0"/>
    </xf>
    <xf numFmtId="192" fontId="226" fillId="0" borderId="0" xfId="15" applyNumberFormat="1" applyFont="1" applyFill="1" applyBorder="1" applyAlignment="1" applyProtection="1">
      <alignment horizontal="left" vertical="center" wrapText="1"/>
      <protection locked="0"/>
    </xf>
    <xf numFmtId="192" fontId="226" fillId="0" borderId="0" xfId="15" applyNumberFormat="1" applyFont="1" applyFill="1" applyBorder="1" applyAlignment="1" applyProtection="1">
      <alignment horizontal="right" vertical="center"/>
      <protection locked="0"/>
    </xf>
    <xf numFmtId="10" fontId="226" fillId="0" borderId="0" xfId="15" applyNumberFormat="1" applyFont="1" applyFill="1" applyBorder="1" applyAlignment="1" applyProtection="1">
      <alignment horizontal="right" vertical="center"/>
      <protection locked="0"/>
    </xf>
    <xf numFmtId="177" fontId="127" fillId="0" borderId="0" xfId="15" applyNumberFormat="1" applyFont="1">
      <alignment vertical="center"/>
    </xf>
    <xf numFmtId="192" fontId="226" fillId="0" borderId="153" xfId="15" applyNumberFormat="1" applyFont="1" applyFill="1" applyBorder="1" applyAlignment="1" applyProtection="1">
      <alignment horizontal="center" vertical="center" wrapText="1"/>
      <protection locked="0"/>
    </xf>
    <xf numFmtId="177" fontId="226" fillId="0" borderId="154" xfId="15" applyNumberFormat="1" applyFont="1" applyFill="1" applyBorder="1" applyAlignment="1" applyProtection="1">
      <alignment horizontal="center" vertical="center" wrapText="1"/>
      <protection locked="0"/>
    </xf>
    <xf numFmtId="177" fontId="226" fillId="0" borderId="155" xfId="15" applyNumberFormat="1" applyFont="1" applyFill="1" applyBorder="1" applyAlignment="1" applyProtection="1">
      <alignment horizontal="center" vertical="center" wrapText="1"/>
      <protection locked="0"/>
    </xf>
    <xf numFmtId="192" fontId="226" fillId="17" borderId="156" xfId="15" applyNumberFormat="1" applyFont="1" applyFill="1" applyBorder="1" applyAlignment="1" applyProtection="1">
      <alignment horizontal="left" vertical="center" shrinkToFit="1"/>
      <protection locked="0"/>
    </xf>
    <xf numFmtId="177" fontId="226" fillId="17" borderId="157" xfId="15" applyNumberFormat="1" applyFont="1" applyFill="1" applyBorder="1" applyAlignment="1" applyProtection="1">
      <alignment horizontal="center" vertical="center" wrapText="1"/>
      <protection locked="0"/>
    </xf>
    <xf numFmtId="177" fontId="226" fillId="17" borderId="158" xfId="15" applyNumberFormat="1" applyFont="1" applyFill="1" applyBorder="1" applyAlignment="1" applyProtection="1">
      <alignment horizontal="right" vertical="center" wrapText="1"/>
      <protection locked="0"/>
    </xf>
    <xf numFmtId="177" fontId="226" fillId="17" borderId="157" xfId="15" applyNumberFormat="1" applyFont="1" applyFill="1" applyBorder="1" applyAlignment="1" applyProtection="1">
      <alignment horizontal="right" vertical="center" wrapText="1"/>
      <protection locked="0"/>
    </xf>
    <xf numFmtId="177" fontId="226" fillId="17" borderId="159" xfId="15" applyNumberFormat="1" applyFont="1" applyFill="1" applyBorder="1" applyAlignment="1" applyProtection="1">
      <alignment horizontal="right" vertical="center" wrapText="1"/>
      <protection locked="0"/>
    </xf>
    <xf numFmtId="192" fontId="127" fillId="0" borderId="0" xfId="15" applyFont="1" applyBorder="1">
      <alignment vertical="center"/>
    </xf>
    <xf numFmtId="192" fontId="226" fillId="18" borderId="160" xfId="15" applyNumberFormat="1" applyFont="1" applyFill="1" applyBorder="1" applyAlignment="1" applyProtection="1">
      <alignment horizontal="left" vertical="center" shrinkToFit="1"/>
      <protection locked="0"/>
    </xf>
    <xf numFmtId="177" fontId="226" fillId="18" borderId="161" xfId="15" applyNumberFormat="1" applyFont="1" applyFill="1" applyBorder="1" applyAlignment="1" applyProtection="1">
      <alignment horizontal="center" vertical="center" wrapText="1"/>
      <protection locked="0"/>
    </xf>
    <xf numFmtId="177" fontId="127" fillId="18" borderId="162" xfId="15" applyNumberFormat="1" applyFont="1" applyFill="1" applyBorder="1" applyAlignment="1" applyProtection="1">
      <alignment vertical="center" wrapText="1"/>
      <protection locked="0"/>
    </xf>
    <xf numFmtId="177" fontId="226" fillId="18" borderId="161" xfId="15" applyNumberFormat="1" applyFont="1" applyFill="1" applyBorder="1" applyAlignment="1" applyProtection="1">
      <alignment horizontal="right" vertical="center" wrapText="1"/>
    </xf>
    <xf numFmtId="177" fontId="226" fillId="18" borderId="163" xfId="15" applyNumberFormat="1" applyFont="1" applyFill="1" applyBorder="1" applyAlignment="1" applyProtection="1">
      <alignment horizontal="right" vertical="center" wrapText="1"/>
    </xf>
    <xf numFmtId="9" fontId="127" fillId="0" borderId="0" xfId="11" applyFont="1">
      <alignment vertical="center"/>
    </xf>
    <xf numFmtId="192" fontId="127" fillId="0" borderId="0" xfId="15" applyFont="1" applyFill="1" applyBorder="1" applyAlignment="1" applyProtection="1">
      <alignment horizontal="center" vertical="center"/>
      <protection locked="0"/>
    </xf>
    <xf numFmtId="192" fontId="43" fillId="0" borderId="0" xfId="15" applyFont="1" applyBorder="1">
      <alignment vertical="center"/>
    </xf>
    <xf numFmtId="192" fontId="127" fillId="0" borderId="0" xfId="15" applyFont="1" applyFill="1" applyBorder="1" applyProtection="1">
      <alignment vertical="center"/>
      <protection locked="0"/>
    </xf>
    <xf numFmtId="192" fontId="226" fillId="0" borderId="160" xfId="15" applyNumberFormat="1" applyFont="1" applyFill="1" applyBorder="1" applyAlignment="1" applyProtection="1">
      <alignment horizontal="left" vertical="center" shrinkToFit="1"/>
      <protection locked="0"/>
    </xf>
    <xf numFmtId="177" fontId="226" fillId="0" borderId="161" xfId="15" applyNumberFormat="1" applyFont="1" applyFill="1" applyBorder="1" applyAlignment="1" applyProtection="1">
      <alignment vertical="center" wrapText="1"/>
      <protection locked="0"/>
    </xf>
    <xf numFmtId="177" fontId="226" fillId="0" borderId="162" xfId="15" applyNumberFormat="1" applyFont="1" applyFill="1" applyBorder="1" applyAlignment="1" applyProtection="1">
      <alignment vertical="center" wrapText="1"/>
      <protection locked="0"/>
    </xf>
    <xf numFmtId="177" fontId="127" fillId="0" borderId="161" xfId="15" applyNumberFormat="1" applyFont="1" applyFill="1" applyBorder="1" applyAlignment="1" applyProtection="1">
      <alignment horizontal="right" vertical="center" wrapText="1"/>
    </xf>
    <xf numFmtId="177" fontId="226" fillId="0" borderId="161" xfId="15" applyNumberFormat="1" applyFont="1" applyFill="1" applyBorder="1" applyAlignment="1" applyProtection="1">
      <alignment horizontal="right" vertical="center" wrapText="1"/>
    </xf>
    <xf numFmtId="177" fontId="127" fillId="0" borderId="162" xfId="15" applyNumberFormat="1" applyFont="1" applyFill="1" applyBorder="1" applyAlignment="1" applyProtection="1">
      <alignment horizontal="right" vertical="center" wrapText="1"/>
    </xf>
    <xf numFmtId="177" fontId="226" fillId="0" borderId="163" xfId="15" applyNumberFormat="1" applyFont="1" applyFill="1" applyBorder="1" applyAlignment="1" applyProtection="1">
      <alignment horizontal="right" vertical="center" wrapText="1"/>
    </xf>
    <xf numFmtId="192" fontId="127" fillId="0" borderId="0" xfId="15" applyFont="1" applyFill="1" applyBorder="1" applyAlignment="1" applyProtection="1">
      <alignment horizontal="left" vertical="center"/>
      <protection locked="0"/>
    </xf>
    <xf numFmtId="192" fontId="226" fillId="0" borderId="0" xfId="15" applyFont="1" applyFill="1" applyBorder="1" applyAlignment="1" applyProtection="1">
      <alignment horizontal="center"/>
      <protection locked="0"/>
    </xf>
    <xf numFmtId="177" fontId="127" fillId="0" borderId="161" xfId="15" applyNumberFormat="1" applyFont="1" applyFill="1" applyBorder="1" applyAlignment="1" applyProtection="1">
      <alignment horizontal="left" vertical="center" wrapText="1"/>
      <protection locked="0"/>
    </xf>
    <xf numFmtId="177" fontId="127" fillId="0" borderId="162" xfId="15" applyNumberFormat="1" applyFont="1" applyFill="1" applyBorder="1" applyAlignment="1" applyProtection="1">
      <alignment horizontal="right" vertical="center" wrapText="1"/>
      <protection locked="0"/>
    </xf>
    <xf numFmtId="192" fontId="127" fillId="0" borderId="160" xfId="15" applyNumberFormat="1" applyFont="1" applyFill="1" applyBorder="1" applyAlignment="1" applyProtection="1">
      <alignment horizontal="left" vertical="center" shrinkToFit="1"/>
      <protection locked="0"/>
    </xf>
    <xf numFmtId="177" fontId="127" fillId="0" borderId="161" xfId="15" applyNumberFormat="1" applyFont="1" applyFill="1" applyBorder="1" applyAlignment="1" applyProtection="1">
      <alignment vertical="center" wrapText="1"/>
      <protection locked="0"/>
    </xf>
    <xf numFmtId="177" fontId="127" fillId="0" borderId="161" xfId="15" applyNumberFormat="1" applyFont="1" applyFill="1" applyBorder="1" applyAlignment="1" applyProtection="1">
      <alignment horizontal="right" vertical="center" wrapText="1"/>
      <protection locked="0"/>
    </xf>
    <xf numFmtId="177" fontId="127" fillId="0" borderId="163" xfId="15" applyNumberFormat="1" applyFont="1" applyFill="1" applyBorder="1" applyAlignment="1" applyProtection="1">
      <alignment horizontal="right" vertical="center" wrapText="1"/>
    </xf>
    <xf numFmtId="177" fontId="226" fillId="0" borderId="162" xfId="15" applyNumberFormat="1" applyFont="1" applyFill="1" applyBorder="1" applyAlignment="1" applyProtection="1">
      <alignment horizontal="right" vertical="center" wrapText="1"/>
    </xf>
    <xf numFmtId="177" fontId="127" fillId="0" borderId="161" xfId="15" applyNumberFormat="1" applyFont="1" applyFill="1" applyBorder="1" applyAlignment="1" applyProtection="1">
      <alignment vertical="center" shrinkToFit="1"/>
      <protection locked="0"/>
    </xf>
    <xf numFmtId="177" fontId="226" fillId="0" borderId="161" xfId="15" applyNumberFormat="1" applyFont="1" applyFill="1" applyBorder="1" applyAlignment="1" applyProtection="1">
      <alignment horizontal="right" vertical="center" wrapText="1"/>
      <protection locked="0"/>
    </xf>
    <xf numFmtId="177" fontId="226" fillId="0" borderId="164" xfId="15" applyNumberFormat="1" applyFont="1" applyFill="1" applyBorder="1" applyAlignment="1" applyProtection="1">
      <alignment vertical="center" wrapText="1"/>
      <protection locked="0"/>
    </xf>
    <xf numFmtId="185" fontId="226" fillId="18" borderId="161" xfId="15" applyNumberFormat="1" applyFont="1" applyFill="1" applyBorder="1" applyAlignment="1" applyProtection="1">
      <alignment horizontal="right" vertical="center" wrapText="1"/>
    </xf>
    <xf numFmtId="185" fontId="226" fillId="18" borderId="163" xfId="15" applyNumberFormat="1" applyFont="1" applyFill="1" applyBorder="1" applyAlignment="1" applyProtection="1">
      <alignment horizontal="right" vertical="center" wrapText="1"/>
    </xf>
    <xf numFmtId="177" fontId="127" fillId="6" borderId="161" xfId="15" applyNumberFormat="1" applyFont="1" applyFill="1" applyBorder="1" applyAlignment="1" applyProtection="1">
      <alignment horizontal="right" vertical="center" wrapText="1"/>
    </xf>
    <xf numFmtId="185" fontId="127" fillId="0" borderId="161" xfId="15" applyNumberFormat="1" applyFont="1" applyFill="1" applyBorder="1" applyAlignment="1" applyProtection="1">
      <alignment horizontal="right" vertical="center" wrapText="1"/>
    </xf>
    <xf numFmtId="185" fontId="280" fillId="0" borderId="161" xfId="15" applyNumberFormat="1" applyFont="1" applyFill="1" applyBorder="1" applyAlignment="1" applyProtection="1">
      <alignment horizontal="right" vertical="center" wrapText="1"/>
    </xf>
    <xf numFmtId="195" fontId="127" fillId="0" borderId="161" xfId="15" applyNumberFormat="1" applyFont="1" applyFill="1" applyBorder="1" applyAlignment="1" applyProtection="1">
      <alignment horizontal="right" vertical="center" wrapText="1"/>
    </xf>
    <xf numFmtId="192" fontId="226" fillId="0" borderId="0" xfId="15" applyFont="1" applyAlignment="1">
      <alignment horizontal="center" vertical="center"/>
    </xf>
    <xf numFmtId="192" fontId="226" fillId="17" borderId="160" xfId="15" applyNumberFormat="1" applyFont="1" applyFill="1" applyBorder="1" applyAlignment="1" applyProtection="1">
      <alignment horizontal="left" vertical="center" shrinkToFit="1"/>
      <protection locked="0"/>
    </xf>
    <xf numFmtId="177" fontId="226" fillId="17" borderId="161" xfId="15" applyNumberFormat="1" applyFont="1" applyFill="1" applyBorder="1" applyAlignment="1" applyProtection="1">
      <alignment horizontal="center" vertical="center" wrapText="1"/>
      <protection locked="0"/>
    </xf>
    <xf numFmtId="177" fontId="226" fillId="17" borderId="162" xfId="15" applyNumberFormat="1" applyFont="1" applyFill="1" applyBorder="1" applyAlignment="1" applyProtection="1">
      <alignment horizontal="center" vertical="center" wrapText="1"/>
      <protection locked="0"/>
    </xf>
    <xf numFmtId="180" fontId="226" fillId="17" borderId="161" xfId="15" applyNumberFormat="1" applyFont="1" applyFill="1" applyBorder="1" applyAlignment="1" applyProtection="1">
      <alignment horizontal="center" vertical="center" wrapText="1"/>
      <protection locked="0"/>
    </xf>
    <xf numFmtId="177" fontId="226" fillId="17" borderId="161" xfId="15" applyNumberFormat="1" applyFont="1" applyFill="1" applyBorder="1" applyAlignment="1" applyProtection="1">
      <alignment horizontal="center" vertical="center" wrapText="1"/>
    </xf>
    <xf numFmtId="177" fontId="226" fillId="17" borderId="162" xfId="15" applyNumberFormat="1" applyFont="1" applyFill="1" applyBorder="1" applyAlignment="1" applyProtection="1">
      <alignment horizontal="center" vertical="center" wrapText="1"/>
    </xf>
    <xf numFmtId="177" fontId="226" fillId="17" borderId="163" xfId="15" applyNumberFormat="1" applyFont="1" applyFill="1" applyBorder="1" applyAlignment="1" applyProtection="1">
      <alignment horizontal="center" vertical="center" wrapText="1"/>
    </xf>
    <xf numFmtId="177" fontId="229" fillId="18" borderId="162" xfId="15" applyNumberFormat="1" applyFont="1" applyFill="1" applyBorder="1" applyAlignment="1" applyProtection="1">
      <alignment horizontal="right" vertical="center" wrapText="1"/>
    </xf>
    <xf numFmtId="177" fontId="280" fillId="0" borderId="161" xfId="15" applyNumberFormat="1" applyFont="1" applyFill="1" applyBorder="1" applyAlignment="1" applyProtection="1">
      <alignment horizontal="right" vertical="center" wrapText="1"/>
      <protection locked="0"/>
    </xf>
    <xf numFmtId="177" fontId="211" fillId="0" borderId="162" xfId="15" applyNumberFormat="1" applyFont="1" applyFill="1" applyBorder="1" applyAlignment="1" applyProtection="1">
      <alignment horizontal="right" vertical="center" wrapText="1"/>
    </xf>
    <xf numFmtId="10" fontId="127" fillId="0" borderId="161" xfId="15" applyNumberFormat="1" applyFont="1" applyFill="1" applyBorder="1" applyAlignment="1" applyProtection="1">
      <alignment horizontal="right" vertical="center" wrapText="1"/>
      <protection locked="0"/>
    </xf>
    <xf numFmtId="180" fontId="127" fillId="0" borderId="161" xfId="15" applyNumberFormat="1" applyFont="1" applyFill="1" applyBorder="1" applyAlignment="1" applyProtection="1">
      <alignment horizontal="right" vertical="center" wrapText="1"/>
      <protection locked="0"/>
    </xf>
    <xf numFmtId="192" fontId="127" fillId="0" borderId="161" xfId="15" applyFont="1" applyFill="1" applyBorder="1" applyAlignment="1" applyProtection="1">
      <protection locked="0"/>
    </xf>
    <xf numFmtId="192" fontId="127" fillId="0" borderId="161" xfId="15" applyFont="1" applyFill="1" applyBorder="1" applyAlignment="1" applyProtection="1">
      <alignment horizontal="right"/>
      <protection locked="0"/>
    </xf>
    <xf numFmtId="180" fontId="127" fillId="0" borderId="161" xfId="15" applyNumberFormat="1" applyFont="1" applyFill="1" applyBorder="1" applyAlignment="1" applyProtection="1">
      <alignment horizontal="right"/>
      <protection locked="0"/>
    </xf>
    <xf numFmtId="180" fontId="127" fillId="0" borderId="163" xfId="15" applyNumberFormat="1" applyFont="1" applyFill="1" applyBorder="1" applyAlignment="1" applyProtection="1">
      <alignment horizontal="right"/>
      <protection locked="0"/>
    </xf>
    <xf numFmtId="177" fontId="127" fillId="6" borderId="162" xfId="15" applyNumberFormat="1" applyFont="1" applyFill="1" applyBorder="1" applyAlignment="1" applyProtection="1">
      <alignment horizontal="right" vertical="center" wrapText="1"/>
    </xf>
    <xf numFmtId="177" fontId="127" fillId="0" borderId="164" xfId="15" applyNumberFormat="1" applyFont="1" applyFill="1" applyBorder="1" applyAlignment="1" applyProtection="1">
      <alignment horizontal="right" vertical="center" wrapText="1"/>
      <protection locked="0"/>
    </xf>
    <xf numFmtId="177" fontId="127" fillId="0" borderId="164" xfId="15" applyNumberFormat="1" applyFont="1" applyFill="1" applyBorder="1" applyAlignment="1" applyProtection="1">
      <alignment vertical="center" wrapText="1"/>
    </xf>
    <xf numFmtId="192" fontId="280" fillId="0" borderId="0" xfId="15" applyFont="1">
      <alignment vertical="center"/>
    </xf>
    <xf numFmtId="177" fontId="280" fillId="0" borderId="163" xfId="15" applyNumberFormat="1" applyFont="1" applyFill="1" applyBorder="1" applyAlignment="1" applyProtection="1">
      <alignment horizontal="right" vertical="center" wrapText="1"/>
    </xf>
    <xf numFmtId="192" fontId="82" fillId="0" borderId="0" xfId="15" applyFont="1">
      <alignment vertical="center"/>
    </xf>
    <xf numFmtId="187" fontId="127" fillId="0" borderId="161" xfId="15" applyNumberFormat="1" applyFont="1" applyFill="1" applyBorder="1" applyAlignment="1" applyProtection="1">
      <alignment horizontal="right" vertical="center" wrapText="1"/>
    </xf>
    <xf numFmtId="177" fontId="82" fillId="0" borderId="162" xfId="15" applyNumberFormat="1" applyFont="1" applyFill="1" applyBorder="1" applyAlignment="1" applyProtection="1">
      <alignment horizontal="right" vertical="center" wrapText="1"/>
    </xf>
    <xf numFmtId="177" fontId="280" fillId="0" borderId="161" xfId="15" applyNumberFormat="1" applyFont="1" applyFill="1" applyBorder="1" applyAlignment="1" applyProtection="1">
      <alignment vertical="center" wrapText="1"/>
      <protection locked="0"/>
    </xf>
    <xf numFmtId="177" fontId="211" fillId="0" borderId="161" xfId="15" applyNumberFormat="1" applyFont="1" applyFill="1" applyBorder="1" applyAlignment="1" applyProtection="1">
      <alignment horizontal="right" vertical="center" wrapText="1"/>
    </xf>
    <xf numFmtId="177" fontId="211" fillId="0" borderId="161" xfId="15" applyNumberFormat="1" applyFont="1" applyFill="1" applyBorder="1" applyAlignment="1" applyProtection="1">
      <alignment horizontal="right" vertical="center" wrapText="1"/>
      <protection locked="0"/>
    </xf>
    <xf numFmtId="177" fontId="226" fillId="18" borderId="162" xfId="15" applyNumberFormat="1" applyFont="1" applyFill="1" applyBorder="1" applyAlignment="1" applyProtection="1">
      <alignment horizontal="center" vertical="center" wrapText="1"/>
      <protection locked="0"/>
    </xf>
    <xf numFmtId="177" fontId="226" fillId="18" borderId="162" xfId="15" applyNumberFormat="1" applyFont="1" applyFill="1" applyBorder="1" applyAlignment="1" applyProtection="1">
      <alignment horizontal="right" vertical="center" wrapText="1"/>
      <protection locked="0"/>
    </xf>
    <xf numFmtId="10" fontId="226" fillId="18" borderId="162" xfId="15" applyNumberFormat="1" applyFont="1" applyFill="1" applyBorder="1" applyAlignment="1" applyProtection="1">
      <alignment horizontal="right" vertical="center" wrapText="1"/>
      <protection locked="0"/>
    </xf>
    <xf numFmtId="192" fontId="281" fillId="0" borderId="160" xfId="15" applyNumberFormat="1" applyFont="1" applyFill="1" applyBorder="1" applyAlignment="1" applyProtection="1">
      <alignment horizontal="left" vertical="center" shrinkToFit="1"/>
      <protection locked="0"/>
    </xf>
    <xf numFmtId="177" fontId="82" fillId="0" borderId="161" xfId="15" applyNumberFormat="1" applyFont="1" applyFill="1" applyBorder="1" applyAlignment="1" applyProtection="1">
      <alignment vertical="center" wrapText="1"/>
      <protection locked="0"/>
    </xf>
    <xf numFmtId="177" fontId="280" fillId="0" borderId="161" xfId="15" applyNumberFormat="1" applyFont="1" applyFill="1" applyBorder="1" applyAlignment="1" applyProtection="1">
      <alignment horizontal="right" vertical="center" wrapText="1"/>
    </xf>
    <xf numFmtId="10" fontId="280" fillId="0" borderId="161" xfId="15" applyNumberFormat="1" applyFont="1" applyFill="1" applyBorder="1" applyAlignment="1" applyProtection="1">
      <alignment horizontal="right" vertical="center" wrapText="1"/>
      <protection locked="0"/>
    </xf>
    <xf numFmtId="177" fontId="280" fillId="0" borderId="162" xfId="15" applyNumberFormat="1" applyFont="1" applyFill="1" applyBorder="1" applyAlignment="1" applyProtection="1">
      <alignment horizontal="right" vertical="center" wrapText="1"/>
    </xf>
    <xf numFmtId="192" fontId="127" fillId="0" borderId="0" xfId="15" applyFont="1" applyAlignment="1">
      <alignment horizontal="center" vertical="center"/>
    </xf>
    <xf numFmtId="177" fontId="127" fillId="0" borderId="165" xfId="15" applyNumberFormat="1" applyFont="1" applyFill="1" applyBorder="1" applyAlignment="1" applyProtection="1">
      <alignment horizontal="right" vertical="center" wrapText="1"/>
    </xf>
    <xf numFmtId="177" fontId="127" fillId="0" borderId="166" xfId="15" applyNumberFormat="1" applyFont="1" applyFill="1" applyBorder="1" applyAlignment="1" applyProtection="1">
      <alignment horizontal="right" vertical="center" wrapText="1"/>
    </xf>
    <xf numFmtId="192" fontId="226" fillId="19" borderId="153" xfId="15" applyNumberFormat="1" applyFont="1" applyFill="1" applyBorder="1" applyAlignment="1" applyProtection="1">
      <alignment horizontal="center" vertical="center" wrapText="1"/>
      <protection locked="0"/>
    </xf>
    <xf numFmtId="177" fontId="226" fillId="19" borderId="154" xfId="15" applyNumberFormat="1" applyFont="1" applyFill="1" applyBorder="1" applyAlignment="1" applyProtection="1">
      <alignment horizontal="center" vertical="center" wrapText="1"/>
      <protection locked="0"/>
    </xf>
    <xf numFmtId="177" fontId="226" fillId="19" borderId="167" xfId="15" applyNumberFormat="1" applyFont="1" applyFill="1" applyBorder="1" applyAlignment="1" applyProtection="1">
      <alignment horizontal="center" vertical="center" wrapText="1"/>
      <protection locked="0"/>
    </xf>
    <xf numFmtId="177" fontId="226" fillId="19" borderId="168" xfId="15" applyNumberFormat="1" applyFont="1" applyFill="1" applyBorder="1" applyAlignment="1" applyProtection="1">
      <alignment horizontal="center" vertical="center" wrapText="1"/>
      <protection locked="0"/>
    </xf>
    <xf numFmtId="192" fontId="226" fillId="0" borderId="160" xfId="15" applyNumberFormat="1" applyFont="1" applyFill="1" applyBorder="1" applyAlignment="1" applyProtection="1">
      <alignment horizontal="left" vertical="center" wrapText="1"/>
      <protection locked="0"/>
    </xf>
    <xf numFmtId="192" fontId="226" fillId="18" borderId="160" xfId="15" applyNumberFormat="1" applyFont="1" applyFill="1" applyBorder="1" applyAlignment="1" applyProtection="1">
      <alignment horizontal="left" vertical="center" wrapText="1"/>
      <protection locked="0"/>
    </xf>
    <xf numFmtId="177" fontId="226" fillId="18" borderId="161" xfId="15" applyNumberFormat="1" applyFont="1" applyFill="1" applyBorder="1" applyAlignment="1" applyProtection="1">
      <alignment vertical="center" wrapText="1"/>
      <protection locked="0"/>
    </xf>
    <xf numFmtId="177" fontId="226" fillId="18" borderId="161" xfId="15" applyNumberFormat="1" applyFont="1" applyFill="1" applyBorder="1" applyAlignment="1" applyProtection="1">
      <alignment horizontal="right" vertical="center" wrapText="1"/>
      <protection locked="0"/>
    </xf>
    <xf numFmtId="180" fontId="226" fillId="18" borderId="161" xfId="15" applyNumberFormat="1" applyFont="1" applyFill="1" applyBorder="1" applyAlignment="1" applyProtection="1">
      <alignment horizontal="right" vertical="center" wrapText="1"/>
      <protection locked="0"/>
    </xf>
    <xf numFmtId="177" fontId="226" fillId="18" borderId="163" xfId="15" applyNumberFormat="1" applyFont="1" applyFill="1" applyBorder="1" applyAlignment="1" applyProtection="1">
      <alignment horizontal="right" vertical="center" wrapText="1"/>
      <protection locked="0"/>
    </xf>
    <xf numFmtId="177" fontId="226" fillId="19" borderId="167" xfId="15" applyNumberFormat="1" applyFont="1" applyFill="1" applyBorder="1" applyAlignment="1" applyProtection="1">
      <alignment vertical="center" wrapText="1"/>
      <protection locked="0"/>
    </xf>
    <xf numFmtId="177" fontId="226" fillId="19" borderId="154" xfId="15" applyNumberFormat="1" applyFont="1" applyFill="1" applyBorder="1" applyAlignment="1" applyProtection="1">
      <alignment horizontal="right" vertical="center" wrapText="1"/>
      <protection locked="0"/>
    </xf>
    <xf numFmtId="177" fontId="226" fillId="19" borderId="167" xfId="15" applyNumberFormat="1" applyFont="1" applyFill="1" applyBorder="1" applyAlignment="1" applyProtection="1">
      <alignment horizontal="right" vertical="center" wrapText="1"/>
      <protection locked="0"/>
    </xf>
    <xf numFmtId="177" fontId="226" fillId="19" borderId="168" xfId="15" applyNumberFormat="1" applyFont="1" applyFill="1" applyBorder="1" applyAlignment="1" applyProtection="1">
      <alignment horizontal="right" vertical="center" wrapText="1"/>
      <protection locked="0"/>
    </xf>
    <xf numFmtId="178" fontId="81" fillId="0" borderId="2" xfId="2" applyNumberFormat="1" applyFont="1" applyFill="1" applyBorder="1" applyAlignment="1" applyProtection="1">
      <alignment vertical="center"/>
      <protection locked="0"/>
    </xf>
    <xf numFmtId="0" fontId="134" fillId="0" borderId="169" xfId="0" applyFont="1" applyFill="1" applyBorder="1" applyAlignment="1" applyProtection="1">
      <alignment horizontal="center" vertical="top" wrapText="1"/>
      <protection locked="0"/>
    </xf>
    <xf numFmtId="0" fontId="134" fillId="0" borderId="171" xfId="0" applyFont="1" applyFill="1" applyBorder="1" applyAlignment="1" applyProtection="1">
      <alignment horizontal="center" vertical="top" wrapText="1"/>
      <protection locked="0"/>
    </xf>
    <xf numFmtId="0" fontId="134" fillId="0" borderId="170" xfId="0" applyFont="1" applyFill="1" applyBorder="1" applyAlignment="1" applyProtection="1">
      <alignment horizontal="center" vertical="top" wrapText="1"/>
      <protection locked="0"/>
    </xf>
    <xf numFmtId="0" fontId="82" fillId="0" borderId="170" xfId="0" applyFont="1" applyFill="1" applyBorder="1" applyAlignment="1" applyProtection="1">
      <alignment vertical="top" wrapText="1"/>
      <protection locked="0"/>
    </xf>
    <xf numFmtId="192" fontId="145" fillId="0" borderId="0" xfId="21" applyAlignment="1"/>
    <xf numFmtId="192" fontId="145" fillId="6" borderId="0" xfId="21" applyFill="1" applyAlignment="1"/>
    <xf numFmtId="192" fontId="145" fillId="20" borderId="0" xfId="21" applyFill="1" applyAlignment="1"/>
    <xf numFmtId="192" fontId="145" fillId="21" borderId="0" xfId="21" applyFill="1" applyAlignment="1"/>
    <xf numFmtId="192" fontId="145" fillId="0" borderId="0" xfId="21">
      <alignment vertical="center"/>
    </xf>
    <xf numFmtId="0" fontId="145" fillId="0" borderId="0" xfId="21" applyNumberFormat="1" applyAlignment="1">
      <alignment horizontal="left"/>
    </xf>
    <xf numFmtId="0" fontId="145" fillId="0" borderId="0" xfId="21" applyNumberFormat="1" applyAlignment="1"/>
    <xf numFmtId="0" fontId="145" fillId="6" borderId="0" xfId="21" applyNumberFormat="1" applyFill="1" applyAlignment="1">
      <alignment horizontal="left"/>
    </xf>
    <xf numFmtId="0" fontId="145" fillId="6" borderId="0" xfId="21" applyNumberFormat="1" applyFill="1" applyAlignment="1"/>
    <xf numFmtId="0" fontId="145" fillId="20" borderId="0" xfId="21" applyNumberFormat="1" applyFill="1" applyAlignment="1">
      <alignment horizontal="left"/>
    </xf>
    <xf numFmtId="0" fontId="145" fillId="20" borderId="0" xfId="21" applyNumberFormat="1" applyFill="1" applyAlignment="1"/>
    <xf numFmtId="0" fontId="145" fillId="0" borderId="0" xfId="21" applyNumberFormat="1" applyFont="1" applyAlignment="1">
      <alignment horizontal="left"/>
    </xf>
    <xf numFmtId="0" fontId="145" fillId="6" borderId="0" xfId="21" applyNumberFormat="1" applyFont="1" applyFill="1" applyAlignment="1">
      <alignment horizontal="left"/>
    </xf>
    <xf numFmtId="0" fontId="145" fillId="21" borderId="0" xfId="21" applyNumberFormat="1" applyFill="1" applyAlignment="1">
      <alignment horizontal="left"/>
    </xf>
    <xf numFmtId="0" fontId="145" fillId="21" borderId="0" xfId="21" applyNumberFormat="1" applyFont="1" applyFill="1" applyAlignment="1">
      <alignment horizontal="left"/>
    </xf>
    <xf numFmtId="0" fontId="145" fillId="21" borderId="0" xfId="21" applyNumberFormat="1" applyFill="1" applyAlignment="1"/>
    <xf numFmtId="0" fontId="145" fillId="0" borderId="0" xfId="21" applyNumberFormat="1" applyAlignment="1">
      <alignment horizontal="left" vertical="center"/>
    </xf>
    <xf numFmtId="0" fontId="145" fillId="0" borderId="0" xfId="21" applyNumberFormat="1">
      <alignment vertical="center"/>
    </xf>
    <xf numFmtId="0" fontId="145" fillId="0" borderId="0" xfId="21" applyNumberFormat="1" applyFont="1">
      <alignment vertical="center"/>
    </xf>
    <xf numFmtId="0" fontId="145" fillId="0" borderId="0" xfId="21" applyNumberFormat="1" applyFill="1">
      <alignment vertical="center"/>
    </xf>
    <xf numFmtId="0" fontId="286" fillId="22" borderId="172" xfId="21" applyNumberFormat="1" applyFont="1" applyFill="1" applyBorder="1" applyAlignment="1">
      <alignment horizontal="left"/>
    </xf>
    <xf numFmtId="0" fontId="286" fillId="22" borderId="173" xfId="21" applyNumberFormat="1" applyFont="1" applyFill="1" applyBorder="1" applyAlignment="1">
      <alignment horizontal="left"/>
    </xf>
    <xf numFmtId="0" fontId="287" fillId="22" borderId="0" xfId="21" applyNumberFormat="1" applyFont="1" applyFill="1" applyBorder="1" applyAlignment="1">
      <alignment horizontal="left"/>
    </xf>
    <xf numFmtId="0" fontId="288" fillId="0" borderId="0" xfId="22" applyNumberFormat="1" applyFill="1" applyBorder="1" applyAlignment="1">
      <alignment horizontal="left"/>
    </xf>
    <xf numFmtId="0" fontId="149" fillId="0" borderId="0" xfId="21" applyNumberFormat="1" applyFont="1" applyAlignment="1">
      <alignment horizontal="left" vertical="center" wrapText="1"/>
    </xf>
    <xf numFmtId="0" fontId="149" fillId="0" borderId="174" xfId="21" applyNumberFormat="1" applyFont="1" applyBorder="1" applyAlignment="1">
      <alignment horizontal="left" vertical="center" wrapText="1"/>
    </xf>
    <xf numFmtId="0" fontId="288" fillId="0" borderId="0" xfId="22" applyNumberFormat="1" applyFill="1">
      <alignment vertical="center"/>
    </xf>
    <xf numFmtId="0" fontId="149" fillId="23" borderId="0" xfId="21" applyNumberFormat="1" applyFont="1" applyFill="1" applyAlignment="1">
      <alignment horizontal="left" vertical="center" wrapText="1"/>
    </xf>
    <xf numFmtId="0" fontId="149" fillId="23" borderId="174" xfId="21" applyNumberFormat="1" applyFont="1" applyFill="1" applyBorder="1" applyAlignment="1">
      <alignment horizontal="left" vertical="center" wrapText="1"/>
    </xf>
    <xf numFmtId="0" fontId="286" fillId="22" borderId="0" xfId="21" applyNumberFormat="1" applyFont="1" applyFill="1" applyBorder="1" applyAlignment="1">
      <alignment horizontal="left"/>
    </xf>
    <xf numFmtId="0" fontId="289" fillId="13" borderId="0" xfId="21" applyNumberFormat="1" applyFont="1" applyFill="1" applyAlignment="1">
      <alignment horizontal="left" vertical="center" wrapText="1"/>
    </xf>
    <xf numFmtId="0" fontId="289" fillId="13" borderId="174" xfId="21" applyNumberFormat="1" applyFont="1" applyFill="1" applyBorder="1" applyAlignment="1">
      <alignment horizontal="left" vertical="center" wrapText="1"/>
    </xf>
    <xf numFmtId="0" fontId="289" fillId="23" borderId="0" xfId="21" applyNumberFormat="1" applyFont="1" applyFill="1" applyAlignment="1">
      <alignment horizontal="left" vertical="center" wrapText="1"/>
    </xf>
    <xf numFmtId="0" fontId="289" fillId="23" borderId="174" xfId="21" applyNumberFormat="1" applyFont="1" applyFill="1" applyBorder="1" applyAlignment="1">
      <alignment horizontal="left" vertical="center" wrapText="1"/>
    </xf>
    <xf numFmtId="0" fontId="289" fillId="0" borderId="0" xfId="21" applyNumberFormat="1" applyFont="1" applyAlignment="1">
      <alignment horizontal="left" vertical="center" wrapText="1"/>
    </xf>
    <xf numFmtId="0" fontId="289" fillId="0" borderId="174" xfId="21" applyNumberFormat="1" applyFont="1" applyBorder="1" applyAlignment="1">
      <alignment horizontal="left" vertical="center" wrapText="1"/>
    </xf>
    <xf numFmtId="0" fontId="149" fillId="0" borderId="0" xfId="21" applyNumberFormat="1" applyFont="1" applyAlignment="1">
      <alignment horizontal="left" vertical="center"/>
    </xf>
    <xf numFmtId="178" fontId="71"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192" fontId="84" fillId="2" borderId="20"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192" fontId="84" fillId="2" borderId="2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192" fontId="291" fillId="0" borderId="0" xfId="18" applyFont="1" applyBorder="1" applyAlignment="1">
      <alignment horizontal="centerContinuous"/>
    </xf>
    <xf numFmtId="192" fontId="291" fillId="0" borderId="0" xfId="18" applyFont="1" applyBorder="1" applyAlignment="1"/>
    <xf numFmtId="192" fontId="278" fillId="0" borderId="0" xfId="18" applyFont="1" applyAlignment="1">
      <alignment horizontal="center" vertical="center"/>
    </xf>
    <xf numFmtId="192" fontId="291" fillId="0" borderId="61" xfId="18" applyFont="1" applyBorder="1" applyAlignment="1"/>
    <xf numFmtId="192" fontId="234" fillId="0" borderId="0" xfId="18" applyFont="1" applyBorder="1" applyAlignment="1">
      <alignment horizontal="center"/>
    </xf>
    <xf numFmtId="192" fontId="291" fillId="0" borderId="0" xfId="18" applyFont="1" applyBorder="1" applyAlignment="1">
      <alignment horizontal="center"/>
    </xf>
    <xf numFmtId="192" fontId="226" fillId="0" borderId="175" xfId="18" applyFont="1" applyBorder="1" applyAlignment="1">
      <alignment horizontal="center" vertical="center"/>
    </xf>
    <xf numFmtId="192" fontId="226" fillId="0" borderId="176" xfId="18" applyFont="1" applyBorder="1" applyAlignment="1">
      <alignment horizontal="center" vertical="center"/>
    </xf>
    <xf numFmtId="192" fontId="226" fillId="0" borderId="176" xfId="18" applyFont="1" applyBorder="1" applyAlignment="1">
      <alignment horizontal="center" vertical="center" wrapText="1"/>
    </xf>
    <xf numFmtId="192" fontId="226" fillId="0" borderId="177" xfId="18" applyFont="1" applyBorder="1" applyAlignment="1">
      <alignment horizontal="center" vertical="center" wrapText="1"/>
    </xf>
    <xf numFmtId="192" fontId="226" fillId="0" borderId="178" xfId="18" applyFont="1" applyBorder="1" applyAlignment="1">
      <alignment horizontal="center" vertical="center" wrapText="1"/>
    </xf>
    <xf numFmtId="192" fontId="226" fillId="0" borderId="9" xfId="18" applyFont="1" applyBorder="1" applyAlignment="1">
      <alignment horizontal="center" vertical="center"/>
    </xf>
    <xf numFmtId="192" fontId="226" fillId="0" borderId="2" xfId="18" applyFont="1" applyBorder="1" applyAlignment="1">
      <alignment horizontal="center" vertical="center"/>
    </xf>
    <xf numFmtId="192" fontId="43" fillId="0" borderId="0" xfId="18" applyFont="1"/>
    <xf numFmtId="192" fontId="234" fillId="0" borderId="160" xfId="18" applyFont="1" applyBorder="1" applyAlignment="1">
      <alignment horizontal="center" vertical="center"/>
    </xf>
    <xf numFmtId="192" fontId="226" fillId="0" borderId="161" xfId="18" applyFont="1" applyBorder="1" applyAlignment="1">
      <alignment horizontal="center" vertical="center"/>
    </xf>
    <xf numFmtId="185" fontId="292" fillId="0" borderId="161" xfId="18" applyNumberFormat="1" applyFont="1" applyBorder="1" applyAlignment="1">
      <alignment horizontal="center" vertical="center"/>
    </xf>
    <xf numFmtId="185" fontId="292" fillId="0" borderId="179" xfId="18" applyNumberFormat="1" applyFont="1" applyBorder="1" applyAlignment="1">
      <alignment horizontal="center" vertical="center"/>
    </xf>
    <xf numFmtId="185" fontId="292" fillId="0" borderId="164" xfId="18" applyNumberFormat="1" applyFont="1" applyBorder="1" applyAlignment="1">
      <alignment horizontal="center" vertical="center"/>
    </xf>
    <xf numFmtId="178" fontId="43" fillId="3" borderId="9" xfId="18" applyNumberFormat="1" applyFont="1" applyFill="1" applyBorder="1" applyAlignment="1">
      <alignment horizontal="center" vertical="center"/>
    </xf>
    <xf numFmtId="10" fontId="43" fillId="3" borderId="2" xfId="18" applyNumberFormat="1" applyFont="1" applyFill="1" applyBorder="1"/>
    <xf numFmtId="192" fontId="292" fillId="0" borderId="0" xfId="18" applyFont="1"/>
    <xf numFmtId="177" fontId="292" fillId="0" borderId="0" xfId="18" applyNumberFormat="1" applyFont="1"/>
    <xf numFmtId="192" fontId="277" fillId="0" borderId="0" xfId="18" applyFont="1"/>
    <xf numFmtId="192" fontId="293" fillId="0" borderId="160" xfId="18" applyFont="1" applyBorder="1" applyAlignment="1">
      <alignment horizontal="center" vertical="center"/>
    </xf>
    <xf numFmtId="192" fontId="226" fillId="0" borderId="0" xfId="18" applyFont="1"/>
    <xf numFmtId="192" fontId="278" fillId="0" borderId="160" xfId="18" applyFont="1" applyBorder="1" applyAlignment="1">
      <alignment horizontal="center" vertical="center" wrapText="1"/>
    </xf>
    <xf numFmtId="192" fontId="127" fillId="0" borderId="161" xfId="18" applyFont="1" applyFill="1" applyBorder="1" applyAlignment="1">
      <alignment horizontal="left" vertical="center"/>
    </xf>
    <xf numFmtId="185" fontId="43" fillId="0" borderId="161" xfId="18" applyNumberFormat="1" applyFont="1" applyBorder="1" applyAlignment="1">
      <alignment horizontal="center" vertical="center"/>
    </xf>
    <xf numFmtId="177" fontId="43" fillId="0" borderId="161" xfId="16" applyNumberFormat="1" applyFont="1" applyFill="1" applyBorder="1" applyAlignment="1">
      <alignment horizontal="center" vertical="center"/>
    </xf>
    <xf numFmtId="185" fontId="127" fillId="0" borderId="161" xfId="16" applyNumberFormat="1" applyFont="1" applyFill="1" applyBorder="1" applyAlignment="1">
      <alignment horizontal="center" vertical="center"/>
    </xf>
    <xf numFmtId="185" fontId="43" fillId="0" borderId="179" xfId="18" applyNumberFormat="1" applyFont="1" applyBorder="1" applyAlignment="1">
      <alignment horizontal="center" vertical="center"/>
    </xf>
    <xf numFmtId="185" fontId="43" fillId="0" borderId="164" xfId="18" applyNumberFormat="1" applyFont="1" applyBorder="1" applyAlignment="1">
      <alignment horizontal="center" vertical="center"/>
    </xf>
    <xf numFmtId="10" fontId="43" fillId="0" borderId="2" xfId="18" applyNumberFormat="1" applyFont="1" applyFill="1" applyBorder="1"/>
    <xf numFmtId="192" fontId="294" fillId="0" borderId="0" xfId="18" applyFont="1"/>
    <xf numFmtId="185" fontId="43" fillId="0" borderId="161" xfId="16" applyNumberFormat="1" applyFont="1" applyFill="1" applyBorder="1" applyAlignment="1">
      <alignment horizontal="center" vertical="center"/>
    </xf>
    <xf numFmtId="177" fontId="43" fillId="0" borderId="161" xfId="18" applyNumberFormat="1" applyFont="1" applyBorder="1" applyAlignment="1">
      <alignment horizontal="center" vertical="center"/>
    </xf>
    <xf numFmtId="9" fontId="43" fillId="18" borderId="161" xfId="16" applyNumberFormat="1" applyFont="1" applyFill="1" applyBorder="1" applyAlignment="1">
      <alignment horizontal="center" vertical="center"/>
    </xf>
    <xf numFmtId="9" fontId="43" fillId="18" borderId="179" xfId="16" applyNumberFormat="1" applyFont="1" applyFill="1" applyBorder="1" applyAlignment="1">
      <alignment horizontal="center" vertical="center"/>
    </xf>
    <xf numFmtId="9" fontId="43" fillId="18" borderId="164" xfId="16" applyNumberFormat="1" applyFont="1" applyFill="1" applyBorder="1" applyAlignment="1">
      <alignment horizontal="center" vertical="center"/>
    </xf>
    <xf numFmtId="9" fontId="43" fillId="0" borderId="161" xfId="16" applyNumberFormat="1" applyFont="1" applyFill="1" applyBorder="1" applyAlignment="1">
      <alignment horizontal="center" vertical="center"/>
    </xf>
    <xf numFmtId="185" fontId="43" fillId="0" borderId="161" xfId="18" applyNumberFormat="1" applyFont="1" applyFill="1" applyBorder="1" applyAlignment="1">
      <alignment horizontal="center" vertical="center"/>
    </xf>
    <xf numFmtId="188" fontId="43" fillId="0" borderId="161" xfId="16" applyNumberFormat="1" applyFont="1" applyFill="1" applyBorder="1" applyAlignment="1">
      <alignment horizontal="center" vertical="center"/>
    </xf>
    <xf numFmtId="178" fontId="43" fillId="0" borderId="161" xfId="16" applyNumberFormat="1" applyFont="1" applyFill="1" applyBorder="1" applyAlignment="1">
      <alignment horizontal="center" vertical="center"/>
    </xf>
    <xf numFmtId="185" fontId="295" fillId="0" borderId="161" xfId="16" applyNumberFormat="1" applyFont="1" applyFill="1" applyBorder="1" applyAlignment="1">
      <alignment horizontal="center" vertical="center"/>
    </xf>
    <xf numFmtId="49" fontId="278" fillId="0" borderId="160" xfId="18" applyNumberFormat="1" applyFont="1" applyBorder="1" applyAlignment="1">
      <alignment horizontal="center" vertical="center" wrapText="1"/>
    </xf>
    <xf numFmtId="176" fontId="127" fillId="0" borderId="161" xfId="18" applyNumberFormat="1" applyFont="1" applyFill="1" applyBorder="1" applyAlignment="1">
      <alignment horizontal="left" vertical="center"/>
    </xf>
    <xf numFmtId="185" fontId="292" fillId="0" borderId="161" xfId="18" applyNumberFormat="1" applyFont="1" applyFill="1" applyBorder="1" applyAlignment="1">
      <alignment horizontal="center" vertical="center"/>
    </xf>
    <xf numFmtId="192" fontId="234" fillId="0" borderId="160" xfId="18" applyFont="1" applyBorder="1" applyAlignment="1">
      <alignment horizontal="center"/>
    </xf>
    <xf numFmtId="192" fontId="226" fillId="0" borderId="161" xfId="18" applyFont="1" applyFill="1" applyBorder="1" applyAlignment="1">
      <alignment horizontal="center" vertical="center"/>
    </xf>
    <xf numFmtId="185" fontId="292" fillId="0" borderId="161" xfId="18" applyNumberFormat="1" applyFont="1" applyBorder="1" applyAlignment="1">
      <alignment horizontal="center"/>
    </xf>
    <xf numFmtId="185" fontId="296" fillId="0" borderId="161" xfId="18" applyNumberFormat="1" applyFont="1" applyBorder="1" applyAlignment="1">
      <alignment horizontal="center"/>
    </xf>
    <xf numFmtId="185" fontId="292" fillId="0" borderId="179" xfId="18" applyNumberFormat="1" applyFont="1" applyBorder="1" applyAlignment="1">
      <alignment horizontal="center"/>
    </xf>
    <xf numFmtId="185" fontId="292" fillId="0" borderId="164" xfId="18" applyNumberFormat="1" applyFont="1" applyBorder="1" applyAlignment="1">
      <alignment horizontal="center"/>
    </xf>
    <xf numFmtId="185" fontId="292" fillId="0" borderId="161" xfId="18" applyNumberFormat="1" applyFont="1" applyFill="1" applyBorder="1" applyAlignment="1">
      <alignment horizontal="center"/>
    </xf>
    <xf numFmtId="10" fontId="293" fillId="18" borderId="0" xfId="18" applyNumberFormat="1" applyFont="1" applyFill="1"/>
    <xf numFmtId="192" fontId="234" fillId="0" borderId="0" xfId="18" applyFont="1"/>
    <xf numFmtId="10" fontId="293" fillId="0" borderId="0" xfId="11" applyNumberFormat="1" applyFont="1" applyAlignment="1"/>
    <xf numFmtId="192" fontId="293" fillId="0" borderId="0" xfId="18" applyFont="1"/>
    <xf numFmtId="192" fontId="278" fillId="0" borderId="160" xfId="18" applyFont="1" applyBorder="1" applyAlignment="1">
      <alignment horizontal="center"/>
    </xf>
    <xf numFmtId="185" fontId="43" fillId="0" borderId="161" xfId="18" applyNumberFormat="1" applyFont="1" applyBorder="1" applyAlignment="1">
      <alignment horizontal="center"/>
    </xf>
    <xf numFmtId="185" fontId="43" fillId="0" borderId="179" xfId="18" applyNumberFormat="1" applyFont="1" applyBorder="1" applyAlignment="1">
      <alignment horizontal="center"/>
    </xf>
    <xf numFmtId="185" fontId="43" fillId="0" borderId="164" xfId="18" applyNumberFormat="1" applyFont="1" applyBorder="1" applyAlignment="1">
      <alignment horizontal="center"/>
    </xf>
    <xf numFmtId="10" fontId="278" fillId="18" borderId="0" xfId="18" applyNumberFormat="1" applyFont="1" applyFill="1"/>
    <xf numFmtId="10" fontId="278" fillId="0" borderId="0" xfId="18" applyNumberFormat="1" applyFont="1"/>
    <xf numFmtId="192" fontId="278" fillId="0" borderId="0" xfId="18" applyFont="1"/>
    <xf numFmtId="192" fontId="293" fillId="0" borderId="160" xfId="18" applyFont="1" applyBorder="1" applyAlignment="1">
      <alignment horizontal="center"/>
    </xf>
    <xf numFmtId="178" fontId="292" fillId="0" borderId="161" xfId="18" applyNumberFormat="1" applyFont="1" applyBorder="1" applyAlignment="1">
      <alignment horizontal="center"/>
    </xf>
    <xf numFmtId="192" fontId="293" fillId="0" borderId="180" xfId="18" applyFont="1" applyBorder="1" applyAlignment="1">
      <alignment horizontal="center"/>
    </xf>
    <xf numFmtId="192" fontId="229" fillId="0" borderId="181" xfId="18" applyFont="1" applyFill="1" applyBorder="1" applyAlignment="1">
      <alignment horizontal="center" vertical="center"/>
    </xf>
    <xf numFmtId="185" fontId="292" fillId="0" borderId="181" xfId="18" applyNumberFormat="1" applyFont="1" applyBorder="1" applyAlignment="1">
      <alignment horizontal="center"/>
    </xf>
    <xf numFmtId="178" fontId="296" fillId="0" borderId="181" xfId="18" applyNumberFormat="1" applyFont="1" applyBorder="1" applyAlignment="1">
      <alignment horizontal="center"/>
    </xf>
    <xf numFmtId="178" fontId="296" fillId="0" borderId="182" xfId="18" applyNumberFormat="1" applyFont="1" applyBorder="1" applyAlignment="1">
      <alignment horizontal="center"/>
    </xf>
    <xf numFmtId="178" fontId="296" fillId="0" borderId="183" xfId="18" applyNumberFormat="1" applyFont="1" applyBorder="1" applyAlignment="1">
      <alignment horizontal="center"/>
    </xf>
    <xf numFmtId="185" fontId="292" fillId="0" borderId="182" xfId="18" applyNumberFormat="1" applyFont="1" applyBorder="1" applyAlignment="1">
      <alignment horizontal="center"/>
    </xf>
    <xf numFmtId="185" fontId="278" fillId="0" borderId="0" xfId="18" applyNumberFormat="1" applyFont="1"/>
    <xf numFmtId="14" fontId="0" fillId="0" borderId="0" xfId="0" applyNumberFormat="1">
      <alignment vertical="center"/>
    </xf>
    <xf numFmtId="0" fontId="0" fillId="6" borderId="0" xfId="0" applyFill="1">
      <alignment vertical="center"/>
    </xf>
    <xf numFmtId="14" fontId="0" fillId="6" borderId="0" xfId="0" applyNumberFormat="1" applyFill="1">
      <alignment vertical="center"/>
    </xf>
    <xf numFmtId="1" fontId="0" fillId="6" borderId="0" xfId="0" applyNumberFormat="1" applyFill="1">
      <alignment vertical="center"/>
    </xf>
    <xf numFmtId="0" fontId="71" fillId="0" borderId="87" xfId="0" applyNumberFormat="1" applyFont="1" applyFill="1" applyBorder="1" applyAlignment="1" applyProtection="1">
      <alignment horizontal="center" vertical="center" wrapText="1"/>
      <protection locked="0"/>
    </xf>
    <xf numFmtId="49" fontId="84" fillId="2" borderId="43" xfId="0" applyNumberFormat="1" applyFont="1" applyFill="1" applyBorder="1" applyAlignment="1" applyProtection="1">
      <alignment horizontal="center" vertical="center" wrapText="1"/>
      <protection locked="0"/>
    </xf>
    <xf numFmtId="9" fontId="76" fillId="9" borderId="5" xfId="0" applyNumberFormat="1" applyFont="1" applyFill="1" applyBorder="1" applyAlignment="1" applyProtection="1">
      <alignment horizontal="center" vertical="center"/>
      <protection locked="0"/>
    </xf>
    <xf numFmtId="0" fontId="86" fillId="9" borderId="25" xfId="2" applyNumberFormat="1" applyFont="1" applyFill="1" applyBorder="1" applyAlignment="1" applyProtection="1">
      <alignment horizontal="center" vertical="center"/>
      <protection locked="0"/>
    </xf>
    <xf numFmtId="182" fontId="76" fillId="9" borderId="51" xfId="0" applyNumberFormat="1" applyFont="1" applyFill="1" applyBorder="1" applyAlignment="1" applyProtection="1">
      <alignment horizontal="center" vertical="center"/>
      <protection locked="0"/>
    </xf>
    <xf numFmtId="182" fontId="152" fillId="9" borderId="2" xfId="0" applyNumberFormat="1" applyFont="1" applyFill="1" applyBorder="1" applyAlignment="1" applyProtection="1">
      <alignment horizontal="center" vertical="center"/>
      <protection locked="0"/>
    </xf>
    <xf numFmtId="9" fontId="71" fillId="9" borderId="5" xfId="0" applyNumberFormat="1" applyFont="1" applyFill="1" applyBorder="1" applyAlignment="1" applyProtection="1">
      <alignment horizontal="center" vertical="center"/>
      <protection locked="0"/>
    </xf>
    <xf numFmtId="182" fontId="71" fillId="9" borderId="2" xfId="0" applyNumberFormat="1" applyFont="1" applyFill="1" applyBorder="1" applyAlignment="1" applyProtection="1">
      <alignment vertical="center"/>
      <protection locked="0"/>
    </xf>
    <xf numFmtId="0" fontId="85" fillId="7" borderId="12" xfId="0" applyFont="1" applyFill="1" applyBorder="1" applyAlignment="1" applyProtection="1">
      <alignment horizontal="center" vertical="center"/>
    </xf>
    <xf numFmtId="0" fontId="71" fillId="24" borderId="2" xfId="0" applyFont="1" applyFill="1" applyBorder="1" applyAlignment="1" applyProtection="1">
      <alignment vertical="center"/>
      <protection locked="0"/>
    </xf>
    <xf numFmtId="178" fontId="76" fillId="9" borderId="2" xfId="2" applyNumberFormat="1" applyFont="1" applyFill="1" applyBorder="1" applyAlignment="1" applyProtection="1">
      <alignment horizontal="center" vertical="center"/>
      <protection locked="0"/>
    </xf>
    <xf numFmtId="178" fontId="71" fillId="9" borderId="2" xfId="2" applyNumberFormat="1" applyFont="1" applyFill="1" applyBorder="1" applyAlignment="1" applyProtection="1">
      <alignment horizontal="center" vertical="center"/>
      <protection locked="0"/>
    </xf>
    <xf numFmtId="177" fontId="71" fillId="24" borderId="2" xfId="0" applyNumberFormat="1" applyFont="1" applyFill="1" applyBorder="1" applyAlignment="1" applyProtection="1">
      <alignment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192" fontId="187" fillId="8" borderId="5" xfId="0" applyNumberFormat="1" applyFont="1" applyFill="1" applyBorder="1" applyAlignment="1" applyProtection="1">
      <alignment horizontal="left" vertical="center"/>
      <protection locked="0"/>
    </xf>
    <xf numFmtId="192" fontId="187" fillId="8" borderId="8" xfId="0" applyNumberFormat="1" applyFont="1" applyFill="1" applyBorder="1" applyAlignment="1" applyProtection="1">
      <alignment horizontal="left" vertical="center"/>
      <protection locked="0"/>
    </xf>
    <xf numFmtId="192"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192" fontId="217" fillId="0" borderId="0" xfId="15" applyFont="1" applyBorder="1" applyAlignment="1">
      <alignment horizontal="center" vertical="center"/>
    </xf>
    <xf numFmtId="192" fontId="278" fillId="0" borderId="6" xfId="15" applyFont="1" applyBorder="1" applyAlignment="1">
      <alignment horizontal="center" vertical="center"/>
    </xf>
    <xf numFmtId="192" fontId="278" fillId="0" borderId="11" xfId="15" applyFont="1" applyBorder="1" applyAlignment="1">
      <alignment horizontal="center" vertical="center" wrapText="1"/>
    </xf>
    <xf numFmtId="192" fontId="278" fillId="0" borderId="43" xfId="15" applyFont="1" applyBorder="1" applyAlignment="1">
      <alignment horizontal="center" vertical="center" wrapText="1"/>
    </xf>
    <xf numFmtId="192" fontId="278" fillId="0" borderId="2" xfId="15" applyFont="1" applyBorder="1" applyAlignment="1">
      <alignment horizontal="left"/>
    </xf>
    <xf numFmtId="192" fontId="278" fillId="0" borderId="2" xfId="15" applyFont="1" applyBorder="1" applyAlignment="1">
      <alignment horizontal="center"/>
    </xf>
    <xf numFmtId="192" fontId="278" fillId="0" borderId="2" xfId="15" applyFont="1" applyBorder="1" applyAlignment="1">
      <alignment horizontal="center" vertical="center" wrapText="1"/>
    </xf>
    <xf numFmtId="192" fontId="32" fillId="0" borderId="2" xfId="15" applyFont="1" applyBorder="1" applyAlignment="1">
      <alignment horizontal="center" vertical="center" wrapText="1"/>
    </xf>
    <xf numFmtId="192" fontId="32" fillId="0" borderId="2" xfId="15" applyFont="1" applyBorder="1" applyAlignment="1">
      <alignment horizontal="left" vertical="center"/>
    </xf>
    <xf numFmtId="192" fontId="278" fillId="0" borderId="2" xfId="15" applyFont="1" applyBorder="1" applyAlignment="1">
      <alignment horizontal="left" vertical="center"/>
    </xf>
    <xf numFmtId="192" fontId="32" fillId="0" borderId="5" xfId="15" applyFont="1" applyBorder="1" applyAlignment="1">
      <alignment horizontal="left" vertical="center"/>
    </xf>
    <xf numFmtId="192" fontId="32" fillId="0" borderId="9" xfId="15" applyFont="1" applyBorder="1" applyAlignment="1">
      <alignment horizontal="left" vertical="center"/>
    </xf>
    <xf numFmtId="192" fontId="32" fillId="0" borderId="2" xfId="15" applyFont="1" applyBorder="1" applyAlignment="1">
      <alignment horizontal="left"/>
    </xf>
    <xf numFmtId="192" fontId="32" fillId="0" borderId="45" xfId="15" applyFont="1" applyBorder="1" applyAlignment="1">
      <alignment horizontal="left" vertical="center"/>
    </xf>
    <xf numFmtId="192" fontId="32" fillId="0" borderId="47" xfId="15" applyFont="1" applyBorder="1" applyAlignment="1">
      <alignment horizontal="left"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70"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284" fillId="0" borderId="0" xfId="21" applyNumberFormat="1" applyFont="1" applyAlignment="1">
      <alignment horizontal="left"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192" fontId="290" fillId="0" borderId="0" xfId="18" applyFont="1" applyBorder="1" applyAlignment="1">
      <alignment horizontal="center"/>
    </xf>
    <xf numFmtId="192" fontId="226" fillId="0" borderId="61" xfId="18" applyFont="1" applyBorder="1" applyAlignment="1">
      <alignment horizontal="right"/>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NumberFormat="1" applyFont="1" applyFill="1" applyBorder="1" applyAlignment="1" applyProtection="1">
      <alignment horizontal="center" vertical="center" wrapText="1"/>
      <protection locked="0"/>
    </xf>
    <xf numFmtId="0" fontId="267" fillId="0" borderId="5" xfId="0" applyNumberFormat="1" applyFont="1" applyFill="1" applyBorder="1" applyAlignment="1" applyProtection="1">
      <alignment horizontal="center" vertical="center" wrapText="1"/>
      <protection locked="0"/>
    </xf>
    <xf numFmtId="0" fontId="266" fillId="0" borderId="11" xfId="0" applyNumberFormat="1" applyFont="1" applyFill="1" applyBorder="1" applyAlignment="1" applyProtection="1">
      <alignment horizontal="center" vertical="center" wrapText="1"/>
      <protection locked="0"/>
    </xf>
    <xf numFmtId="0" fontId="267" fillId="0" borderId="12" xfId="0" applyNumberFormat="1" applyFont="1" applyFill="1" applyBorder="1" applyAlignment="1" applyProtection="1">
      <alignment horizontal="center" vertical="center" wrapText="1"/>
      <protection locked="0"/>
    </xf>
    <xf numFmtId="0" fontId="266" fillId="0" borderId="32" xfId="0" applyNumberFormat="1" applyFont="1" applyFill="1" applyBorder="1" applyAlignment="1" applyProtection="1">
      <alignment horizontal="center" vertical="center" wrapText="1"/>
      <protection locked="0"/>
    </xf>
    <xf numFmtId="0" fontId="267" fillId="0" borderId="4" xfId="0" applyNumberFormat="1" applyFont="1" applyFill="1" applyBorder="1" applyAlignment="1" applyProtection="1">
      <alignment horizontal="center" vertical="center" wrapText="1"/>
      <protection locked="0"/>
    </xf>
    <xf numFmtId="0" fontId="266" fillId="0" borderId="22" xfId="0" applyNumberFormat="1" applyFont="1" applyFill="1" applyBorder="1" applyAlignment="1" applyProtection="1">
      <alignment horizontal="center" vertical="center" wrapText="1"/>
      <protection locked="0"/>
    </xf>
    <xf numFmtId="0" fontId="267" fillId="0" borderId="25" xfId="0" applyNumberFormat="1" applyFont="1" applyFill="1" applyBorder="1" applyAlignment="1" applyProtection="1">
      <alignment horizontal="center" vertical="center" wrapText="1"/>
      <protection locked="0"/>
    </xf>
    <xf numFmtId="0" fontId="267" fillId="0" borderId="22" xfId="0" applyNumberFormat="1"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23">
    <cellStyle name="百分比 2" xfId="11"/>
    <cellStyle name="常规" xfId="0" builtinId="0"/>
    <cellStyle name="常规 10" xfId="21"/>
    <cellStyle name="常规 10 3 2"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_瑞驰调整" xfId="18"/>
    <cellStyle name="超链接" xfId="22" builtinId="8"/>
    <cellStyle name="超链接 2" xfId="19"/>
    <cellStyle name="千位分隔 2" xfId="16"/>
    <cellStyle name="样式 1" xfId="20"/>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180974</xdr:rowOff>
    </xdr:from>
    <xdr:to>
      <xdr:col>10</xdr:col>
      <xdr:colOff>74389</xdr:colOff>
      <xdr:row>49</xdr:row>
      <xdr:rowOff>47625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133599"/>
          <a:ext cx="7189564" cy="6743701"/>
        </a:xfrm>
        <a:prstGeom prst="rect">
          <a:avLst/>
        </a:prstGeom>
      </xdr:spPr>
    </xdr:pic>
    <xdr:clientData/>
  </xdr:twoCellAnchor>
  <xdr:twoCellAnchor editAs="oneCell">
    <xdr:from>
      <xdr:col>10</xdr:col>
      <xdr:colOff>285751</xdr:colOff>
      <xdr:row>11</xdr:row>
      <xdr:rowOff>142876</xdr:rowOff>
    </xdr:from>
    <xdr:to>
      <xdr:col>18</xdr:col>
      <xdr:colOff>414991</xdr:colOff>
      <xdr:row>43</xdr:row>
      <xdr:rowOff>95250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400926" y="2095501"/>
          <a:ext cx="5615640" cy="5743574"/>
        </a:xfrm>
        <a:prstGeom prst="rect">
          <a:avLst/>
        </a:prstGeom>
      </xdr:spPr>
    </xdr:pic>
    <xdr:clientData/>
  </xdr:twoCellAnchor>
  <xdr:twoCellAnchor editAs="oneCell">
    <xdr:from>
      <xdr:col>19</xdr:col>
      <xdr:colOff>47625</xdr:colOff>
      <xdr:row>11</xdr:row>
      <xdr:rowOff>104776</xdr:rowOff>
    </xdr:from>
    <xdr:to>
      <xdr:col>26</xdr:col>
      <xdr:colOff>240706</xdr:colOff>
      <xdr:row>33</xdr:row>
      <xdr:rowOff>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335000" y="2057401"/>
          <a:ext cx="4993681" cy="3876674"/>
        </a:xfrm>
        <a:prstGeom prst="rect">
          <a:avLst/>
        </a:prstGeom>
      </xdr:spPr>
    </xdr:pic>
    <xdr:clientData/>
  </xdr:twoCellAnchor>
  <xdr:twoCellAnchor editAs="oneCell">
    <xdr:from>
      <xdr:col>10</xdr:col>
      <xdr:colOff>533401</xdr:colOff>
      <xdr:row>44</xdr:row>
      <xdr:rowOff>133350</xdr:rowOff>
    </xdr:from>
    <xdr:to>
      <xdr:col>18</xdr:col>
      <xdr:colOff>98467</xdr:colOff>
      <xdr:row>74</xdr:row>
      <xdr:rowOff>161925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648576" y="8058150"/>
          <a:ext cx="5051466" cy="5457825"/>
        </a:xfrm>
        <a:prstGeom prst="rect">
          <a:avLst/>
        </a:prstGeom>
      </xdr:spPr>
    </xdr:pic>
    <xdr:clientData/>
  </xdr:twoCellAnchor>
  <xdr:twoCellAnchor editAs="oneCell">
    <xdr:from>
      <xdr:col>0</xdr:col>
      <xdr:colOff>0</xdr:colOff>
      <xdr:row>77</xdr:row>
      <xdr:rowOff>180974</xdr:rowOff>
    </xdr:from>
    <xdr:to>
      <xdr:col>8</xdr:col>
      <xdr:colOff>495300</xdr:colOff>
      <xdr:row>107</xdr:row>
      <xdr:rowOff>74359</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4077949"/>
          <a:ext cx="6238875" cy="5322635"/>
        </a:xfrm>
        <a:prstGeom prst="rect">
          <a:avLst/>
        </a:prstGeom>
      </xdr:spPr>
    </xdr:pic>
    <xdr:clientData/>
  </xdr:twoCellAnchor>
  <xdr:twoCellAnchor editAs="oneCell">
    <xdr:from>
      <xdr:col>0</xdr:col>
      <xdr:colOff>0</xdr:colOff>
      <xdr:row>107</xdr:row>
      <xdr:rowOff>102375</xdr:rowOff>
    </xdr:from>
    <xdr:to>
      <xdr:col>8</xdr:col>
      <xdr:colOff>546882</xdr:colOff>
      <xdr:row>125</xdr:row>
      <xdr:rowOff>171450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9428600"/>
          <a:ext cx="6290457" cy="3326625"/>
        </a:xfrm>
        <a:prstGeom prst="rect">
          <a:avLst/>
        </a:prstGeom>
      </xdr:spPr>
    </xdr:pic>
    <xdr:clientData/>
  </xdr:twoCellAnchor>
  <xdr:twoCellAnchor editAs="oneCell">
    <xdr:from>
      <xdr:col>10</xdr:col>
      <xdr:colOff>0</xdr:colOff>
      <xdr:row>78</xdr:row>
      <xdr:rowOff>0</xdr:rowOff>
    </xdr:from>
    <xdr:to>
      <xdr:col>20</xdr:col>
      <xdr:colOff>44763</xdr:colOff>
      <xdr:row>109</xdr:row>
      <xdr:rowOff>38100</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15175" y="14077950"/>
          <a:ext cx="6902763" cy="5648325"/>
        </a:xfrm>
        <a:prstGeom prst="rect">
          <a:avLst/>
        </a:prstGeom>
      </xdr:spPr>
    </xdr:pic>
    <xdr:clientData/>
  </xdr:twoCellAnchor>
  <xdr:twoCellAnchor editAs="oneCell">
    <xdr:from>
      <xdr:col>10</xdr:col>
      <xdr:colOff>45226</xdr:colOff>
      <xdr:row>109</xdr:row>
      <xdr:rowOff>54750</xdr:rowOff>
    </xdr:from>
    <xdr:to>
      <xdr:col>20</xdr:col>
      <xdr:colOff>104776</xdr:colOff>
      <xdr:row>129</xdr:row>
      <xdr:rowOff>103544</xdr:rowOff>
    </xdr:to>
    <xdr:pic>
      <xdr:nvPicPr>
        <xdr:cNvPr id="9" name="图片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160401" y="19742925"/>
          <a:ext cx="6917550" cy="3668294"/>
        </a:xfrm>
        <a:prstGeom prst="rect">
          <a:avLst/>
        </a:prstGeom>
      </xdr:spPr>
    </xdr:pic>
    <xdr:clientData/>
  </xdr:twoCellAnchor>
  <xdr:twoCellAnchor editAs="oneCell">
    <xdr:from>
      <xdr:col>10</xdr:col>
      <xdr:colOff>0</xdr:colOff>
      <xdr:row>162</xdr:row>
      <xdr:rowOff>133350</xdr:rowOff>
    </xdr:from>
    <xdr:to>
      <xdr:col>20</xdr:col>
      <xdr:colOff>227756</xdr:colOff>
      <xdr:row>183</xdr:row>
      <xdr:rowOff>142875</xdr:rowOff>
    </xdr:to>
    <xdr:pic>
      <xdr:nvPicPr>
        <xdr:cNvPr id="10" name="图片 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115175" y="29413200"/>
          <a:ext cx="7085756" cy="3810000"/>
        </a:xfrm>
        <a:prstGeom prst="rect">
          <a:avLst/>
        </a:prstGeom>
      </xdr:spPr>
    </xdr:pic>
    <xdr:clientData/>
  </xdr:twoCellAnchor>
  <xdr:twoCellAnchor editAs="oneCell">
    <xdr:from>
      <xdr:col>10</xdr:col>
      <xdr:colOff>7126</xdr:colOff>
      <xdr:row>130</xdr:row>
      <xdr:rowOff>121425</xdr:rowOff>
    </xdr:from>
    <xdr:to>
      <xdr:col>20</xdr:col>
      <xdr:colOff>114300</xdr:colOff>
      <xdr:row>162</xdr:row>
      <xdr:rowOff>122763</xdr:rowOff>
    </xdr:to>
    <xdr:pic>
      <xdr:nvPicPr>
        <xdr:cNvPr id="11" name="图片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122301" y="23610075"/>
          <a:ext cx="6965174" cy="57925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409904</xdr:colOff>
      <xdr:row>38</xdr:row>
      <xdr:rowOff>161924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11104" cy="66770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zhengyi-208\SharedDocs\&#38134;&#34892;&#32452;\&#36164;&#26009;&#22841;&#8212;&#8212;&#37073;&#29146;\&#19994;&#21153;&#19977;&#37096;-&#23425;&#23567;&#40151;\&#22303;&#22320;&#65288;&#39640;&#26032;&#19990;&#33538;&#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zhengyi-208\SharedDocs\&#38134;&#34892;&#32452;\&#36164;&#26009;&#22841;&#8212;&#8212;&#37073;&#29146;\&#19994;&#21153;&#19977;&#37096;-&#23425;&#23567;&#40151;\&#39640;&#26032;23%23&#22320;&#21487;&#30740;&#25253;&#21578;\&#21487;&#30740;&#35745;&#31639;&#34920;&#26684;&#65288;&#39640;&#26032;23%23&#22320;&#65289;072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zhengyi-208\SharedDocs\&#38134;&#34892;&#32452;\&#36164;&#26009;&#22841;&#8212;&#8212;&#37073;&#29146;\&#19994;&#21153;&#19977;&#37096;-&#23425;&#23567;&#40151;\&#21363;&#22696;&#39033;&#30446;\&#34701;&#36164;\&#21487;&#30740;&#25253;&#21578;\&#25237;&#36164;&#27979;&#31639;&#34920;-&#21363;&#22696;&#22269;&#38469;&#22478;050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zhengyi-208\SharedDocs\&#38134;&#34892;&#32452;\&#36164;&#26009;&#22841;&#8212;&#8212;&#37073;&#29146;\&#19994;&#21153;&#19977;&#37096;-&#23425;&#23567;&#40151;\&#21363;&#22696;&#39033;&#30446;\&#21363;&#22696;&#39033;&#30446;&#22303;&#22320;&#27454;&#25903;&#20184;&#35745;&#21010;05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经济指标"/>
      <sheetName val="数据-汇总表"/>
      <sheetName val="数据-取费表"/>
      <sheetName val="估价对象房地状况"/>
      <sheetName val="系统读取表"/>
      <sheetName val="建设投资估算"/>
      <sheetName val="结果表"/>
      <sheetName val="比较法-住宅、综合"/>
      <sheetName val="土地案例1"/>
      <sheetName val="土地案例2"/>
      <sheetName val="案例位置"/>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经营收入及税金"/>
      <sheetName val="不动产比较法-住宅（高层）"/>
      <sheetName val="不动产比较法-住宅（联排）"/>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位）"/>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不动产收益法（商业）</v>
          </cell>
        </row>
        <row r="22">
          <cell r="A22" t="str">
            <v>燃品库房</v>
          </cell>
          <cell r="B22" t="str">
            <v>不动产收益法（车位）</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efreshError="1"/>
      <sheetData sheetId="13">
        <row r="17">
          <cell r="C17" t="str">
            <v>项目类型</v>
          </cell>
        </row>
        <row r="19">
          <cell r="C19" t="str">
            <v>住宅（高层）</v>
          </cell>
        </row>
        <row r="20">
          <cell r="C20" t="str">
            <v>住宅（联排）</v>
          </cell>
        </row>
        <row r="21">
          <cell r="C21" t="str">
            <v>商业</v>
          </cell>
        </row>
        <row r="22">
          <cell r="C22" t="str">
            <v>人才公寓</v>
          </cell>
        </row>
        <row r="23">
          <cell r="C23" t="str">
            <v>车位</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sheetData sheetId="18" refreshError="1"/>
      <sheetData sheetId="19">
        <row r="75">
          <cell r="A75" t="str">
            <v>交易情况</v>
          </cell>
          <cell r="C75" t="str">
            <v>正常</v>
          </cell>
        </row>
        <row r="77">
          <cell r="B77" t="str">
            <v>用途</v>
          </cell>
          <cell r="C77" t="str">
            <v>其他普通商品住房、批发零售</v>
          </cell>
          <cell r="D77" t="str">
            <v>城镇住宅用地、零售商业用地</v>
          </cell>
          <cell r="E77" t="str">
            <v>其他普通商品住房用地</v>
          </cell>
          <cell r="F77" t="str">
            <v>城镇住宅用地</v>
          </cell>
        </row>
        <row r="108">
          <cell r="B108" t="str">
            <v>毗邻道路的类型与等级</v>
          </cell>
          <cell r="C108" t="str">
            <v>支路</v>
          </cell>
        </row>
        <row r="110">
          <cell r="B110" t="str">
            <v>土地级别</v>
          </cell>
        </row>
        <row r="121">
          <cell r="B121" t="str">
            <v>宗地形状</v>
          </cell>
          <cell r="C121" t="str">
            <v>较规则</v>
          </cell>
        </row>
        <row r="123">
          <cell r="B123" t="str">
            <v>临街宽度及深度</v>
          </cell>
        </row>
        <row r="125">
          <cell r="B125" t="str">
            <v>宗地开发程度</v>
          </cell>
          <cell r="C125" t="str">
            <v>七通一平</v>
          </cell>
          <cell r="D125" t="str">
            <v>六通一平</v>
          </cell>
          <cell r="E125" t="str">
            <v>五通一平</v>
          </cell>
          <cell r="F125" t="str">
            <v>四通一平</v>
          </cell>
          <cell r="G125" t="str">
            <v>三通一平</v>
          </cell>
        </row>
        <row r="127">
          <cell r="B127" t="str">
            <v>工程地质条件</v>
          </cell>
          <cell r="C127" t="str">
            <v>较好</v>
          </cell>
        </row>
      </sheetData>
      <sheetData sheetId="20" refreshError="1"/>
      <sheetData sheetId="21" refreshError="1"/>
      <sheetData sheetId="22" refreshError="1"/>
      <sheetData sheetId="23" refreshError="1"/>
      <sheetData sheetId="24" refreshError="1"/>
      <sheetData sheetId="25">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6" refreshError="1"/>
      <sheetData sheetId="2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8" refreshError="1"/>
      <sheetData sheetId="29" refreshError="1"/>
      <sheetData sheetId="30" refreshError="1"/>
      <sheetData sheetId="31" refreshError="1"/>
      <sheetData sheetId="32" refreshError="1"/>
      <sheetData sheetId="33" refreshError="1"/>
      <sheetData sheetId="34"/>
      <sheetData sheetId="35">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小高层</v>
          </cell>
          <cell r="E100" t="str">
            <v>高层</v>
          </cell>
        </row>
        <row r="105">
          <cell r="B105" t="str">
            <v>建筑结构</v>
          </cell>
          <cell r="C105" t="str">
            <v>钢混</v>
          </cell>
        </row>
        <row r="107">
          <cell r="B107" t="str">
            <v>建筑品质</v>
          </cell>
          <cell r="C107" t="str">
            <v>中档</v>
          </cell>
        </row>
        <row r="109">
          <cell r="B109" t="str">
            <v>公共部分装修</v>
          </cell>
          <cell r="C109" t="str">
            <v>精装修</v>
          </cell>
        </row>
        <row r="114">
          <cell r="B114" t="str">
            <v>物业管理</v>
          </cell>
          <cell r="C114" t="str">
            <v>专业</v>
          </cell>
        </row>
        <row r="116">
          <cell r="B116" t="str">
            <v>市政基础设施</v>
          </cell>
          <cell r="C116" t="str">
            <v>七通</v>
          </cell>
          <cell r="D116" t="str">
            <v>六通</v>
          </cell>
        </row>
        <row r="118">
          <cell r="B118" t="str">
            <v>房型</v>
          </cell>
          <cell r="C118" t="str">
            <v>平层</v>
          </cell>
        </row>
        <row r="122">
          <cell r="B122" t="str">
            <v>内部装修</v>
          </cell>
          <cell r="C122" t="str">
            <v>精装修</v>
          </cell>
          <cell r="D122" t="str">
            <v>简装</v>
          </cell>
          <cell r="E122" t="str">
            <v>毛坯</v>
          </cell>
        </row>
      </sheetData>
      <sheetData sheetId="36" refreshError="1"/>
      <sheetData sheetId="37" refreshError="1"/>
      <sheetData sheetId="38" refreshError="1"/>
      <sheetData sheetId="39" refreshError="1"/>
      <sheetData sheetId="4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经济指标"/>
      <sheetName val="财务指标"/>
      <sheetName val="建设投资估算"/>
      <sheetName val="总投资"/>
      <sheetName val="总成本"/>
      <sheetName val="还本付息表"/>
      <sheetName val="经营收入及税金"/>
      <sheetName val="利润表 (区域总部)"/>
      <sheetName val="利润表 (动漫产业公司)"/>
      <sheetName val="利润表"/>
      <sheetName val="资金使用与筹措"/>
      <sheetName val="计划现金流量"/>
      <sheetName val="项目现金流量"/>
      <sheetName val="资本金现金流量"/>
      <sheetName val="敏感性分析"/>
      <sheetName val="折旧摊销"/>
      <sheetName val="土地增值税"/>
      <sheetName val="分类表"/>
      <sheetName val="进度计划"/>
    </sheetNames>
    <sheetDataSet>
      <sheetData sheetId="0">
        <row r="3">
          <cell r="D3">
            <v>72846.2</v>
          </cell>
        </row>
        <row r="4">
          <cell r="D4">
            <v>180792</v>
          </cell>
        </row>
        <row r="5">
          <cell r="D5">
            <v>131123</v>
          </cell>
        </row>
        <row r="6">
          <cell r="C6" t="str">
            <v>高层</v>
          </cell>
          <cell r="D6">
            <v>34304</v>
          </cell>
        </row>
        <row r="7">
          <cell r="C7" t="str">
            <v>人才公寓</v>
          </cell>
          <cell r="D7">
            <v>50129</v>
          </cell>
        </row>
        <row r="8">
          <cell r="C8" t="str">
            <v>联排别墅</v>
          </cell>
          <cell r="D8">
            <v>40890</v>
          </cell>
        </row>
        <row r="9">
          <cell r="C9" t="str">
            <v>商业</v>
          </cell>
          <cell r="D9">
            <v>3738</v>
          </cell>
        </row>
        <row r="10">
          <cell r="C10" t="str">
            <v>公建配套</v>
          </cell>
          <cell r="D10">
            <v>2062</v>
          </cell>
        </row>
        <row r="18">
          <cell r="D18">
            <v>49669</v>
          </cell>
        </row>
        <row r="19">
          <cell r="C19" t="str">
            <v>人防车库（40%）</v>
          </cell>
        </row>
        <row r="20">
          <cell r="C20" t="str">
            <v>非人防车库（60%）</v>
          </cell>
        </row>
        <row r="23">
          <cell r="D23">
            <v>18212</v>
          </cell>
        </row>
        <row r="26">
          <cell r="D26">
            <v>0.25000617739840925</v>
          </cell>
        </row>
        <row r="27">
          <cell r="D27">
            <v>0.30000192185728292</v>
          </cell>
        </row>
        <row r="28">
          <cell r="D28">
            <v>1206</v>
          </cell>
        </row>
        <row r="29">
          <cell r="D29">
            <v>1009</v>
          </cell>
        </row>
        <row r="30">
          <cell r="F30">
            <v>0</v>
          </cell>
          <cell r="G30">
            <v>1</v>
          </cell>
        </row>
      </sheetData>
      <sheetData sheetId="1" refreshError="1"/>
      <sheetData sheetId="2"/>
      <sheetData sheetId="3">
        <row r="6">
          <cell r="D6">
            <v>52239.586600000002</v>
          </cell>
        </row>
        <row r="10">
          <cell r="D10">
            <v>2700</v>
          </cell>
        </row>
        <row r="12">
          <cell r="F12">
            <v>79131.600316999989</v>
          </cell>
        </row>
        <row r="17">
          <cell r="D17">
            <v>8809.2778890162263</v>
          </cell>
        </row>
      </sheetData>
      <sheetData sheetId="4">
        <row r="29">
          <cell r="E29">
            <v>1498.358968</v>
          </cell>
          <cell r="F29">
            <v>2602.126968</v>
          </cell>
          <cell r="G29">
            <v>320.78400000000005</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2">
          <cell r="C32">
            <v>1</v>
          </cell>
        </row>
      </sheetData>
      <sheetData sheetId="5">
        <row r="8">
          <cell r="D8">
            <v>1274.0000000000002</v>
          </cell>
          <cell r="E8">
            <v>3822.0000000000009</v>
          </cell>
          <cell r="F8">
            <v>5733.0000000000009</v>
          </cell>
          <cell r="G8">
            <v>0</v>
          </cell>
        </row>
      </sheetData>
      <sheetData sheetId="6"/>
      <sheetData sheetId="7" refreshError="1"/>
      <sheetData sheetId="8" refreshError="1"/>
      <sheetData sheetId="9" refreshError="1"/>
      <sheetData sheetId="10">
        <row r="6">
          <cell r="E6">
            <v>0.55000000000000004</v>
          </cell>
          <cell r="F6">
            <v>0.3</v>
          </cell>
          <cell r="G6">
            <v>0.15</v>
          </cell>
        </row>
      </sheetData>
      <sheetData sheetId="11" refreshError="1"/>
      <sheetData sheetId="12" refreshError="1"/>
      <sheetData sheetId="13" refreshError="1"/>
      <sheetData sheetId="14">
        <row r="14">
          <cell r="I14">
            <v>1</v>
          </cell>
        </row>
        <row r="24">
          <cell r="I24">
            <v>1</v>
          </cell>
        </row>
      </sheetData>
      <sheetData sheetId="15" refreshError="1"/>
      <sheetData sheetId="16">
        <row r="35">
          <cell r="D35">
            <v>5122.6211615576958</v>
          </cell>
        </row>
      </sheetData>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项目总投资"/>
      <sheetName val="资金拼盘"/>
      <sheetName val="项目货值"/>
      <sheetName val="利润测算"/>
      <sheetName val="利润测算表"/>
      <sheetName val="现金流量表"/>
      <sheetName val="年度现金流量表"/>
      <sheetName val="Sheet1"/>
      <sheetName val="Sheet2"/>
    </sheetNames>
    <sheetDataSet>
      <sheetData sheetId="0">
        <row r="15">
          <cell r="C15">
            <v>124321.003360052</v>
          </cell>
        </row>
      </sheetData>
      <sheetData sheetId="1"/>
      <sheetData sheetId="2">
        <row r="15">
          <cell r="B15" t="str">
            <v>商业街</v>
          </cell>
        </row>
      </sheetData>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版"/>
      <sheetName val="权益前"/>
      <sheetName val="权益后"/>
      <sheetName val="面积数据"/>
      <sheetName val="中纺城土地付款计划表"/>
      <sheetName val="即墨城土地付款计划表"/>
      <sheetName val="Sheet3"/>
      <sheetName val="Sheet4"/>
      <sheetName val="汇总土地款铺排计划"/>
    </sheetNames>
    <sheetDataSet>
      <sheetData sheetId="0"/>
      <sheetData sheetId="1"/>
      <sheetData sheetId="2">
        <row r="4">
          <cell r="F4">
            <v>8964.4800000000014</v>
          </cell>
          <cell r="J4">
            <v>4193.28</v>
          </cell>
        </row>
        <row r="5">
          <cell r="F5">
            <v>10832.080000000002</v>
          </cell>
          <cell r="J5">
            <v>5066.88</v>
          </cell>
        </row>
        <row r="6">
          <cell r="F6">
            <v>4215.4400000000005</v>
          </cell>
          <cell r="J6">
            <v>1971.84</v>
          </cell>
        </row>
        <row r="7">
          <cell r="F7">
            <v>13233.60016</v>
          </cell>
          <cell r="J7">
            <v>6190.2297600000002</v>
          </cell>
        </row>
      </sheetData>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4.bin"/><Relationship Id="rId1" Type="http://schemas.openxmlformats.org/officeDocument/2006/relationships/hyperlink" Target="javascript:top.main.DataEdit('37',20);"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hyperlink" Target="http://www.qdsdu.com/dongtai/148085.html" TargetMode="External"/><Relationship Id="rId2" Type="http://schemas.openxmlformats.org/officeDocument/2006/relationships/hyperlink" Target="http://qd.news.fang.com/2018-03-30/28112354.htm" TargetMode="External"/><Relationship Id="rId1" Type="http://schemas.openxmlformats.org/officeDocument/2006/relationships/hyperlink" Target="http://qd.newhouse.fang.com/2018-07-30/29114913.htm" TargetMode="External"/><Relationship Id="rId6" Type="http://schemas.openxmlformats.org/officeDocument/2006/relationships/drawing" Target="../drawings/drawing1.xml"/><Relationship Id="rId5" Type="http://schemas.openxmlformats.org/officeDocument/2006/relationships/printerSettings" Target="../printerSettings/printerSettings20.bin"/><Relationship Id="rId4" Type="http://schemas.openxmlformats.org/officeDocument/2006/relationships/hyperlink" Target="http://qd.leju.com/news/2016-09-19/10376183463755587055557.shtml" TargetMode="Externa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2" customWidth="1"/>
    <col min="2" max="2" width="78.25" style="2883" customWidth="1"/>
    <col min="3" max="18" width="9" style="2877"/>
    <col min="19" max="19" width="17.875" style="2877" customWidth="1"/>
    <col min="20" max="51" width="9" style="2877"/>
    <col min="52" max="52" width="13.25" style="2877" customWidth="1"/>
    <col min="53" max="53" width="13.5" style="2877" bestFit="1" customWidth="1"/>
    <col min="54" max="54" width="11.625" style="2877" bestFit="1" customWidth="1"/>
    <col min="55" max="55" width="13.5" style="2877" bestFit="1" customWidth="1"/>
    <col min="56" max="16384" width="9" style="2877"/>
  </cols>
  <sheetData>
    <row r="1" spans="1:55" s="2888" customFormat="1" ht="16.5" thickBot="1">
      <c r="A1" s="2886" t="s">
        <v>2655</v>
      </c>
      <c r="B1" s="2887" t="s">
        <v>2752</v>
      </c>
    </row>
    <row r="2" spans="1:55" s="2891" customFormat="1" ht="15" thickTop="1">
      <c r="A2" s="2889" t="s">
        <v>2659</v>
      </c>
      <c r="B2" s="2890" t="str">
        <f>'预评函-封皮'!B37</f>
        <v>山东省青岛市高新区火炬路以北、规划中32号线以西370214005030GB00261号一宗住宅、商业用地出让国有建设用地使用权抵押价格预评估</v>
      </c>
      <c r="AX2" s="2892"/>
      <c r="AZ2" s="2892"/>
      <c r="BA2" s="2893"/>
      <c r="BC2" s="2893"/>
    </row>
    <row r="3" spans="1:55" s="2894" customFormat="1">
      <c r="A3" s="2873" t="s">
        <v>2660</v>
      </c>
      <c r="B3" s="2876" t="str">
        <f>'预评函-封皮'!B40</f>
        <v>大业信托有限责任公司</v>
      </c>
    </row>
    <row r="4" spans="1:55" s="2875" customFormat="1">
      <c r="A4" s="2873" t="s">
        <v>2661</v>
      </c>
      <c r="B4" s="2874" t="str">
        <f>'预评函-封皮'!B46</f>
        <v>王鹏、崔锴</v>
      </c>
      <c r="N4" s="2875" t="str">
        <f>'预评函-1'!A28</f>
        <v>本次估价的“抵押净值”是指估价对象“抵押价格”减去估价对象在估价期日以“土地销售收入”为基数计算的预计抵押权实现进行处置时需缴纳的各项费用、税金等相关费用后的价格。</v>
      </c>
    </row>
    <row r="5" spans="1:55" s="2888" customFormat="1" ht="15" thickBot="1">
      <c r="A5" s="2895" t="s">
        <v>2662</v>
      </c>
      <c r="B5" s="2896" t="str">
        <f>'预评函-封皮'!B49</f>
        <v>康正预评字号</v>
      </c>
    </row>
    <row r="6" spans="1:55" s="2897" customFormat="1" ht="15" thickTop="1">
      <c r="A6" s="2889" t="s">
        <v>2704</v>
      </c>
      <c r="B6" s="2890" t="str">
        <f>'预评函-1'!A4</f>
        <v>受贵公司委托，我公司对山东省青岛市高新区火炬路以北、规划中32号线以西370214005030GB00261号一宗住宅、商业用地出让国有建设用地使用权抵押价格进行了预评估。</v>
      </c>
      <c r="AM6" s="2898"/>
    </row>
    <row r="7" spans="1:55" s="2872" customFormat="1">
      <c r="A7" s="2873" t="s">
        <v>2656</v>
      </c>
      <c r="B7" s="2874" t="str">
        <f>'预评函-1'!A6</f>
        <v>估价对象为青岛世茂世悦置业有限公司使用的、位于山东省青岛市高新区火炬路以北、规划中32号线以西370214005030GB00261号一宗住宅、商业用地出让国有建设用地使用权。根据《国有建设用地使用权出让合同》[]及附件、《北京市规划委员会关于同意XX项目的规划设计方案的规划意见复函》[]以及《建设工程规划许可证》[]，估价对象（分摊）出让国有建设用地使用权面积为72846.2平方米。根据《国有建设用地使用权出让合同》[]及附件、《北京市规划委员会关于同意XX项目的规划设计方案的规划意见复函》[]以及《建设工程规划许可证》[]，估价对象规划建筑面积为180792平方米。</v>
      </c>
    </row>
    <row r="8" spans="1:55" s="2872" customFormat="1">
      <c r="A8" s="2873" t="s">
        <v>2657</v>
      </c>
      <c r="B8" s="2874" t="str">
        <f>'预评函-1'!A7</f>
        <v xml:space="preserve">简述项目推广名，项目类型（用途），估价对象分布，各用途面积明细情况：XX用途建筑面积XX平方米，XX用途建筑面积XX平方米，……。复杂面积清单需设‘附表’列示：抵押物清单详见附表。        </v>
      </c>
    </row>
    <row r="9" spans="1:55" s="2872" customFormat="1">
      <c r="A9" s="2873" t="s">
        <v>2707</v>
      </c>
      <c r="B9" s="2874" t="str">
        <f>'预评函-1'!A9</f>
        <v>青岛世茂世悦置业有限公司拟使用山东省青岛市高新区火炬路以北、规划中32号线以西370214005030GB00261号一宗住宅、商业用地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55" s="2872" customFormat="1">
      <c r="A10" s="2873" t="s">
        <v>2658</v>
      </c>
      <c r="B10" s="2874" t="str">
        <f>'预评函-1'!A11</f>
        <v>2018年9月3日（评估专业人员勘察现场之日）</v>
      </c>
    </row>
    <row r="11" spans="1:55" s="2872" customFormat="1">
      <c r="A11" s="2873" t="s">
        <v>2664</v>
      </c>
      <c r="B11" s="2874" t="str">
        <f>'预评函-1'!A14</f>
        <v>根据《国有土地使用证》[]，本次评估估价对象证载（地类）用途为其他普通商品住房、批发零售。</v>
      </c>
    </row>
    <row r="12" spans="1:55" s="2872" customFormat="1">
      <c r="A12" s="2873" t="s">
        <v>2665</v>
      </c>
      <c r="B12" s="2874" t="str">
        <f>'预评函-1'!A15</f>
        <v>本次评估设定用途即为证载用途其他普通商品住房、批发零售。</v>
      </c>
    </row>
    <row r="13" spans="1:55" s="2872" customFormat="1">
      <c r="A13" s="2873" t="s">
        <v>2666</v>
      </c>
      <c r="B13" s="2874" t="str">
        <f>'预评函-1'!A17</f>
        <v>根据委托估价方介绍及评估专业人员现场勘查，本次评估估价对象实际土地开发程度为红线外市政基础设施达“七通”（即通路、通电、通讯、通上水、通下水、通热、燃气）、宗地红线内场地平整。</v>
      </c>
    </row>
    <row r="14" spans="1:55" s="2872" customFormat="1">
      <c r="A14" s="2873" t="s">
        <v>2667</v>
      </c>
      <c r="B14" s="2874" t="str">
        <f>'预评函-1'!A18</f>
        <v>本次评估设定土地开发程度为红线外市政基础设施达“七通”、宗地红线内场地平整。</v>
      </c>
    </row>
    <row r="15" spans="1:55" s="2872" customFormat="1">
      <c r="A15" s="2873" t="s">
        <v>2663</v>
      </c>
      <c r="B15" s="2874" t="str">
        <f>'预评函-1'!A20</f>
        <v>根据《国有建设用地使用权出让合同》[]及附件、《北京市规划委员会关于同意XX项目的规划设计方案的规划意见复函》[]以及《建设工程规划许可证》[]，估价对象（分摊）出让国有建设用地使用权面积为72846.2平方米。根据《国有建设用地使用权出让合同》[]及附件、《北京市规划委员会关于同意XX项目的规划设计方案的规划意见复函》[]以及《建设工程规划许可证》[]，估价对象规划建筑面积为180792平方米。</v>
      </c>
    </row>
    <row r="16" spans="1:55" s="2872" customFormat="1">
      <c r="A16" s="2873" t="s">
        <v>2668</v>
      </c>
      <c r="B16" s="287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8月14日、商业2058年8月14日车库2068年8月14日。截至估价期日，出让国有建设用地使用权剩余土地使用年限为。</v>
      </c>
    </row>
    <row r="17" spans="1:48" s="2872" customFormat="1">
      <c r="A17" s="2873" t="s">
        <v>2669</v>
      </c>
      <c r="B17" s="2874" t="str">
        <f>'预评函-1'!A23</f>
        <v>本次评估设定估价对象剩余土地使用年限为。</v>
      </c>
    </row>
    <row r="18" spans="1:48" s="2872" customFormat="1">
      <c r="A18" s="2873" t="s">
        <v>2670</v>
      </c>
      <c r="B18" s="2874" t="str">
        <f>'预评函-1'!A25</f>
        <v>本次估价的“出让国有建设用地使用权价格”是指在估价对象土地所有权为国家所有，使用权性质为出让，在公开市场条件下、于估价期日2018年9月3日，在规划利用条件下、设定土地开发程度为红线外“七通”、宗地内场地平整，设定用途为其他普通商品住房、批发零售，剩余土地使用年限为的出让国有建设用地使用权价格。</v>
      </c>
    </row>
    <row r="19" spans="1:48" s="2872" customFormat="1">
      <c r="A19" s="2873" t="s">
        <v>2671</v>
      </c>
      <c r="B19" s="2874" t="str">
        <f>'预评函-1'!A26</f>
        <v>本次估价的“抵押价格”是指估价对象在估价期日的“出让国有建设用地使用权价格”扣减估价师于估价期日所知悉的法定优先受偿款后的余额。</v>
      </c>
    </row>
    <row r="20" spans="1:48" s="2872" customFormat="1">
      <c r="A20" s="2873" t="s">
        <v>2672</v>
      </c>
      <c r="B20" s="287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8" customFormat="1" ht="15" thickBot="1">
      <c r="A21" s="2895" t="s">
        <v>2673</v>
      </c>
      <c r="B21" s="289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4" t="s">
        <v>2674</v>
      </c>
      <c r="B22" s="288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3" t="s">
        <v>2675</v>
      </c>
      <c r="B23" s="2874" t="str">
        <f>'预评函-2'!K2</f>
        <v>估价期日：2018年9月3日</v>
      </c>
    </row>
    <row r="24" spans="1:48">
      <c r="A24" s="2873" t="s">
        <v>2676</v>
      </c>
      <c r="B24" s="2874" t="str">
        <f>'预评函-2'!R2</f>
        <v>估价期日的国有建设用地使用权性质：出让</v>
      </c>
    </row>
    <row r="25" spans="1:48">
      <c r="A25" s="2873" t="s">
        <v>2732</v>
      </c>
      <c r="B25" s="2874" t="str">
        <f>'预评函-2'!A3</f>
        <v>估价期日土地使用者</v>
      </c>
    </row>
    <row r="26" spans="1:48">
      <c r="A26" s="2873" t="s">
        <v>2708</v>
      </c>
      <c r="B26" s="2874" t="str">
        <f>'预评函-2'!A5</f>
        <v>中信开发</v>
      </c>
    </row>
    <row r="27" spans="1:48">
      <c r="A27" s="2873" t="s">
        <v>2733</v>
      </c>
      <c r="B27" s="2874" t="str">
        <f>'预评函-2'!B3</f>
        <v>宗地编号/不动产单元号</v>
      </c>
    </row>
    <row r="28" spans="1:48">
      <c r="A28" s="2873" t="s">
        <v>2709</v>
      </c>
      <c r="B28" s="2874" t="str">
        <f>'预评函-2'!B5</f>
        <v>11111111111</v>
      </c>
    </row>
    <row r="29" spans="1:48">
      <c r="A29" s="2873" t="s">
        <v>2735</v>
      </c>
      <c r="B29" s="2874">
        <f>'预评函-2'!C5</f>
        <v>22</v>
      </c>
    </row>
    <row r="30" spans="1:48">
      <c r="A30" s="2873" t="s">
        <v>2736</v>
      </c>
      <c r="B30" s="2874" t="str">
        <f>'预评函-2'!D3</f>
        <v>土地使用证编号/不动产权证书编号</v>
      </c>
    </row>
    <row r="31" spans="1:48">
      <c r="A31" s="2873" t="s">
        <v>2710</v>
      </c>
      <c r="B31" s="2874" t="str">
        <f>'预评函-2'!D5</f>
        <v>京国土字第111号</v>
      </c>
    </row>
    <row r="32" spans="1:48">
      <c r="A32" s="2873" t="s">
        <v>2711</v>
      </c>
      <c r="B32" s="2874" t="str">
        <f>'预评函-2'!E5</f>
        <v>其他普通商品住房、批发零售</v>
      </c>
      <c r="AV32" s="2878"/>
    </row>
    <row r="33" spans="1:2">
      <c r="A33" s="2873" t="s">
        <v>2712</v>
      </c>
      <c r="B33" s="2874">
        <f>'预评函-2'!F5</f>
        <v>258</v>
      </c>
    </row>
    <row r="34" spans="1:2">
      <c r="A34" s="2873" t="s">
        <v>2713</v>
      </c>
      <c r="B34" s="2874" t="str">
        <f>'预评函-2'!G5</f>
        <v>其他普通商品住房、批发零售</v>
      </c>
    </row>
    <row r="35" spans="1:2">
      <c r="A35" s="2873" t="s">
        <v>2714</v>
      </c>
      <c r="B35" s="2874">
        <f>'预评函-2'!H5</f>
        <v>1.5</v>
      </c>
    </row>
    <row r="36" spans="1:2">
      <c r="A36" s="2873" t="s">
        <v>2715</v>
      </c>
      <c r="B36" s="2874">
        <f>'预评函-2'!I5</f>
        <v>1.5</v>
      </c>
    </row>
    <row r="37" spans="1:2">
      <c r="A37" s="2873" t="s">
        <v>2716</v>
      </c>
      <c r="B37" s="2874">
        <f>'预评函-2'!J5</f>
        <v>1.5</v>
      </c>
    </row>
    <row r="38" spans="1:2">
      <c r="A38" s="2873" t="s">
        <v>2717</v>
      </c>
      <c r="B38" s="2874" t="str">
        <f>'预评函-2'!K5</f>
        <v>红线外七通、宗地红线内场地平整</v>
      </c>
    </row>
    <row r="39" spans="1:2">
      <c r="A39" s="2873" t="s">
        <v>2718</v>
      </c>
      <c r="B39" s="2874" t="str">
        <f>'预评函-2'!L5</f>
        <v>红线外七通、宗地红线内场地平整</v>
      </c>
    </row>
    <row r="40" spans="1:2">
      <c r="A40" s="2873" t="s">
        <v>2737</v>
      </c>
      <c r="B40" s="2874" t="str">
        <f>'预评函-2'!M3</f>
        <v>（剩余）土地使用年限/年</v>
      </c>
    </row>
    <row r="41" spans="1:2">
      <c r="A41" s="2873" t="s">
        <v>2719</v>
      </c>
      <c r="B41" s="2874">
        <f>'预评函-2'!M5</f>
        <v>0</v>
      </c>
    </row>
    <row r="42" spans="1:2">
      <c r="A42" s="2873" t="s">
        <v>2738</v>
      </c>
      <c r="B42" s="2874" t="str">
        <f>'预评函-2'!N3</f>
        <v>（分摊）出让国有建设用地使用权面积/㎡</v>
      </c>
    </row>
    <row r="43" spans="1:2">
      <c r="A43" s="2873" t="s">
        <v>2720</v>
      </c>
      <c r="B43" s="2874">
        <f>'预评函-2'!N5</f>
        <v>72846.2</v>
      </c>
    </row>
    <row r="44" spans="1:2">
      <c r="A44" s="2873" t="s">
        <v>2739</v>
      </c>
      <c r="B44" s="2874" t="str">
        <f>'预评函-2'!O3</f>
        <v>规划建筑面积/㎡</v>
      </c>
    </row>
    <row r="45" spans="1:2">
      <c r="A45" s="2873" t="s">
        <v>2721</v>
      </c>
      <c r="B45" s="2874">
        <f>'预评函-2'!O5</f>
        <v>180792</v>
      </c>
    </row>
    <row r="46" spans="1:2">
      <c r="A46" s="2873" t="s">
        <v>2722</v>
      </c>
      <c r="B46" s="2874">
        <f ca="1">'预评函-2'!P5</f>
        <v>10988</v>
      </c>
    </row>
    <row r="47" spans="1:2">
      <c r="A47" s="2873" t="s">
        <v>2723</v>
      </c>
      <c r="B47" s="2874">
        <f ca="1">'预评函-2'!Q5</f>
        <v>4427</v>
      </c>
    </row>
    <row r="48" spans="1:2">
      <c r="A48" s="2873" t="s">
        <v>2724</v>
      </c>
      <c r="B48" s="2874">
        <f ca="1">'预评函-2'!R5</f>
        <v>80044</v>
      </c>
    </row>
    <row r="49" spans="1:2">
      <c r="A49" s="2873" t="s">
        <v>2740</v>
      </c>
      <c r="B49" s="2874" t="str">
        <f>'预评函-2'!A6</f>
        <v>抵押价格</v>
      </c>
    </row>
    <row r="50" spans="1:2">
      <c r="A50" s="2873" t="s">
        <v>2725</v>
      </c>
      <c r="B50" s="2874">
        <f ca="1">'预评函-2'!R6</f>
        <v>80044</v>
      </c>
    </row>
    <row r="51" spans="1:2">
      <c r="A51" s="2873" t="s">
        <v>2741</v>
      </c>
      <c r="B51" s="2874" t="str">
        <f>'预评函-2'!A7</f>
        <v>——</v>
      </c>
    </row>
    <row r="52" spans="1:2">
      <c r="A52" s="2873" t="s">
        <v>2726</v>
      </c>
      <c r="B52" s="2874" t="str">
        <f>'预评函-2'!R7</f>
        <v>——</v>
      </c>
    </row>
    <row r="53" spans="1:2">
      <c r="A53" s="2873" t="s">
        <v>2742</v>
      </c>
      <c r="B53" s="2874">
        <f>'预评函-2'!A8</f>
        <v>0</v>
      </c>
    </row>
    <row r="54" spans="1:2" s="2888" customFormat="1" ht="15" thickBot="1">
      <c r="A54" s="2895" t="s">
        <v>2727</v>
      </c>
      <c r="B54" s="2896" t="str">
        <f>'预评函-2'!R8</f>
        <v>——</v>
      </c>
    </row>
    <row r="55" spans="1:2" ht="15" thickTop="1">
      <c r="A55" s="2884" t="s">
        <v>2677</v>
      </c>
      <c r="B55" s="2885" t="str">
        <f>'预评函-3'!A2</f>
        <v>1.权利限制：根据估价对象《不动产权证书》复印件、，截至估价期日，估价对象抵押权未见登记。未设定租赁等其他他项权利。</v>
      </c>
    </row>
    <row r="56" spans="1:2">
      <c r="A56" s="2873" t="s">
        <v>2678</v>
      </c>
      <c r="B56" s="2874" t="str">
        <f>'预评函-3'!A3</f>
        <v>2.基础设施条件：估价对象实际开发程度为红线外七通、宗地红线内场地平整；本次评估设定开发程度为红线外七通、宗地红线内场地平整。</v>
      </c>
    </row>
    <row r="57" spans="1:2">
      <c r="A57" s="2873" t="s">
        <v>2679</v>
      </c>
      <c r="B57" s="2874" t="str">
        <f>'预评函-3'!A4</f>
        <v>3.估价规划限制条件：详见《国有建设用地使用权出让合同》[]及附件、《北京市规划委员会关于同意XX项目的规划设计方案的规划意见复函》[]以及《建设工程规划许可证》[]。</v>
      </c>
    </row>
    <row r="58" spans="1:2" s="2888" customFormat="1" ht="15" thickBot="1">
      <c r="A58" s="2895" t="s">
        <v>2728</v>
      </c>
      <c r="B58" s="2896" t="str">
        <f>'预评函-3'!A5</f>
        <v>4.影响价格的其他限定条件：无。</v>
      </c>
    </row>
    <row r="59" spans="1:2" ht="15" thickTop="1">
      <c r="A59" s="2884" t="s">
        <v>2680</v>
      </c>
      <c r="B59" s="2885" t="str">
        <f>'预评函-3'!A8</f>
        <v>2.本《评估意见函》仅供金融机构进行内部审核使用，不做其他目的之用。</v>
      </c>
    </row>
    <row r="60" spans="1:2">
      <c r="A60" s="2873" t="s">
        <v>2681</v>
      </c>
      <c r="B60" s="2874" t="str">
        <f>'预评函-3'!A9</f>
        <v>3.抵押双方在办理抵押登记手续时，应使用本公司出具的正式《土地估价报告》，特提请报告使用者注意。</v>
      </c>
    </row>
    <row r="61" spans="1:2">
      <c r="A61" s="2873" t="s">
        <v>2683</v>
      </c>
      <c r="B61" s="2874" t="str">
        <f>'预评函-3'!A10</f>
        <v>4.估价师所知悉的法定优先受偿款情况为：</v>
      </c>
    </row>
    <row r="62" spans="1:2">
      <c r="A62" s="2873" t="s">
        <v>2682</v>
      </c>
      <c r="B62" s="2874" t="str">
        <f>'预评函-3'!A11</f>
        <v>（1）根据估价对象《不动产权证书》复印件、，截至估价期日，估价对象抵押权未见登记。</v>
      </c>
    </row>
    <row r="63" spans="1:2">
      <c r="A63" s="2873" t="s">
        <v>2684</v>
      </c>
      <c r="B63" s="287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3" t="s">
        <v>2685</v>
      </c>
      <c r="B64" s="2879" t="str">
        <f>'预评函-3'!A13</f>
        <v>（3）。</v>
      </c>
    </row>
    <row r="65" spans="1:2">
      <c r="A65" s="2873" t="s">
        <v>2686</v>
      </c>
      <c r="B65" s="2880" t="str">
        <f>'预评函-3'!A14</f>
        <v>综上，本次评估不存在估价师知悉的法定优先受偿款</v>
      </c>
    </row>
    <row r="66" spans="1:2">
      <c r="A66" s="2873" t="s">
        <v>2687</v>
      </c>
      <c r="B66" s="288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3" t="s">
        <v>2688</v>
      </c>
      <c r="B67" s="288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8" customFormat="1" ht="15" thickBot="1">
      <c r="A68" s="2895" t="s">
        <v>2691</v>
      </c>
      <c r="B68" s="2899">
        <f>'预评函-3'!D30</f>
        <v>42558</v>
      </c>
    </row>
    <row r="69" spans="1:2" ht="15" thickTop="1">
      <c r="A69" s="2884" t="s">
        <v>2689</v>
      </c>
      <c r="B69" s="2885" t="str">
        <f>'预评函-3'!A20</f>
        <v>王鹏</v>
      </c>
    </row>
    <row r="70" spans="1:2">
      <c r="A70" s="2873" t="s">
        <v>2689</v>
      </c>
      <c r="B70" s="2880">
        <f ca="1">'预评函-3'!B20</f>
        <v>2002110030</v>
      </c>
    </row>
    <row r="71" spans="1:2">
      <c r="A71" s="2873" t="s">
        <v>2690</v>
      </c>
      <c r="B71" s="2874" t="str">
        <f>'预评函-3'!A21</f>
        <v>崔锴</v>
      </c>
    </row>
    <row r="72" spans="1:2" s="2888" customFormat="1" ht="15" thickBot="1">
      <c r="A72" s="2895" t="s">
        <v>2690</v>
      </c>
      <c r="B72" s="2901">
        <f ca="1">'预评函-3'!B21</f>
        <v>2010110070</v>
      </c>
    </row>
    <row r="73" spans="1:2" ht="15" thickTop="1">
      <c r="A73" s="2884" t="s">
        <v>2749</v>
      </c>
      <c r="B73" s="290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3" t="s">
        <v>2750</v>
      </c>
      <c r="B74" s="2881" t="str">
        <f>'预评函-1 (储备)'!A18</f>
        <v>由于本次评估估价目的是评估储备国有建设用地使用权的“抵押价格”，因此本次评估设定土地开发程度为红线外市政基础设施达“七通”、宗地红线内场地平整。</v>
      </c>
    </row>
    <row r="75" spans="1:2" s="2888" customFormat="1" ht="15" thickBot="1">
      <c r="A75" s="2895" t="s">
        <v>2751</v>
      </c>
      <c r="B75" s="290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2" t="s">
        <v>2786</v>
      </c>
      <c r="B76" s="288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17" sqref="G17"/>
    </sheetView>
  </sheetViews>
  <sheetFormatPr defaultColWidth="10" defaultRowHeight="14.25"/>
  <cols>
    <col min="1" max="1" width="15.375" style="1685" customWidth="1"/>
    <col min="2" max="2" width="11.375" style="1685" customWidth="1"/>
    <col min="3" max="3" width="12.625" style="1685" customWidth="1"/>
    <col min="4" max="4" width="10" style="1685" customWidth="1"/>
    <col min="5" max="5" width="12.5" style="1685" customWidth="1"/>
    <col min="6" max="6" width="11.375" style="1685" customWidth="1"/>
    <col min="7" max="7" width="12.375" style="1685" customWidth="1"/>
    <col min="8" max="8" width="10" style="1685" customWidth="1"/>
    <col min="9" max="9" width="12.5" style="1687" customWidth="1"/>
    <col min="10" max="10" width="10" style="1685" customWidth="1"/>
    <col min="11" max="11" width="10" style="1767" customWidth="1"/>
    <col min="12" max="13" width="10" style="1686" customWidth="1"/>
    <col min="14" max="14" width="10" style="1685" customWidth="1"/>
    <col min="15" max="15" width="10" style="1687" customWidth="1"/>
    <col min="16" max="17" width="10" style="1685"/>
    <col min="18" max="18" width="10" style="1685" customWidth="1"/>
    <col min="19" max="16384" width="10" style="1685"/>
  </cols>
  <sheetData>
    <row r="1" spans="1:21" ht="15" thickBot="1">
      <c r="A1" s="1653" t="s">
        <v>1940</v>
      </c>
      <c r="B1" s="3512" t="str">
        <f>IF(B10="北京市","北京市",C10)&amp;F10&amp;B16&amp;"国有建设用地使用权"&amp;B9&amp;"预评估"</f>
        <v>山东省青岛市高新区火炬路以北、规划中32号线以西370214005030GB00261号一宗住宅、商业用地出让国有建设用地使用权抵押价格预评估</v>
      </c>
      <c r="C1" s="3513"/>
      <c r="D1" s="3513"/>
      <c r="E1" s="3513"/>
      <c r="F1" s="3513"/>
      <c r="G1" s="3513"/>
      <c r="H1" s="3513"/>
      <c r="I1" s="3514"/>
      <c r="J1" s="1688"/>
      <c r="K1" s="2450" t="str">
        <f>IF(B10="北京市","北京市",C10)&amp;F10&amp;B16&amp;"国有建设用地使用权"&amp;B9</f>
        <v>山东省青岛市高新区火炬路以北、规划中32号线以西370214005030GB00261号一宗住宅、商业用地出让国有建设用地使用权抵押价格</v>
      </c>
      <c r="L1" s="1717"/>
      <c r="M1" s="1717"/>
      <c r="N1" s="1688"/>
      <c r="O1" s="1689"/>
      <c r="P1" s="1688"/>
      <c r="Q1" s="1688"/>
      <c r="R1" s="1688"/>
      <c r="S1" s="1688"/>
      <c r="T1" s="1688"/>
      <c r="U1" s="1688"/>
    </row>
    <row r="2" spans="1:21">
      <c r="A2" s="1654" t="s">
        <v>1941</v>
      </c>
      <c r="B2" s="1836"/>
      <c r="D2" s="1688"/>
      <c r="E2" s="1688"/>
      <c r="F2" s="1688"/>
      <c r="G2" s="1688"/>
      <c r="H2" s="1654"/>
      <c r="I2" s="1689"/>
      <c r="J2" s="1688"/>
      <c r="K2" s="2450" t="str">
        <f>IF(B10="北京市","北京市",C10)&amp;F10&amp;B16&amp;"国有建设用地使用权"</f>
        <v>山东省青岛市高新区火炬路以北、规划中32号线以西370214005030GB00261号一宗住宅、商业用地出让国有建设用地使用权</v>
      </c>
      <c r="L2" s="1717"/>
      <c r="M2" s="1717"/>
      <c r="N2" s="1688"/>
      <c r="O2" s="1689"/>
      <c r="P2" s="1688"/>
      <c r="Q2" s="1688"/>
      <c r="R2" s="1688"/>
      <c r="S2" s="1688"/>
      <c r="T2" s="1688"/>
      <c r="U2" s="1688"/>
    </row>
    <row r="3" spans="1:21">
      <c r="A3" s="1655" t="s">
        <v>1942</v>
      </c>
      <c r="B3" s="1656">
        <v>43346</v>
      </c>
      <c r="C3" s="1657" t="s">
        <v>1996</v>
      </c>
      <c r="D3" s="1656">
        <f>B3</f>
        <v>43346</v>
      </c>
      <c r="E3" s="1688"/>
      <c r="F3" s="1688"/>
      <c r="G3" s="1688"/>
      <c r="H3" s="1654"/>
      <c r="I3" s="1689"/>
      <c r="J3" s="1688"/>
      <c r="K3" s="1768"/>
      <c r="L3" s="1717"/>
      <c r="M3" s="1717"/>
      <c r="N3" s="1688"/>
      <c r="O3" s="1689"/>
      <c r="P3" s="1688"/>
      <c r="Q3" s="1688"/>
      <c r="R3" s="1688"/>
      <c r="S3" s="1688"/>
      <c r="T3" s="1688"/>
      <c r="U3" s="1688"/>
    </row>
    <row r="4" spans="1:21" ht="15" thickBot="1">
      <c r="A4" s="1658" t="s">
        <v>1943</v>
      </c>
      <c r="B4" s="1837" t="s">
        <v>2983</v>
      </c>
      <c r="C4" s="1840">
        <f ca="1">SUMIF(土地估价师,B4,估价师及机构信息!E3:E24)</f>
        <v>2002110030</v>
      </c>
      <c r="D4" s="1837" t="s">
        <v>2984</v>
      </c>
      <c r="E4" s="1840">
        <f ca="1">SUMIF(土地估价师,D4,估价师及机构信息!E3:E24)</f>
        <v>2010110070</v>
      </c>
      <c r="F4" s="1837" t="s">
        <v>952</v>
      </c>
      <c r="G4" s="1840">
        <f>SUMIF(土地估价师,F4,估价师及机构信息!E3:E24)</f>
        <v>0</v>
      </c>
      <c r="H4" s="1837" t="s">
        <v>952</v>
      </c>
      <c r="I4" s="1840">
        <f>SUMIF(土地估价师,H4,估价师及机构信息!E3:E24)</f>
        <v>0</v>
      </c>
      <c r="J4" s="1688"/>
      <c r="K4" s="2450" t="str">
        <f>IF(AND(F4="——",H4="——"),B4&amp;"、"&amp;D4,IF(AND(F4&lt;&gt;"——",H4="——"),B4&amp;"、"&amp;D4&amp;"、"&amp;F4,B4&amp;"、"&amp;D4&amp;"、"&amp;F4&amp;"、"&amp;H4))</f>
        <v>王鹏、崔锴</v>
      </c>
      <c r="L4" s="1717"/>
      <c r="M4" s="1717"/>
      <c r="N4" s="1688"/>
      <c r="O4" s="1689"/>
      <c r="P4" s="1688"/>
      <c r="Q4" s="1688"/>
      <c r="R4" s="1688"/>
      <c r="S4" s="1688"/>
      <c r="T4" s="1688"/>
      <c r="U4" s="1688"/>
    </row>
    <row r="5" spans="1:21" ht="15" thickTop="1">
      <c r="A5" s="1659" t="s">
        <v>1944</v>
      </c>
      <c r="B5" s="1783" t="str">
        <f>B6</f>
        <v>大业信托有限责任公司</v>
      </c>
      <c r="C5" s="1660"/>
      <c r="D5" s="1661"/>
      <c r="E5" s="1688"/>
      <c r="F5" s="1688"/>
      <c r="G5" s="1688"/>
      <c r="H5" s="1654"/>
      <c r="I5" s="1689"/>
      <c r="J5" s="1688"/>
      <c r="K5" s="1768"/>
      <c r="L5" s="1717"/>
      <c r="M5" s="1717"/>
      <c r="N5" s="1688"/>
      <c r="O5" s="1689"/>
      <c r="P5" s="1688"/>
      <c r="Q5" s="1688"/>
      <c r="R5" s="1688"/>
      <c r="S5" s="1688"/>
      <c r="T5" s="1688"/>
      <c r="U5" s="1688"/>
    </row>
    <row r="6" spans="1:21" ht="26.25">
      <c r="A6" s="1657" t="s">
        <v>2705</v>
      </c>
      <c r="B6" s="1783" t="s">
        <v>2985</v>
      </c>
      <c r="C6" s="1755"/>
      <c r="D6" s="1662"/>
      <c r="E6" s="1688"/>
      <c r="F6" s="1688"/>
      <c r="G6" s="1688"/>
      <c r="H6" s="1654"/>
      <c r="I6" s="1689"/>
      <c r="J6" s="1688"/>
      <c r="K6" s="3050" t="str">
        <f>IF(COUNTIF(B6,"*上海银行*"),"上海银行","")</f>
        <v/>
      </c>
      <c r="L6" s="1717"/>
      <c r="M6" s="1717"/>
      <c r="N6" s="1688"/>
      <c r="O6" s="1689"/>
      <c r="P6" s="1688"/>
      <c r="Q6" s="1688"/>
      <c r="R6" s="1688"/>
      <c r="S6" s="1688"/>
      <c r="T6" s="1688"/>
      <c r="U6" s="1688"/>
    </row>
    <row r="7" spans="1:21">
      <c r="A7" s="1663" t="s">
        <v>2706</v>
      </c>
      <c r="B7" s="1783" t="str">
        <f>C11</f>
        <v>青岛世茂世悦置业有限公司</v>
      </c>
      <c r="C7" s="1755"/>
      <c r="D7" s="1662"/>
      <c r="E7" s="1688"/>
      <c r="F7" s="1688"/>
      <c r="G7" s="1688"/>
      <c r="H7" s="1654"/>
      <c r="I7" s="1689"/>
      <c r="J7" s="1688"/>
      <c r="K7" s="1768"/>
      <c r="L7" s="1717"/>
      <c r="M7" s="1717"/>
      <c r="N7" s="1688"/>
      <c r="O7" s="1689"/>
      <c r="P7" s="1688"/>
      <c r="Q7" s="1688"/>
      <c r="R7" s="1688"/>
      <c r="S7" s="1688"/>
      <c r="T7" s="1688"/>
      <c r="U7" s="1688"/>
    </row>
    <row r="8" spans="1:21">
      <c r="A8" s="1663" t="s">
        <v>1945</v>
      </c>
      <c r="B8" s="1664" t="s">
        <v>2986</v>
      </c>
      <c r="C8" s="1665"/>
      <c r="D8" s="3518" t="s">
        <v>1947</v>
      </c>
      <c r="E8" s="1838" t="s">
        <v>2991</v>
      </c>
      <c r="F8" s="1666"/>
      <c r="G8" s="1654"/>
      <c r="H8" s="1654"/>
      <c r="I8" s="1701"/>
      <c r="J8" s="1688"/>
      <c r="K8" s="1768"/>
      <c r="L8" s="1717"/>
      <c r="M8" s="1717"/>
      <c r="N8" s="1688"/>
      <c r="O8" s="1689"/>
      <c r="P8" s="1688"/>
      <c r="Q8" s="1688"/>
      <c r="R8" s="1688"/>
      <c r="S8" s="1688"/>
      <c r="T8" s="1688"/>
      <c r="U8" s="1688"/>
    </row>
    <row r="9" spans="1:21" ht="15" thickBot="1">
      <c r="A9" s="1667" t="s">
        <v>1946</v>
      </c>
      <c r="B9" s="1668" t="s">
        <v>2991</v>
      </c>
      <c r="C9" s="1669"/>
      <c r="D9" s="3519"/>
      <c r="E9" s="1668"/>
      <c r="F9" s="1741"/>
      <c r="G9" s="1736"/>
      <c r="H9" s="1736"/>
      <c r="I9" s="1737"/>
      <c r="J9" s="1688"/>
      <c r="K9" s="1768"/>
      <c r="L9" s="1717"/>
      <c r="M9" s="1717"/>
      <c r="N9" s="1688"/>
      <c r="O9" s="1689"/>
      <c r="P9" s="1688"/>
      <c r="Q9" s="1688"/>
      <c r="R9" s="1688"/>
      <c r="S9" s="1688"/>
      <c r="T9" s="1688"/>
      <c r="U9" s="1688"/>
    </row>
    <row r="10" spans="1:21" ht="15" thickTop="1">
      <c r="A10" s="1738" t="s">
        <v>1999</v>
      </c>
      <c r="B10" s="3174" t="s">
        <v>2987</v>
      </c>
      <c r="C10" s="1670" t="s">
        <v>2989</v>
      </c>
      <c r="D10" s="1661"/>
      <c r="E10" s="1671" t="s">
        <v>1949</v>
      </c>
      <c r="F10" s="1672" t="s">
        <v>2993</v>
      </c>
      <c r="G10" s="1739"/>
      <c r="H10" s="1740"/>
      <c r="I10" s="1661"/>
      <c r="J10" s="1688"/>
      <c r="K10" s="1768"/>
      <c r="L10" s="1717"/>
      <c r="M10" s="1717"/>
      <c r="N10" s="1688"/>
      <c r="O10" s="1689"/>
      <c r="P10" s="1688"/>
      <c r="Q10" s="1688"/>
      <c r="R10" s="1688"/>
      <c r="S10" s="1688"/>
      <c r="T10" s="1688"/>
      <c r="U10" s="1688"/>
    </row>
    <row r="11" spans="1:21" ht="28.5">
      <c r="A11" s="1691" t="s">
        <v>2000</v>
      </c>
      <c r="B11" s="1692" t="s">
        <v>2988</v>
      </c>
      <c r="C11" s="1673" t="s">
        <v>2990</v>
      </c>
      <c r="D11" s="1756"/>
      <c r="E11" s="1654"/>
      <c r="F11" s="1654"/>
      <c r="G11" s="1654"/>
      <c r="H11" s="1654"/>
      <c r="I11" s="1654"/>
      <c r="J11" s="1688"/>
      <c r="K11" s="1768"/>
      <c r="L11" s="1717"/>
      <c r="M11" s="1717"/>
      <c r="N11" s="1688"/>
      <c r="O11" s="1689"/>
      <c r="P11" s="1688"/>
      <c r="Q11" s="1688"/>
      <c r="R11" s="1688"/>
      <c r="S11" s="1688"/>
      <c r="T11" s="1688"/>
      <c r="U11" s="1688"/>
    </row>
    <row r="12" spans="1:21">
      <c r="A12" s="1779" t="s">
        <v>2058</v>
      </c>
      <c r="B12" s="3515" t="s">
        <v>2992</v>
      </c>
      <c r="C12" s="3516"/>
      <c r="D12" s="3517"/>
      <c r="E12" s="1693" t="s">
        <v>2061</v>
      </c>
      <c r="F12" s="3533" t="s">
        <v>2888</v>
      </c>
      <c r="G12" s="3534"/>
      <c r="H12" s="3534"/>
      <c r="I12" s="3535"/>
      <c r="J12" s="1688"/>
      <c r="K12" s="1768"/>
      <c r="L12" s="1717"/>
      <c r="M12" s="1717"/>
      <c r="N12" s="1688"/>
      <c r="O12" s="1689"/>
      <c r="P12" s="1688"/>
      <c r="Q12" s="1688"/>
      <c r="R12" s="1688"/>
      <c r="S12" s="1688"/>
      <c r="T12" s="1688"/>
      <c r="U12" s="1688"/>
    </row>
    <row r="13" spans="1:21">
      <c r="A13" s="1681" t="s">
        <v>2059</v>
      </c>
      <c r="B13" s="3515" t="str">
        <f>B12</f>
        <v>其他普通商品住房、批发零售</v>
      </c>
      <c r="C13" s="3516"/>
      <c r="D13" s="3517"/>
      <c r="E13" s="1693" t="s">
        <v>2061</v>
      </c>
      <c r="F13" s="3533" t="s">
        <v>2889</v>
      </c>
      <c r="G13" s="3534"/>
      <c r="H13" s="3534"/>
      <c r="I13" s="3535"/>
      <c r="J13" s="1688"/>
      <c r="K13" s="1768"/>
      <c r="L13" s="1717"/>
      <c r="M13" s="1717"/>
      <c r="N13" s="1688"/>
      <c r="O13" s="1689"/>
      <c r="P13" s="1688"/>
      <c r="Q13" s="1688"/>
      <c r="R13" s="1688"/>
      <c r="S13" s="1688"/>
      <c r="T13" s="1688"/>
      <c r="U13" s="1688"/>
    </row>
    <row r="14" spans="1:21">
      <c r="A14" s="1655" t="s">
        <v>2062</v>
      </c>
      <c r="B14" s="1693"/>
      <c r="C14" s="1839"/>
      <c r="D14" s="1727" t="str">
        <f>IF(C14="不一致","是否符合证载地类范围","")</f>
        <v/>
      </c>
      <c r="E14" s="1693"/>
      <c r="F14" s="1784" t="s">
        <v>2997</v>
      </c>
      <c r="G14" s="1722"/>
      <c r="H14" s="1722"/>
      <c r="I14" s="1831"/>
      <c r="J14" s="1688"/>
      <c r="K14" s="1768"/>
      <c r="L14" s="1717"/>
      <c r="M14" s="1717"/>
      <c r="N14" s="1688"/>
      <c r="O14" s="1689"/>
      <c r="P14" s="1688"/>
      <c r="Q14" s="1688"/>
      <c r="R14" s="1688"/>
      <c r="S14" s="1688"/>
      <c r="T14" s="1688"/>
      <c r="U14" s="1688"/>
    </row>
    <row r="15" spans="1:21" hidden="1">
      <c r="A15" s="2640"/>
      <c r="B15" s="1657"/>
      <c r="C15" s="1657"/>
      <c r="D15" s="1760" t="s">
        <v>1952</v>
      </c>
      <c r="E15" s="1760" t="s">
        <v>1953</v>
      </c>
      <c r="F15" s="1760" t="s">
        <v>1954</v>
      </c>
      <c r="G15" s="1680" t="s">
        <v>1955</v>
      </c>
      <c r="H15" s="1680" t="s">
        <v>1956</v>
      </c>
      <c r="I15" s="1680" t="s">
        <v>1957</v>
      </c>
      <c r="J15" s="1688"/>
      <c r="K15" s="1768"/>
      <c r="L15" s="1717"/>
      <c r="M15" s="1717"/>
      <c r="N15" s="1688"/>
      <c r="O15" s="1689"/>
      <c r="P15" s="1688"/>
      <c r="Q15" s="1688"/>
      <c r="R15" s="1688"/>
      <c r="S15" s="1688"/>
      <c r="T15" s="1688"/>
      <c r="U15" s="1688"/>
    </row>
    <row r="16" spans="1:21" ht="28.5">
      <c r="A16" s="1674" t="s">
        <v>1950</v>
      </c>
      <c r="B16" s="1675" t="s">
        <v>2996</v>
      </c>
      <c r="C16" s="1693" t="s">
        <v>1951</v>
      </c>
      <c r="D16" s="2641" t="s">
        <v>1952</v>
      </c>
      <c r="E16" s="1716" t="s">
        <v>2994</v>
      </c>
      <c r="F16" s="1716"/>
      <c r="G16" s="1716" t="s">
        <v>2995</v>
      </c>
      <c r="H16" s="1716"/>
      <c r="I16" s="1680" t="s">
        <v>1957</v>
      </c>
      <c r="J16" s="1688"/>
      <c r="K16" s="2451" t="str">
        <f>IF(D17="","",D16&amp;TEXT(D17,"yyyy年m月d日;;"))</f>
        <v>住宅2088年8月14日</v>
      </c>
      <c r="L16" s="1693" t="str">
        <f>IF(OR(K16="",M16=""),"","、")</f>
        <v>、</v>
      </c>
      <c r="M16" s="2451" t="str">
        <f>IF(E17="","",E16&amp;TEXT(E17,"yyyy年m月d日;;"))</f>
        <v>商业2058年8月14日</v>
      </c>
      <c r="N16" s="1693" t="str">
        <f>IF(OR(M16="",O16=""),"","、")</f>
        <v/>
      </c>
      <c r="O16" s="2451" t="str">
        <f>IF(F17="","",F16&amp;TEXT(F17,"yyyy年m月d日;;"))</f>
        <v/>
      </c>
      <c r="P16" s="1693" t="str">
        <f>IF(OR(O16="",Q16=""),"","、")</f>
        <v/>
      </c>
      <c r="Q16" s="2451" t="str">
        <f>IF(G17="","",G16&amp;TEXT(G17,"yyyy年m月d日;;"))</f>
        <v>车库2068年8月14日</v>
      </c>
      <c r="R16" s="1693" t="str">
        <f>IF(OR(Q16="",S16=""),"","、")</f>
        <v/>
      </c>
      <c r="S16" s="2451" t="str">
        <f>IF(H17="","",H16&amp;TEXT(H17,"yyyy年m月d日;;"))</f>
        <v/>
      </c>
      <c r="T16" s="1693" t="str">
        <f>IF(OR(S16="",U16=""),"","、")</f>
        <v/>
      </c>
      <c r="U16" s="2451" t="str">
        <f>IF(I17="","",I16&amp;TEXT(I17,"yyyy年m月d日;;"))</f>
        <v/>
      </c>
    </row>
    <row r="17" spans="1:21">
      <c r="A17" s="1757"/>
      <c r="B17" s="1676"/>
      <c r="C17" s="1677" t="s">
        <v>1958</v>
      </c>
      <c r="D17" s="1694">
        <v>68894</v>
      </c>
      <c r="E17" s="1694">
        <v>57936</v>
      </c>
      <c r="F17" s="1694"/>
      <c r="G17" s="1694">
        <v>61589</v>
      </c>
      <c r="H17" s="1694"/>
      <c r="I17" s="1694"/>
      <c r="J17" s="1688"/>
      <c r="K17" s="2450" t="str">
        <f>CONCATENATE(K16,L16,M16,N16,O16,P16,Q16,R16,S16,T16,,U16)</f>
        <v>住宅2088年8月14日、商业2058年8月14日车库2068年8月14日</v>
      </c>
      <c r="L17" s="1717"/>
      <c r="M17" s="1717"/>
      <c r="N17" s="1688"/>
      <c r="O17" s="1689"/>
      <c r="P17" s="1688"/>
      <c r="Q17" s="1688"/>
      <c r="R17" s="1688"/>
      <c r="S17" s="1688"/>
      <c r="T17" s="1688"/>
      <c r="U17" s="1688"/>
    </row>
    <row r="18" spans="1:21">
      <c r="A18" s="1757"/>
      <c r="B18" s="1676"/>
      <c r="C18" s="1677" t="s">
        <v>1959</v>
      </c>
      <c r="D18" s="1678">
        <v>70</v>
      </c>
      <c r="E18" s="1678">
        <v>40</v>
      </c>
      <c r="F18" s="1678"/>
      <c r="G18" s="1678">
        <v>50</v>
      </c>
      <c r="H18" s="1678"/>
      <c r="I18" s="1678"/>
      <c r="J18" s="1688"/>
      <c r="K18" s="1768"/>
      <c r="L18" s="1717"/>
      <c r="M18" s="1717"/>
      <c r="N18" s="1688"/>
      <c r="O18" s="1689"/>
      <c r="P18" s="1688"/>
      <c r="Q18" s="1688"/>
      <c r="R18" s="1688"/>
      <c r="S18" s="1688"/>
      <c r="T18" s="1688"/>
      <c r="U18" s="1688"/>
    </row>
    <row r="19" spans="1:21">
      <c r="A19" s="1757"/>
      <c r="B19" s="1676"/>
      <c r="C19" s="1654" t="s">
        <v>1960</v>
      </c>
      <c r="D19" s="1752">
        <f>IF(B16="出让",IF(D17="","",ROUNDDOWN(MIN((D17-$D$3)/365,D18),2)),D18)</f>
        <v>69.989999999999995</v>
      </c>
      <c r="E19" s="1679">
        <f>IF(B16="出让",IF(E17="","",ROUNDDOWN(MIN((E17-$D$3)/365,E18),2)),E18)</f>
        <v>39.97</v>
      </c>
      <c r="F19" s="1679" t="str">
        <f>IF(B16="出让",IF(F17="","",ROUNDDOWN(MIN((F17-$D$3)/365,F18),2)),F18)</f>
        <v/>
      </c>
      <c r="G19" s="1679">
        <f>IF(B16="出让",IF(G17="","",ROUNDDOWN(MIN((G17-$D$3)/365,G18),2)),G18)</f>
        <v>49.98</v>
      </c>
      <c r="H19" s="1679" t="str">
        <f>IF(B16="出让",IF(H17="","",ROUNDDOWN(MIN((H17-$D$3)/365,H18),2)),H18)</f>
        <v/>
      </c>
      <c r="I19" s="1679" t="str">
        <f>IF(B16="出让",IF(I17="","",ROUNDDOWN(MIN((I17-$D$3)/365,I18),2)),I18)</f>
        <v/>
      </c>
      <c r="J19" s="1688"/>
      <c r="K19" s="1768"/>
      <c r="L19" s="1717"/>
      <c r="M19" s="1717"/>
      <c r="N19" s="1688"/>
      <c r="O19" s="1689"/>
      <c r="P19" s="1688"/>
      <c r="Q19" s="1688"/>
      <c r="R19" s="1688"/>
      <c r="S19" s="1688"/>
      <c r="T19" s="1688"/>
      <c r="U19" s="1688"/>
    </row>
    <row r="20" spans="1:21">
      <c r="A20" s="1780"/>
      <c r="B20" s="1781"/>
      <c r="C20" s="1782" t="s">
        <v>2060</v>
      </c>
      <c r="D20" s="3530"/>
      <c r="E20" s="3531"/>
      <c r="F20" s="3531"/>
      <c r="G20" s="3531"/>
      <c r="H20" s="3531"/>
      <c r="I20" s="3532"/>
      <c r="J20" s="1688"/>
      <c r="K20" s="1768"/>
      <c r="L20" s="1717"/>
      <c r="M20" s="1717"/>
      <c r="N20" s="1688"/>
      <c r="O20" s="1689"/>
      <c r="P20" s="1688"/>
      <c r="Q20" s="1688"/>
      <c r="R20" s="1688"/>
      <c r="S20" s="1688"/>
      <c r="T20" s="1688"/>
      <c r="U20" s="1688"/>
    </row>
    <row r="21" spans="1:21">
      <c r="A21" s="1757" t="s">
        <v>1961</v>
      </c>
      <c r="B21" s="1758" t="s">
        <v>1962</v>
      </c>
      <c r="C21" s="1753">
        <f>'数据-汇总表'!E3</f>
        <v>180792</v>
      </c>
      <c r="D21" s="1754" t="s">
        <v>1963</v>
      </c>
      <c r="E21" s="3520" t="str">
        <f>F13</f>
        <v>《国有建设用地使用权出让合同》[]及附件、《北京市规划委员会关于同意XX项目的规划设计方案的规划意见复函》[]以及《建设工程规划许可证》[]</v>
      </c>
      <c r="F21" s="3521"/>
      <c r="G21" s="3521"/>
      <c r="H21" s="3521"/>
      <c r="I21" s="3522"/>
      <c r="J21" s="1688"/>
      <c r="K21" s="1768"/>
      <c r="L21" s="1717"/>
      <c r="M21" s="1717"/>
      <c r="N21" s="1688"/>
      <c r="O21" s="1689"/>
      <c r="P21" s="1688"/>
      <c r="Q21" s="1688"/>
      <c r="R21" s="1688"/>
      <c r="S21" s="1688"/>
      <c r="T21" s="1688"/>
      <c r="U21" s="1688"/>
    </row>
    <row r="22" spans="1:21">
      <c r="A22" s="3143" t="s">
        <v>952</v>
      </c>
      <c r="B22" s="1655" t="s">
        <v>1964</v>
      </c>
      <c r="C22" s="1680">
        <f>'数据-汇总表'!D3</f>
        <v>72846.2</v>
      </c>
      <c r="D22" s="1681" t="s">
        <v>1963</v>
      </c>
      <c r="E22" s="3520" t="str">
        <f>E21</f>
        <v>《国有建设用地使用权出让合同》[]及附件、《北京市规划委员会关于同意XX项目的规划设计方案的规划意见复函》[]以及《建设工程规划许可证》[]</v>
      </c>
      <c r="F22" s="3521"/>
      <c r="G22" s="3521"/>
      <c r="H22" s="3521"/>
      <c r="I22" s="3522"/>
      <c r="J22" s="1688"/>
      <c r="K22" s="1768"/>
      <c r="L22" s="1717"/>
      <c r="M22" s="1717"/>
      <c r="N22" s="1688"/>
      <c r="O22" s="1689"/>
      <c r="P22" s="1688"/>
      <c r="Q22" s="1688"/>
      <c r="R22" s="1688"/>
      <c r="S22" s="1688"/>
      <c r="T22" s="1688"/>
      <c r="U22" s="1688"/>
    </row>
    <row r="23" spans="1:21" ht="43.5" thickBot="1">
      <c r="A23" s="1759" t="s">
        <v>1965</v>
      </c>
      <c r="B23" s="1695" t="s">
        <v>1966</v>
      </c>
      <c r="C23" s="1696" t="s">
        <v>2998</v>
      </c>
      <c r="D23" s="1697" t="s">
        <v>1967</v>
      </c>
      <c r="E23" s="1698"/>
      <c r="F23" s="1699" t="str">
        <f>IF(AND(C23="是",E23="否"),"是否提供他项权证或相关说明","")</f>
        <v/>
      </c>
      <c r="G23" s="1700"/>
      <c r="H23" s="1688"/>
      <c r="I23" s="1701"/>
      <c r="J23" s="1688"/>
      <c r="K23" s="1768"/>
      <c r="L23" s="1717"/>
      <c r="M23" s="1717"/>
      <c r="N23" s="1688"/>
      <c r="O23" s="1689"/>
      <c r="P23" s="1688"/>
      <c r="Q23" s="1688"/>
      <c r="R23" s="1688"/>
      <c r="S23" s="1688"/>
      <c r="T23" s="1688"/>
      <c r="U23" s="1688"/>
    </row>
    <row r="24" spans="1:21">
      <c r="A24" s="1744" t="s">
        <v>1968</v>
      </c>
      <c r="B24" s="3523" t="s">
        <v>1969</v>
      </c>
      <c r="C24" s="3524"/>
      <c r="D24" s="3525" t="s">
        <v>1970</v>
      </c>
      <c r="E24" s="3526"/>
      <c r="F24" s="1702" t="s">
        <v>1971</v>
      </c>
      <c r="G24" s="1688"/>
      <c r="H24" s="1688"/>
      <c r="I24" s="1701"/>
      <c r="J24" s="1688"/>
      <c r="K24" s="3511" t="s">
        <v>1972</v>
      </c>
      <c r="L24" s="2452"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17"/>
      <c r="N24" s="1688"/>
      <c r="O24" s="1689"/>
      <c r="P24" s="1688"/>
      <c r="Q24" s="1688"/>
      <c r="R24" s="1688"/>
      <c r="S24" s="1688"/>
      <c r="T24" s="1688"/>
      <c r="U24" s="1688"/>
    </row>
    <row r="25" spans="1:21" ht="28.5">
      <c r="A25" s="1745"/>
      <c r="B25" s="1742" t="s">
        <v>2325</v>
      </c>
      <c r="C25" s="1703" t="s">
        <v>2326</v>
      </c>
      <c r="D25" s="1704"/>
      <c r="E25" s="1705"/>
      <c r="F25" s="1706"/>
      <c r="G25" s="1688"/>
      <c r="H25" s="1688"/>
      <c r="I25" s="1701"/>
      <c r="J25" s="1688"/>
      <c r="K25" s="3511"/>
      <c r="L25" s="245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7"/>
      <c r="N25" s="1688"/>
      <c r="O25" s="1689"/>
      <c r="P25" s="1688"/>
      <c r="Q25" s="1688"/>
      <c r="R25" s="1688"/>
      <c r="S25" s="1688"/>
      <c r="T25" s="1688"/>
      <c r="U25" s="1688"/>
    </row>
    <row r="26" spans="1:21" ht="15" thickBot="1">
      <c r="A26" s="1746"/>
      <c r="B26" s="1743"/>
      <c r="C26" s="1703"/>
      <c r="D26" s="1654"/>
      <c r="E26" s="1654"/>
      <c r="F26" s="1682"/>
      <c r="G26" s="1688"/>
      <c r="H26" s="1688"/>
      <c r="I26" s="1701"/>
      <c r="J26" s="1688"/>
      <c r="K26" s="3511"/>
      <c r="L26" s="245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7"/>
      <c r="N26" s="1688"/>
      <c r="O26" s="1689"/>
      <c r="P26" s="1688"/>
      <c r="Q26" s="1688"/>
      <c r="R26" s="1688"/>
      <c r="S26" s="1688"/>
      <c r="T26" s="1688"/>
      <c r="U26" s="1688"/>
    </row>
    <row r="27" spans="1:21">
      <c r="A27" s="1749" t="s">
        <v>1973</v>
      </c>
      <c r="B27" s="1747" t="s">
        <v>1974</v>
      </c>
      <c r="C27" s="1707"/>
      <c r="D27" s="2646" t="s">
        <v>1974</v>
      </c>
      <c r="E27" s="1708"/>
      <c r="F27" s="1682"/>
      <c r="G27" s="1688"/>
      <c r="H27" s="1688"/>
      <c r="I27" s="1701"/>
      <c r="J27" s="1688"/>
      <c r="K27" s="1768"/>
      <c r="L27" s="1717"/>
      <c r="M27" s="1717"/>
      <c r="N27" s="1688"/>
      <c r="O27" s="1689"/>
      <c r="P27" s="1688"/>
      <c r="Q27" s="1688"/>
      <c r="R27" s="1688"/>
      <c r="S27" s="1688"/>
      <c r="T27" s="1688"/>
      <c r="U27" s="1688"/>
    </row>
    <row r="28" spans="1:21">
      <c r="A28" s="1750"/>
      <c r="B28" s="1747" t="s">
        <v>1975</v>
      </c>
      <c r="C28" s="1709"/>
      <c r="D28" s="2647" t="s">
        <v>1975</v>
      </c>
      <c r="E28" s="1710"/>
      <c r="F28" s="1682"/>
      <c r="G28" s="1688"/>
      <c r="H28" s="1688"/>
      <c r="I28" s="1701"/>
      <c r="J28" s="1688"/>
      <c r="K28" s="1768"/>
      <c r="L28" s="1717"/>
      <c r="M28" s="1717"/>
      <c r="N28" s="1688"/>
      <c r="O28" s="1689"/>
      <c r="P28" s="1688"/>
      <c r="Q28" s="1688"/>
      <c r="R28" s="1688"/>
      <c r="S28" s="1688"/>
      <c r="T28" s="1688"/>
      <c r="U28" s="1688"/>
    </row>
    <row r="29" spans="1:21">
      <c r="A29" s="1750"/>
      <c r="B29" s="1747" t="s">
        <v>1976</v>
      </c>
      <c r="C29" s="1709"/>
      <c r="D29" s="2647" t="s">
        <v>1976</v>
      </c>
      <c r="E29" s="1710"/>
      <c r="F29" s="1682"/>
      <c r="G29" s="1688"/>
      <c r="H29" s="1688"/>
      <c r="I29" s="1701"/>
      <c r="J29" s="1688"/>
      <c r="K29" s="1768"/>
      <c r="L29" s="1717"/>
      <c r="M29" s="1717"/>
      <c r="N29" s="1688"/>
      <c r="O29" s="1689"/>
      <c r="P29" s="1688"/>
      <c r="Q29" s="1688"/>
      <c r="R29" s="1688"/>
      <c r="S29" s="1688"/>
      <c r="T29" s="1688"/>
      <c r="U29" s="1688"/>
    </row>
    <row r="30" spans="1:21" ht="15" thickBot="1">
      <c r="A30" s="1751"/>
      <c r="B30" s="1748" t="s">
        <v>1977</v>
      </c>
      <c r="C30" s="1711"/>
      <c r="D30" s="2648" t="s">
        <v>1977</v>
      </c>
      <c r="E30" s="1712"/>
      <c r="F30" s="1683"/>
      <c r="G30" s="1736"/>
      <c r="H30" s="1736"/>
      <c r="I30" s="1737"/>
      <c r="J30" s="1688"/>
      <c r="K30" s="1768"/>
      <c r="L30" s="1717"/>
      <c r="M30" s="1717"/>
      <c r="N30" s="1688"/>
      <c r="O30" s="1689"/>
      <c r="P30" s="1688"/>
      <c r="Q30" s="1688"/>
      <c r="R30" s="1688"/>
      <c r="S30" s="1688"/>
      <c r="T30" s="1688"/>
      <c r="U30" s="1688"/>
    </row>
    <row r="31" spans="1:21" ht="15" thickTop="1">
      <c r="A31" s="3538" t="s">
        <v>2001</v>
      </c>
      <c r="B31" s="1758" t="s">
        <v>2002</v>
      </c>
      <c r="C31" s="3536" t="s">
        <v>2999</v>
      </c>
      <c r="D31" s="3537"/>
      <c r="E31" s="1688"/>
      <c r="F31" s="1688"/>
      <c r="G31" s="1688"/>
      <c r="H31" s="1688"/>
      <c r="I31" s="1701"/>
      <c r="J31" s="1688"/>
      <c r="K31" s="2453"/>
      <c r="L31" s="1688"/>
      <c r="M31" s="1688"/>
      <c r="N31" s="1688"/>
      <c r="O31" s="1688"/>
      <c r="P31" s="1688"/>
      <c r="Q31" s="1688"/>
      <c r="R31" s="1688"/>
      <c r="S31" s="1688"/>
      <c r="T31" s="1688"/>
      <c r="U31" s="1688"/>
    </row>
    <row r="32" spans="1:21">
      <c r="A32" s="3538"/>
      <c r="B32" s="1655" t="s">
        <v>2003</v>
      </c>
      <c r="C32" s="1713"/>
      <c r="D32" s="1714"/>
      <c r="E32" s="1688"/>
      <c r="F32" s="1688"/>
      <c r="G32" s="1688"/>
      <c r="H32" s="1688"/>
      <c r="I32" s="1701"/>
      <c r="J32" s="1688"/>
      <c r="K32" s="2453"/>
      <c r="L32" s="1688"/>
      <c r="M32" s="1688"/>
      <c r="N32" s="1688"/>
      <c r="O32" s="1688"/>
      <c r="P32" s="1688"/>
      <c r="Q32" s="1688"/>
      <c r="R32" s="1688"/>
      <c r="S32" s="1688"/>
      <c r="T32" s="1688"/>
      <c r="U32" s="1688"/>
    </row>
    <row r="33" spans="1:21">
      <c r="A33" s="3538"/>
      <c r="B33" s="1655" t="s">
        <v>2004</v>
      </c>
      <c r="C33" s="1715"/>
      <c r="D33" s="1832"/>
      <c r="E33" s="1688"/>
      <c r="F33" s="1688"/>
      <c r="G33" s="1688"/>
      <c r="H33" s="1688"/>
      <c r="I33" s="1701"/>
      <c r="J33" s="1688"/>
      <c r="K33" s="2453"/>
      <c r="L33" s="1688"/>
      <c r="M33" s="1688"/>
      <c r="N33" s="1688"/>
      <c r="O33" s="1688"/>
      <c r="P33" s="1688"/>
      <c r="Q33" s="1688"/>
      <c r="R33" s="1688"/>
      <c r="S33" s="1688"/>
      <c r="T33" s="1688"/>
      <c r="U33" s="1688"/>
    </row>
    <row r="34" spans="1:21">
      <c r="A34" s="3539"/>
      <c r="B34" s="1655" t="s">
        <v>2005</v>
      </c>
      <c r="C34" s="3540"/>
      <c r="D34" s="3541"/>
      <c r="E34" s="1688"/>
      <c r="F34" s="1688"/>
      <c r="G34" s="1688"/>
      <c r="H34" s="1688"/>
      <c r="I34" s="1701"/>
      <c r="J34" s="1688"/>
      <c r="K34" s="2453"/>
      <c r="L34" s="1688"/>
      <c r="M34" s="1688"/>
      <c r="N34" s="1688"/>
      <c r="O34" s="1688"/>
      <c r="P34" s="1688"/>
      <c r="Q34" s="1688"/>
      <c r="R34" s="1688"/>
      <c r="S34" s="1688"/>
      <c r="T34" s="1688"/>
      <c r="U34" s="1688"/>
    </row>
    <row r="35" spans="1:21">
      <c r="A35" s="3542" t="s">
        <v>847</v>
      </c>
      <c r="B35" s="1716" t="s">
        <v>3000</v>
      </c>
      <c r="C35" s="1770" t="str">
        <f>IF(B35="场地平整","——","具体情况：")</f>
        <v>——</v>
      </c>
      <c r="D35" s="3544"/>
      <c r="E35" s="3545"/>
      <c r="F35" s="3545"/>
      <c r="G35" s="3545"/>
      <c r="H35" s="3545"/>
      <c r="I35" s="3546"/>
      <c r="J35" s="1688"/>
      <c r="K35" s="1769"/>
      <c r="L35" s="1717"/>
      <c r="M35" s="1717"/>
      <c r="N35" s="1688"/>
      <c r="O35" s="1689"/>
      <c r="P35" s="1688"/>
      <c r="Q35" s="1688"/>
      <c r="R35" s="1688"/>
      <c r="S35" s="1688"/>
      <c r="T35" s="1688"/>
      <c r="U35" s="1688"/>
    </row>
    <row r="36" spans="1:21">
      <c r="A36" s="3538"/>
      <c r="B36" s="3547" t="s">
        <v>2054</v>
      </c>
      <c r="C36" s="3548"/>
      <c r="D36" s="1786" t="s">
        <v>3001</v>
      </c>
      <c r="E36" s="3549"/>
      <c r="F36" s="3549"/>
      <c r="G36" s="1681" t="str">
        <f>IF(B35="场地未平整","估价结果处理","")</f>
        <v/>
      </c>
      <c r="H36" s="3550"/>
      <c r="I36" s="3550"/>
      <c r="J36" s="1688"/>
      <c r="K36" s="1769"/>
      <c r="L36" s="1717"/>
      <c r="M36" s="1717"/>
      <c r="N36" s="1688"/>
      <c r="O36" s="1689"/>
      <c r="P36" s="1688"/>
      <c r="Q36" s="1688"/>
      <c r="R36" s="1688"/>
      <c r="S36" s="1688"/>
      <c r="T36" s="1688"/>
      <c r="U36" s="1688"/>
    </row>
    <row r="37" spans="1:21" ht="28.5">
      <c r="A37" s="3538"/>
      <c r="B37" s="3527" t="s">
        <v>848</v>
      </c>
      <c r="C37" s="1718" t="s">
        <v>849</v>
      </c>
      <c r="D37" s="1719"/>
      <c r="E37" s="1720"/>
      <c r="F37" s="1688"/>
      <c r="G37" s="1688"/>
      <c r="H37" s="1688"/>
      <c r="I37" s="1701"/>
      <c r="J37" s="1688"/>
      <c r="K37" s="1769"/>
      <c r="L37" s="1688"/>
      <c r="M37" s="1688"/>
      <c r="N37" s="1688"/>
      <c r="O37" s="1688"/>
      <c r="P37" s="1688"/>
      <c r="Q37" s="1688"/>
      <c r="R37" s="1688"/>
      <c r="S37" s="1688"/>
      <c r="T37" s="1688"/>
      <c r="U37" s="1688"/>
    </row>
    <row r="38" spans="1:21">
      <c r="A38" s="3538"/>
      <c r="B38" s="3528"/>
      <c r="C38" s="1663" t="s">
        <v>850</v>
      </c>
      <c r="D38" s="1785">
        <f>ROUNDDOWN(MIN(('数据-取费表'!$B$2-D37)/365,D34),1)</f>
        <v>118.7</v>
      </c>
      <c r="E38" s="1721" t="s">
        <v>851</v>
      </c>
      <c r="F38" s="1688"/>
      <c r="G38" s="1688"/>
      <c r="H38" s="1688"/>
      <c r="I38" s="1701"/>
      <c r="J38" s="1688"/>
      <c r="K38" s="1769"/>
      <c r="L38" s="1688"/>
      <c r="M38" s="1688"/>
      <c r="N38" s="1688"/>
      <c r="O38" s="1688"/>
      <c r="P38" s="1688"/>
      <c r="Q38" s="1688"/>
      <c r="R38" s="1688"/>
      <c r="S38" s="1688"/>
      <c r="T38" s="1688"/>
      <c r="U38" s="1688"/>
    </row>
    <row r="39" spans="1:21">
      <c r="A39" s="3539"/>
      <c r="B39" s="3529"/>
      <c r="C39" s="1691" t="str">
        <f>IF(D38&lt;1,"不存在土地闲置",IF(B35="宗地内已开工建设","已开工，不存在土地闲置","估价对象已涉嫌土地闲置"))</f>
        <v>估价对象已涉嫌土地闲置</v>
      </c>
      <c r="D39" s="1722"/>
      <c r="E39" s="1723"/>
      <c r="F39" s="1688"/>
      <c r="G39" s="1688"/>
      <c r="H39" s="1688"/>
      <c r="I39" s="1701"/>
      <c r="J39" s="1688"/>
      <c r="K39" s="1768"/>
      <c r="L39" s="1717"/>
      <c r="M39" s="1717"/>
      <c r="N39" s="1688"/>
      <c r="O39" s="1689"/>
      <c r="P39" s="1688"/>
      <c r="Q39" s="1688"/>
      <c r="R39" s="1688"/>
      <c r="S39" s="1688"/>
      <c r="T39" s="1688"/>
      <c r="U39" s="1688"/>
    </row>
    <row r="40" spans="1:21">
      <c r="A40" s="1681" t="s">
        <v>1978</v>
      </c>
      <c r="B40" s="1684" t="s">
        <v>3002</v>
      </c>
      <c r="C40" s="1684" t="s">
        <v>3003</v>
      </c>
      <c r="D40" s="1684" t="s">
        <v>3004</v>
      </c>
      <c r="E40" s="1684" t="s">
        <v>3005</v>
      </c>
      <c r="F40" s="1684" t="s">
        <v>3006</v>
      </c>
      <c r="G40" s="1684" t="s">
        <v>3007</v>
      </c>
      <c r="H40" s="1684" t="s">
        <v>3008</v>
      </c>
      <c r="I40" s="1701"/>
      <c r="J40" s="1688"/>
      <c r="K40" s="1724">
        <f>COUNTIF(B40:H40,"——")</f>
        <v>0</v>
      </c>
      <c r="L40" s="1693" t="s">
        <v>1979</v>
      </c>
      <c r="M40" s="1690" t="s">
        <v>1980</v>
      </c>
      <c r="N40" s="1690" t="s">
        <v>1981</v>
      </c>
      <c r="O40" s="1690" t="s">
        <v>1982</v>
      </c>
      <c r="P40" s="1690" t="s">
        <v>1983</v>
      </c>
      <c r="Q40" s="1690" t="s">
        <v>1984</v>
      </c>
      <c r="R40" s="1690" t="s">
        <v>1985</v>
      </c>
      <c r="S40" s="3510" t="s">
        <v>1986</v>
      </c>
      <c r="T40" s="1725" t="str">
        <f>NUMBERSTRING(7-K40,1)&amp;"通"</f>
        <v>七通</v>
      </c>
      <c r="U40" s="1688"/>
    </row>
    <row r="41" spans="1:21" ht="28.5">
      <c r="A41" s="1657"/>
      <c r="B41" s="3543" t="s">
        <v>1722</v>
      </c>
      <c r="C41" s="3543"/>
      <c r="D41" s="3543"/>
      <c r="E41" s="3543"/>
      <c r="F41" s="1726" t="str">
        <f>C10</f>
        <v>山东省青岛市</v>
      </c>
      <c r="G41" s="1688"/>
      <c r="H41" s="1688"/>
      <c r="I41" s="1701"/>
      <c r="J41" s="1688"/>
      <c r="K41" s="1693"/>
      <c r="L41" s="1690" t="str">
        <f>B40</f>
        <v>通路</v>
      </c>
      <c r="M41" s="1727" t="str">
        <f>B40&amp;"、"&amp;C40</f>
        <v>通路、通电</v>
      </c>
      <c r="N41" s="1728" t="str">
        <f>B40&amp;"、"&amp;C40&amp;"、"&amp;D40</f>
        <v>通路、通电、通讯</v>
      </c>
      <c r="O41" s="1728" t="str">
        <f>B40&amp;"、"&amp;C40&amp;"、"&amp;D40&amp;"、"&amp;E40</f>
        <v>通路、通电、通讯、通上水</v>
      </c>
      <c r="P41" s="1728" t="str">
        <f>B40&amp;"、"&amp;C40&amp;"、"&amp;D40&amp;"、"&amp;E40&amp;"、"&amp;F40</f>
        <v>通路、通电、通讯、通上水、通下水</v>
      </c>
      <c r="Q41" s="1728" t="str">
        <f>B40&amp;"、"&amp;C40&amp;"、"&amp;D40&amp;"、"&amp;E40&amp;"、"&amp;F40&amp;"、"&amp;G40</f>
        <v>通路、通电、通讯、通上水、通下水、通热</v>
      </c>
      <c r="R41" s="1728" t="str">
        <f>B40&amp;"、"&amp;C40&amp;"、"&amp;D40&amp;"、"&amp;E40&amp;"、"&amp;F40&amp;"、"&amp;G40&amp;"、"&amp;H40</f>
        <v>通路、通电、通讯、通上水、通下水、通热、燃气</v>
      </c>
      <c r="S41" s="3510"/>
      <c r="T41" s="1727" t="str">
        <f>IF(T40="一通",L41,IF(T40="二通",M41,IF(T40="三通",N41,IF(T40="四通",O41,IF(T40="五通",P41,IF(T40="六通",Q41,R41))))))</f>
        <v>通路、通电、通讯、通上水、通下水、通热、燃气</v>
      </c>
      <c r="U41" s="1688"/>
    </row>
    <row r="42" spans="1:21">
      <c r="A42" s="1729"/>
      <c r="B42" s="1760" t="s">
        <v>1898</v>
      </c>
      <c r="C42" s="1760" t="s">
        <v>1899</v>
      </c>
      <c r="D42" s="1760" t="s">
        <v>1900</v>
      </c>
      <c r="E42" s="1693" t="s">
        <v>1901</v>
      </c>
      <c r="F42" s="1730"/>
      <c r="G42" s="1688"/>
      <c r="H42" s="1688"/>
      <c r="I42" s="1701"/>
      <c r="J42" s="1688"/>
      <c r="K42" s="1768"/>
      <c r="L42" s="1717"/>
      <c r="M42" s="1717"/>
      <c r="N42" s="1688"/>
      <c r="O42" s="1689"/>
      <c r="P42" s="1688"/>
      <c r="Q42" s="1688"/>
      <c r="R42" s="1688"/>
      <c r="S42" s="1688"/>
      <c r="T42" s="1688"/>
      <c r="U42" s="1688"/>
    </row>
    <row r="43" spans="1:21">
      <c r="A43" s="1731" t="s">
        <v>1707</v>
      </c>
      <c r="B43" s="1732"/>
      <c r="C43" s="1732"/>
      <c r="D43" s="1732"/>
      <c r="E43" s="1732"/>
      <c r="F43" s="1733"/>
      <c r="G43" s="1688"/>
      <c r="H43" s="1688"/>
      <c r="I43" s="1701"/>
      <c r="J43" s="1688"/>
      <c r="K43" s="1768"/>
      <c r="L43" s="1717"/>
      <c r="M43" s="1717"/>
      <c r="N43" s="1688"/>
      <c r="O43" s="1689"/>
      <c r="P43" s="1688"/>
      <c r="Q43" s="1688"/>
      <c r="R43" s="1688"/>
      <c r="S43" s="1688"/>
      <c r="T43" s="1688"/>
      <c r="U43" s="1688"/>
    </row>
    <row r="44" spans="1:21">
      <c r="A44" s="1731" t="s">
        <v>1708</v>
      </c>
      <c r="B44" s="1732"/>
      <c r="C44" s="1732"/>
      <c r="D44" s="1732"/>
      <c r="E44" s="1786"/>
      <c r="F44" s="1733"/>
      <c r="G44" s="1688"/>
      <c r="H44" s="1688"/>
      <c r="I44" s="1701"/>
      <c r="J44" s="1688"/>
      <c r="K44" s="1768"/>
      <c r="L44" s="1717"/>
      <c r="M44" s="1717"/>
      <c r="N44" s="1688"/>
      <c r="O44" s="1689"/>
      <c r="P44" s="1688"/>
      <c r="Q44" s="1688"/>
      <c r="R44" s="1688"/>
      <c r="S44" s="1688"/>
      <c r="T44" s="1688"/>
      <c r="U44" s="1688"/>
    </row>
    <row r="45" spans="1:21" s="3067" customFormat="1" ht="21" thickBot="1">
      <c r="A45" s="3068" t="s">
        <v>2890</v>
      </c>
      <c r="B45" s="3063"/>
      <c r="C45" s="3063"/>
      <c r="D45" s="3063"/>
      <c r="E45" s="3063"/>
      <c r="F45" s="3063"/>
      <c r="G45" s="3063"/>
      <c r="H45" s="3063"/>
      <c r="I45" s="3064"/>
      <c r="J45" s="3063"/>
      <c r="K45" s="3065"/>
      <c r="L45" s="3066"/>
      <c r="M45" s="3066"/>
      <c r="N45" s="3063"/>
      <c r="O45" s="3064"/>
      <c r="P45" s="3063"/>
      <c r="Q45" s="3063"/>
      <c r="R45" s="3063"/>
      <c r="S45" s="3063"/>
      <c r="T45" s="3063"/>
      <c r="U45" s="3063"/>
    </row>
    <row r="46" spans="1:21">
      <c r="A46" s="1688"/>
      <c r="B46" s="1688"/>
      <c r="C46" s="1688"/>
      <c r="D46" s="1688"/>
      <c r="E46" s="1688"/>
      <c r="F46" s="1688"/>
      <c r="G46" s="1688"/>
      <c r="H46" s="1688"/>
      <c r="I46" s="1701"/>
      <c r="J46" s="1688"/>
      <c r="K46" s="1768"/>
      <c r="L46" s="1717"/>
      <c r="M46" s="1717"/>
      <c r="N46" s="1688"/>
      <c r="O46" s="1689"/>
      <c r="P46" s="1688"/>
      <c r="Q46" s="1688"/>
      <c r="R46" s="1688"/>
      <c r="S46" s="1688"/>
      <c r="T46" s="1688"/>
      <c r="U46" s="1688"/>
    </row>
    <row r="47" spans="1:21">
      <c r="A47" s="1734" t="s">
        <v>2006</v>
      </c>
      <c r="B47" s="1735"/>
      <c r="C47" s="1723"/>
      <c r="D47" s="1688"/>
      <c r="E47" s="1688"/>
      <c r="F47" s="1688"/>
      <c r="G47" s="1688"/>
      <c r="H47" s="1688"/>
      <c r="I47" s="1689"/>
      <c r="J47" s="1688"/>
      <c r="K47" s="1768"/>
      <c r="L47" s="1717"/>
      <c r="M47" s="1717"/>
      <c r="N47" s="1688"/>
      <c r="O47" s="1689"/>
      <c r="P47" s="1688"/>
      <c r="Q47" s="1688"/>
      <c r="R47" s="1688"/>
      <c r="S47" s="1688"/>
      <c r="T47" s="1688"/>
      <c r="U47" s="1688"/>
    </row>
    <row r="48" spans="1:21" ht="28.5">
      <c r="A48" s="1693" t="s">
        <v>2007</v>
      </c>
      <c r="B48" s="1680" t="s">
        <v>2008</v>
      </c>
      <c r="C48" s="1680" t="s">
        <v>2009</v>
      </c>
      <c r="D48" s="1680" t="s">
        <v>2010</v>
      </c>
      <c r="E48" s="1680" t="s">
        <v>2011</v>
      </c>
      <c r="F48" s="1680" t="s">
        <v>2012</v>
      </c>
      <c r="G48" s="1680" t="s">
        <v>2013</v>
      </c>
      <c r="H48" s="1680" t="s">
        <v>2014</v>
      </c>
      <c r="I48" s="1680" t="s">
        <v>2015</v>
      </c>
      <c r="J48" s="1766" t="s">
        <v>2016</v>
      </c>
      <c r="K48" s="1760" t="s">
        <v>2017</v>
      </c>
      <c r="L48" s="1760" t="s">
        <v>2018</v>
      </c>
      <c r="M48" s="1760" t="s">
        <v>2019</v>
      </c>
      <c r="N48" s="1680" t="s">
        <v>2020</v>
      </c>
      <c r="O48" s="1680" t="s">
        <v>2021</v>
      </c>
      <c r="P48" s="1680" t="s">
        <v>2022</v>
      </c>
      <c r="Q48" s="1693" t="s">
        <v>2023</v>
      </c>
      <c r="R48" s="1693" t="s">
        <v>2024</v>
      </c>
      <c r="S48" s="1688"/>
      <c r="T48" s="1688"/>
      <c r="U48" s="1688"/>
    </row>
    <row r="49" spans="1:21">
      <c r="A49" s="1690"/>
      <c r="B49" s="1724"/>
      <c r="C49" s="1724"/>
      <c r="D49" s="1724"/>
      <c r="E49" s="1724"/>
      <c r="F49" s="1724"/>
      <c r="G49" s="1724"/>
      <c r="H49" s="1724"/>
      <c r="I49" s="1724"/>
      <c r="J49" s="1833"/>
      <c r="K49" s="1834"/>
      <c r="L49" s="1834"/>
      <c r="M49" s="1724"/>
      <c r="N49" s="1724"/>
      <c r="O49" s="1724"/>
      <c r="P49" s="1724"/>
      <c r="Q49" s="1724"/>
      <c r="R49" s="1724"/>
      <c r="S49" s="1688"/>
      <c r="T49" s="1688"/>
      <c r="U49" s="1688"/>
    </row>
    <row r="50" spans="1:21">
      <c r="A50" s="1690"/>
      <c r="B50" s="1690"/>
      <c r="C50" s="1724"/>
      <c r="D50" s="1724"/>
      <c r="E50" s="1724"/>
      <c r="F50" s="1724"/>
      <c r="G50" s="1724"/>
      <c r="H50" s="1724"/>
      <c r="I50" s="1724"/>
      <c r="J50" s="1833"/>
      <c r="K50" s="1834"/>
      <c r="L50" s="1834"/>
      <c r="M50" s="1724"/>
      <c r="N50" s="1724"/>
      <c r="O50" s="1724"/>
      <c r="P50" s="1724"/>
      <c r="Q50" s="1724"/>
      <c r="R50" s="1724"/>
      <c r="S50" s="1688"/>
      <c r="T50" s="1688"/>
      <c r="U50" s="1688"/>
    </row>
    <row r="51" spans="1:21">
      <c r="A51" s="1690"/>
      <c r="B51" s="1690"/>
      <c r="C51" s="1724"/>
      <c r="D51" s="1724"/>
      <c r="E51" s="1724"/>
      <c r="F51" s="1724"/>
      <c r="G51" s="1724"/>
      <c r="H51" s="1724"/>
      <c r="I51" s="1724"/>
      <c r="J51" s="1833"/>
      <c r="K51" s="1834"/>
      <c r="L51" s="1834"/>
      <c r="M51" s="1724"/>
      <c r="N51" s="1724"/>
      <c r="O51" s="1724"/>
      <c r="P51" s="1724"/>
      <c r="Q51" s="1724"/>
      <c r="R51" s="1724"/>
      <c r="S51" s="1688"/>
      <c r="T51" s="1688"/>
      <c r="U51" s="1688"/>
    </row>
    <row r="52" spans="1:21">
      <c r="A52" s="1690"/>
      <c r="B52" s="1690"/>
      <c r="C52" s="1724"/>
      <c r="D52" s="1724"/>
      <c r="E52" s="1724"/>
      <c r="F52" s="1724"/>
      <c r="G52" s="1724"/>
      <c r="H52" s="1724"/>
      <c r="I52" s="1724"/>
      <c r="J52" s="1833"/>
      <c r="K52" s="1834"/>
      <c r="L52" s="1834"/>
      <c r="M52" s="1724"/>
      <c r="N52" s="1724"/>
      <c r="O52" s="1724"/>
      <c r="P52" s="1724"/>
      <c r="Q52" s="1724"/>
      <c r="R52" s="1724"/>
      <c r="S52" s="1688"/>
      <c r="T52" s="1688"/>
      <c r="U52" s="1688"/>
    </row>
    <row r="53" spans="1:21">
      <c r="A53" s="1690"/>
      <c r="B53" s="1690"/>
      <c r="C53" s="1724"/>
      <c r="D53" s="1724"/>
      <c r="E53" s="1724"/>
      <c r="F53" s="1724"/>
      <c r="G53" s="1724"/>
      <c r="H53" s="1724"/>
      <c r="I53" s="1724"/>
      <c r="J53" s="1833"/>
      <c r="K53" s="1834"/>
      <c r="L53" s="1834"/>
      <c r="M53" s="1724"/>
      <c r="N53" s="1724"/>
      <c r="O53" s="1724"/>
      <c r="P53" s="1724"/>
      <c r="Q53" s="1724"/>
      <c r="R53" s="1724"/>
      <c r="S53" s="1688"/>
      <c r="T53" s="1688"/>
      <c r="U53" s="1688"/>
    </row>
    <row r="54" spans="1:21">
      <c r="A54" s="1690"/>
      <c r="B54" s="1690"/>
      <c r="C54" s="1690"/>
      <c r="D54" s="1690"/>
      <c r="E54" s="1690"/>
      <c r="F54" s="1724"/>
      <c r="G54" s="1690"/>
      <c r="H54" s="1690"/>
      <c r="I54" s="1690"/>
      <c r="J54" s="1835"/>
      <c r="K54" s="1834"/>
      <c r="L54" s="1834"/>
      <c r="M54" s="1834"/>
      <c r="N54" s="1690"/>
      <c r="O54" s="1690"/>
      <c r="P54" s="1690"/>
      <c r="Q54" s="1690"/>
      <c r="R54" s="1690"/>
      <c r="S54" s="1688"/>
      <c r="T54" s="1688"/>
      <c r="U54" s="1688"/>
    </row>
    <row r="55" spans="1:21">
      <c r="A55" s="1690"/>
      <c r="B55" s="1690"/>
      <c r="C55" s="1690"/>
      <c r="D55" s="1690"/>
      <c r="E55" s="1690"/>
      <c r="F55" s="1724"/>
      <c r="G55" s="1690"/>
      <c r="H55" s="1690"/>
      <c r="I55" s="1690"/>
      <c r="J55" s="1835"/>
      <c r="K55" s="1834"/>
      <c r="L55" s="1834"/>
      <c r="M55" s="1834"/>
      <c r="N55" s="1690"/>
      <c r="O55" s="1690"/>
      <c r="P55" s="1690"/>
      <c r="Q55" s="1690"/>
      <c r="R55" s="1690"/>
      <c r="S55" s="1688"/>
      <c r="T55" s="1688"/>
      <c r="U55" s="1688"/>
    </row>
    <row r="56" spans="1:21">
      <c r="A56" s="1690"/>
      <c r="B56" s="1690"/>
      <c r="C56" s="1690"/>
      <c r="D56" s="1690"/>
      <c r="E56" s="1690"/>
      <c r="F56" s="1724"/>
      <c r="G56" s="1690"/>
      <c r="H56" s="1690"/>
      <c r="I56" s="1690"/>
      <c r="J56" s="1835"/>
      <c r="K56" s="1834"/>
      <c r="L56" s="1834"/>
      <c r="M56" s="1834"/>
      <c r="N56" s="1690"/>
      <c r="O56" s="1690"/>
      <c r="P56" s="1690"/>
      <c r="Q56" s="1690"/>
      <c r="R56" s="1690"/>
      <c r="S56" s="1688"/>
      <c r="T56" s="1688"/>
      <c r="U56" s="1688"/>
    </row>
    <row r="57" spans="1:21">
      <c r="A57" s="1690"/>
      <c r="B57" s="1690"/>
      <c r="C57" s="1690"/>
      <c r="D57" s="1690"/>
      <c r="E57" s="1690"/>
      <c r="F57" s="1724"/>
      <c r="G57" s="1690"/>
      <c r="H57" s="1690"/>
      <c r="I57" s="1690"/>
      <c r="J57" s="1835"/>
      <c r="K57" s="1834"/>
      <c r="L57" s="1834"/>
      <c r="M57" s="1834"/>
      <c r="N57" s="1690"/>
      <c r="O57" s="1690"/>
      <c r="P57" s="1690"/>
      <c r="Q57" s="1690"/>
      <c r="R57" s="1690"/>
      <c r="S57" s="1688"/>
      <c r="T57" s="1688"/>
      <c r="U57" s="1688"/>
    </row>
    <row r="58" spans="1:21">
      <c r="A58" s="1690"/>
      <c r="B58" s="1690"/>
      <c r="C58" s="1690"/>
      <c r="D58" s="1690"/>
      <c r="E58" s="1690"/>
      <c r="F58" s="1724"/>
      <c r="G58" s="1690"/>
      <c r="H58" s="1690"/>
      <c r="I58" s="1690"/>
      <c r="J58" s="1835"/>
      <c r="K58" s="1834"/>
      <c r="L58" s="1834"/>
      <c r="M58" s="1834"/>
      <c r="N58" s="1690"/>
      <c r="O58" s="1690"/>
      <c r="P58" s="1690"/>
      <c r="Q58" s="1690"/>
      <c r="R58" s="1690"/>
      <c r="S58" s="1688"/>
      <c r="T58" s="1688"/>
      <c r="U58" s="168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AE19" sqref="AE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55" t="s">
        <v>2333</v>
      </c>
      <c r="BA2" s="2356" t="s">
        <v>2332</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v>72846.2</v>
      </c>
      <c r="B3" s="22">
        <f>IF(C3="否",G5-AT5,G5)</f>
        <v>180792</v>
      </c>
      <c r="C3" s="23" t="s">
        <v>2998</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57"/>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6" t="s">
        <v>168</v>
      </c>
      <c r="B5" s="986"/>
      <c r="C5" s="986"/>
      <c r="D5" s="993"/>
      <c r="E5" s="27" t="s">
        <v>1</v>
      </c>
      <c r="F5" s="27">
        <f>SUM(F13:F572)</f>
        <v>0</v>
      </c>
      <c r="G5" s="27">
        <f>SUM(G13:G572)</f>
        <v>180792</v>
      </c>
      <c r="H5" s="27">
        <f t="shared" ref="H5:AT5" si="0">SUM(H13:H641)</f>
        <v>157165</v>
      </c>
      <c r="I5" s="27">
        <f t="shared" si="0"/>
        <v>34304</v>
      </c>
      <c r="J5" s="27">
        <f t="shared" si="0"/>
        <v>0</v>
      </c>
      <c r="K5" s="27">
        <f t="shared" si="0"/>
        <v>40890</v>
      </c>
      <c r="L5" s="27">
        <f t="shared" si="0"/>
        <v>0</v>
      </c>
      <c r="M5" s="27">
        <f t="shared" si="0"/>
        <v>3738</v>
      </c>
      <c r="N5" s="27">
        <f t="shared" si="0"/>
        <v>0</v>
      </c>
      <c r="O5" s="27">
        <f t="shared" si="0"/>
        <v>50129</v>
      </c>
      <c r="P5" s="27">
        <f t="shared" si="0"/>
        <v>0</v>
      </c>
      <c r="Q5" s="27">
        <f t="shared" si="0"/>
        <v>28104</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23627</v>
      </c>
      <c r="AD5" s="27">
        <f t="shared" si="0"/>
        <v>2062</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21565</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180792</v>
      </c>
      <c r="BA5" s="29">
        <f t="shared" si="1"/>
        <v>157165</v>
      </c>
      <c r="BB5" s="29">
        <f t="shared" si="1"/>
        <v>34304</v>
      </c>
      <c r="BC5" s="29">
        <f t="shared" si="1"/>
        <v>40890</v>
      </c>
      <c r="BD5" s="29">
        <f t="shared" si="1"/>
        <v>3738</v>
      </c>
      <c r="BE5" s="29">
        <f t="shared" si="1"/>
        <v>50129</v>
      </c>
      <c r="BF5" s="29">
        <f t="shared" si="1"/>
        <v>28104</v>
      </c>
      <c r="BG5" s="29">
        <f t="shared" si="1"/>
        <v>0</v>
      </c>
      <c r="BH5" s="29">
        <f t="shared" si="1"/>
        <v>0</v>
      </c>
      <c r="BI5" s="29">
        <f t="shared" si="1"/>
        <v>0</v>
      </c>
      <c r="BJ5" s="29">
        <f t="shared" si="1"/>
        <v>0</v>
      </c>
      <c r="BK5" s="29">
        <f t="shared" si="1"/>
        <v>0</v>
      </c>
      <c r="BL5" s="29">
        <f t="shared" si="1"/>
        <v>23627</v>
      </c>
      <c r="BM5" s="29">
        <f t="shared" si="1"/>
        <v>2062</v>
      </c>
      <c r="BN5" s="29">
        <f t="shared" si="1"/>
        <v>0</v>
      </c>
      <c r="BO5" s="29">
        <f t="shared" si="1"/>
        <v>0</v>
      </c>
      <c r="BP5" s="29">
        <f t="shared" si="1"/>
        <v>0</v>
      </c>
      <c r="BQ5" s="29">
        <f t="shared" si="1"/>
        <v>0</v>
      </c>
      <c r="BR5" s="29">
        <f t="shared" si="1"/>
        <v>21565</v>
      </c>
      <c r="BS5" s="29">
        <f t="shared" si="1"/>
        <v>0</v>
      </c>
      <c r="BT5" s="30">
        <f t="shared" si="1"/>
        <v>0</v>
      </c>
    </row>
    <row r="6" spans="1:72" s="37" customFormat="1" ht="12.75">
      <c r="A6" s="26" t="s">
        <v>169</v>
      </c>
      <c r="B6" s="31"/>
      <c r="C6" s="31"/>
      <c r="D6" s="32"/>
      <c r="E6" s="27">
        <f>H6+AC6+AT6</f>
        <v>72846.210000000006</v>
      </c>
      <c r="F6" s="27" t="s">
        <v>1</v>
      </c>
      <c r="G6" s="27" t="s">
        <v>2</v>
      </c>
      <c r="H6" s="33">
        <f>SUMIF(I$12:AB$12,"总值",I6:AB6)</f>
        <v>63326.22</v>
      </c>
      <c r="I6" s="27">
        <f t="shared" ref="I6:AB6" si="2">ROUND($A$3*I5/$B$3,2)</f>
        <v>13822.05</v>
      </c>
      <c r="J6" s="27">
        <f t="shared" si="2"/>
        <v>0</v>
      </c>
      <c r="K6" s="27">
        <f t="shared" si="2"/>
        <v>16475.740000000002</v>
      </c>
      <c r="L6" s="27">
        <f t="shared" si="2"/>
        <v>0</v>
      </c>
      <c r="M6" s="27">
        <f t="shared" si="2"/>
        <v>1506.15</v>
      </c>
      <c r="N6" s="27">
        <f t="shared" si="2"/>
        <v>0</v>
      </c>
      <c r="O6" s="27">
        <f t="shared" si="2"/>
        <v>20198.39</v>
      </c>
      <c r="P6" s="27">
        <f t="shared" si="2"/>
        <v>0</v>
      </c>
      <c r="Q6" s="27">
        <f t="shared" si="2"/>
        <v>11323.89</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9519.99</v>
      </c>
      <c r="AD6" s="27">
        <f t="shared" ref="AD6:AS6" si="3">ROUND($A$3*AD5/$B$3,2)</f>
        <v>830.84</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8689.15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72846.2</v>
      </c>
      <c r="AZ6" s="27" t="s">
        <v>3</v>
      </c>
      <c r="BA6" s="27">
        <f>ROUND($AY$6*BA5/$AZ$5,2)</f>
        <v>63326.21</v>
      </c>
      <c r="BB6" s="27">
        <f>ROUND($AY$6*BB5/$AZ$5,2)</f>
        <v>13822.05</v>
      </c>
      <c r="BC6" s="27">
        <f t="shared" ref="BC6:BH6" si="4">ROUND($AY$6*BC5/$AZ$5,2)</f>
        <v>16475.740000000002</v>
      </c>
      <c r="BD6" s="27">
        <f t="shared" si="4"/>
        <v>1506.15</v>
      </c>
      <c r="BE6" s="27">
        <f t="shared" si="4"/>
        <v>20198.39</v>
      </c>
      <c r="BF6" s="27">
        <f t="shared" si="4"/>
        <v>11323.89</v>
      </c>
      <c r="BG6" s="27">
        <f t="shared" si="4"/>
        <v>0</v>
      </c>
      <c r="BH6" s="27">
        <f t="shared" si="4"/>
        <v>0</v>
      </c>
      <c r="BI6" s="27">
        <f t="shared" ref="BI6:BT6" si="5">ROUND($AY$6*BI5/$AZ$5,2)</f>
        <v>0</v>
      </c>
      <c r="BJ6" s="27">
        <f t="shared" si="5"/>
        <v>0</v>
      </c>
      <c r="BK6" s="27">
        <f t="shared" si="5"/>
        <v>0</v>
      </c>
      <c r="BL6" s="27">
        <f t="shared" si="5"/>
        <v>9519.99</v>
      </c>
      <c r="BM6" s="27">
        <f t="shared" si="5"/>
        <v>830.84</v>
      </c>
      <c r="BN6" s="27">
        <f t="shared" si="5"/>
        <v>0</v>
      </c>
      <c r="BO6" s="27">
        <f t="shared" si="5"/>
        <v>0</v>
      </c>
      <c r="BP6" s="27">
        <f t="shared" si="5"/>
        <v>0</v>
      </c>
      <c r="BQ6" s="27">
        <f t="shared" si="5"/>
        <v>0</v>
      </c>
      <c r="BR6" s="27">
        <f t="shared" si="5"/>
        <v>8689.15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92"/>
      <c r="AT8" s="2323"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3014" t="s">
        <v>3165</v>
      </c>
      <c r="J9" s="51"/>
      <c r="K9" s="3014" t="s">
        <v>3165</v>
      </c>
      <c r="L9" s="51"/>
      <c r="M9" s="3014" t="s">
        <v>3165</v>
      </c>
      <c r="N9" s="51"/>
      <c r="O9" s="59" t="s">
        <v>3165</v>
      </c>
      <c r="P9" s="51"/>
      <c r="Q9" s="59" t="s">
        <v>3168</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4" t="s">
        <v>191</v>
      </c>
      <c r="AQ9" s="1186"/>
      <c r="AR9" s="1184" t="s">
        <v>192</v>
      </c>
      <c r="AS9" s="2324"/>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3014" t="s">
        <v>923</v>
      </c>
      <c r="J10" s="51"/>
      <c r="K10" s="3016" t="s">
        <v>923</v>
      </c>
      <c r="L10" s="51"/>
      <c r="M10" s="3016" t="s">
        <v>2994</v>
      </c>
      <c r="N10" s="51"/>
      <c r="O10" s="66" t="s">
        <v>923</v>
      </c>
      <c r="P10" s="51"/>
      <c r="Q10" s="66" t="s">
        <v>2995</v>
      </c>
      <c r="R10" s="51"/>
      <c r="S10" s="66"/>
      <c r="T10" s="51"/>
      <c r="U10" s="66"/>
      <c r="V10" s="51"/>
      <c r="W10" s="66"/>
      <c r="X10" s="51"/>
      <c r="Y10" s="66"/>
      <c r="Z10" s="51"/>
      <c r="AA10" s="66"/>
      <c r="AB10" s="51"/>
      <c r="AC10" s="55"/>
      <c r="AD10" s="2309" t="s">
        <v>2317</v>
      </c>
      <c r="AE10" s="2331"/>
      <c r="AF10" s="2309" t="s">
        <v>2317</v>
      </c>
      <c r="AG10" s="2331"/>
      <c r="AH10" s="2309" t="s">
        <v>2318</v>
      </c>
      <c r="AI10" s="2331"/>
      <c r="AJ10" s="26" t="s">
        <v>2331</v>
      </c>
      <c r="AK10" s="2328"/>
      <c r="AL10" s="2309" t="s">
        <v>2319</v>
      </c>
      <c r="AM10" s="2310"/>
      <c r="AN10" s="26" t="s">
        <v>198</v>
      </c>
      <c r="AO10" s="61"/>
      <c r="AP10" s="1184" t="s">
        <v>199</v>
      </c>
      <c r="AQ10" s="1186"/>
      <c r="AR10" s="1184" t="s">
        <v>199</v>
      </c>
      <c r="AS10" s="1186"/>
      <c r="AT10" s="45"/>
      <c r="AU10" s="45"/>
      <c r="AV10" s="55"/>
      <c r="AW10" s="1000"/>
      <c r="AX10" s="55"/>
      <c r="AY10" s="62"/>
      <c r="AZ10" s="62"/>
      <c r="BA10" s="67" t="s">
        <v>193</v>
      </c>
      <c r="BB10" s="68" t="str">
        <f>I9</f>
        <v>地上</v>
      </c>
      <c r="BC10" s="69" t="str">
        <f>K9</f>
        <v>地上</v>
      </c>
      <c r="BD10" s="69" t="str">
        <f>M9</f>
        <v>地上</v>
      </c>
      <c r="BE10" s="69" t="str">
        <f>O9</f>
        <v>地上</v>
      </c>
      <c r="BF10" s="69" t="str">
        <f>Q9</f>
        <v>地下</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3015" t="s">
        <v>3166</v>
      </c>
      <c r="J11" s="71"/>
      <c r="K11" s="3015" t="s">
        <v>3167</v>
      </c>
      <c r="L11" s="71"/>
      <c r="M11" s="70"/>
      <c r="N11" s="71"/>
      <c r="O11" s="70" t="s">
        <v>22</v>
      </c>
      <c r="P11" s="71"/>
      <c r="Q11" s="70"/>
      <c r="R11" s="71"/>
      <c r="S11" s="70"/>
      <c r="T11" s="71"/>
      <c r="U11" s="70"/>
      <c r="V11" s="71"/>
      <c r="W11" s="70"/>
      <c r="X11" s="71"/>
      <c r="Y11" s="70"/>
      <c r="Z11" s="71"/>
      <c r="AA11" s="70"/>
      <c r="AB11" s="71"/>
      <c r="AC11" s="55"/>
      <c r="AD11" s="2329" t="s">
        <v>2330</v>
      </c>
      <c r="AE11" s="999"/>
      <c r="AF11" s="2329" t="s">
        <v>2330</v>
      </c>
      <c r="AG11" s="999"/>
      <c r="AH11" s="2329" t="s">
        <v>2329</v>
      </c>
      <c r="AI11" s="2330"/>
      <c r="AJ11" s="2329" t="s">
        <v>2329</v>
      </c>
      <c r="AK11" s="2328"/>
      <c r="AL11" s="997"/>
      <c r="AM11" s="999"/>
      <c r="AN11" s="997"/>
      <c r="AO11" s="999"/>
      <c r="AP11" s="1185"/>
      <c r="AQ11" s="1187"/>
      <c r="AR11" s="1185"/>
      <c r="AS11" s="1187"/>
      <c r="AT11" s="1000"/>
      <c r="AU11" s="45"/>
      <c r="AV11" s="55"/>
      <c r="AW11" s="1000"/>
      <c r="AX11" s="55"/>
      <c r="AY11" s="62"/>
      <c r="AZ11" s="62"/>
      <c r="BA11" s="62"/>
      <c r="BB11" s="50" t="str">
        <f>I10</f>
        <v>住宅</v>
      </c>
      <c r="BC11" s="50" t="str">
        <f>K10</f>
        <v>住宅</v>
      </c>
      <c r="BD11" s="50" t="str">
        <f>M10</f>
        <v>商业</v>
      </c>
      <c r="BE11" s="50" t="str">
        <f>O10</f>
        <v>住宅</v>
      </c>
      <c r="BF11" s="50" t="str">
        <f>Q10</f>
        <v>车库</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6"/>
      <c r="AU12" s="72"/>
      <c r="AV12" s="77"/>
      <c r="AW12" s="42"/>
      <c r="AX12" s="77"/>
      <c r="AY12" s="78"/>
      <c r="AZ12" s="62"/>
      <c r="BA12" s="67"/>
      <c r="BB12" s="53" t="str">
        <f>I11</f>
        <v>普通住宅</v>
      </c>
      <c r="BC12" s="79" t="str">
        <f>K11</f>
        <v>联排</v>
      </c>
      <c r="BD12" s="79">
        <f>M11</f>
        <v>0</v>
      </c>
      <c r="BE12" s="50" t="str">
        <f>O11</f>
        <v>限价商品房</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3009"/>
      <c r="B13" s="3009"/>
      <c r="C13" s="3009"/>
      <c r="D13" s="3010" t="s">
        <v>1679</v>
      </c>
      <c r="E13" s="27">
        <f t="shared" ref="E13:E20" si="6">IF($C$3="是",ROUND($A$3*G13/$B$3,2),ROUND($A$3*(G13-AT13)/$B$3,2))</f>
        <v>72846.2</v>
      </c>
      <c r="F13" s="81"/>
      <c r="G13" s="82">
        <f t="shared" ref="G13:G20" si="7">H13+AC13+AT13</f>
        <v>180792</v>
      </c>
      <c r="H13" s="33">
        <f t="shared" ref="H13:H20" si="8">SUMIF(I$12:AB$12,"总值",I13:AB13)</f>
        <v>157165</v>
      </c>
      <c r="I13" s="3013">
        <f>经济指标!D6</f>
        <v>34304</v>
      </c>
      <c r="J13" s="3013"/>
      <c r="K13" s="3013">
        <f>经济指标!D8</f>
        <v>40890</v>
      </c>
      <c r="L13" s="3013"/>
      <c r="M13" s="3013">
        <f>经济指标!D9</f>
        <v>3738</v>
      </c>
      <c r="N13" s="83"/>
      <c r="O13" s="83">
        <f>经济指标!D7</f>
        <v>50129</v>
      </c>
      <c r="P13" s="83"/>
      <c r="Q13" s="83">
        <f>经济指标!D20</f>
        <v>28104</v>
      </c>
      <c r="R13" s="83"/>
      <c r="S13" s="83"/>
      <c r="T13" s="83"/>
      <c r="U13" s="83"/>
      <c r="V13" s="83"/>
      <c r="W13" s="83"/>
      <c r="X13" s="83"/>
      <c r="Y13" s="83"/>
      <c r="Z13" s="83"/>
      <c r="AA13" s="83"/>
      <c r="AB13" s="83"/>
      <c r="AC13" s="27">
        <f t="shared" ref="AC13:AC20" si="9">SUMIF(AD$12:AS$12,"总值",AD13:AS13)</f>
        <v>23627</v>
      </c>
      <c r="AD13" s="3017">
        <f>经济指标!D10</f>
        <v>2062</v>
      </c>
      <c r="AE13" s="3017"/>
      <c r="AF13" s="3017"/>
      <c r="AG13" s="3017"/>
      <c r="AH13" s="3017"/>
      <c r="AI13" s="3017"/>
      <c r="AJ13" s="3017"/>
      <c r="AK13" s="3017"/>
      <c r="AL13" s="3017"/>
      <c r="AM13" s="3017"/>
      <c r="AN13" s="3017">
        <f>经济指标!D19</f>
        <v>21565</v>
      </c>
      <c r="AO13" s="3017"/>
      <c r="AP13" s="3017"/>
      <c r="AQ13" s="3017"/>
      <c r="AR13" s="3017"/>
      <c r="AS13" s="3017"/>
      <c r="AT13" s="3018"/>
      <c r="AU13" s="3019"/>
      <c r="AV13" s="17">
        <f t="shared" ref="AV13:AX20" si="10">A13</f>
        <v>0</v>
      </c>
      <c r="AW13" s="17">
        <f t="shared" si="10"/>
        <v>0</v>
      </c>
      <c r="AX13" s="17">
        <f t="shared" si="10"/>
        <v>0</v>
      </c>
      <c r="AY13" s="993">
        <f t="shared" ref="AY13:AY20" si="11">ROUND($AY$6*AZ13/$AZ$5,2)</f>
        <v>72846.2</v>
      </c>
      <c r="AZ13" s="27">
        <f t="shared" ref="AZ13:AZ20" si="12">BA13+BL13</f>
        <v>180792</v>
      </c>
      <c r="BA13" s="27">
        <f t="shared" ref="BA13:BA20" si="13">SUM(BB13:BK13)</f>
        <v>157165</v>
      </c>
      <c r="BB13" s="27">
        <f t="shared" ref="BB13:BB20" si="14">IF($D13="是",I13-J13,0)</f>
        <v>34304</v>
      </c>
      <c r="BC13" s="27">
        <f t="shared" ref="BC13:BC20" si="15">IF($D13="是",K13-L13,0)</f>
        <v>40890</v>
      </c>
      <c r="BD13" s="27">
        <f t="shared" ref="BD13:BD20" si="16">IF($D13="是",M13-N13,0)</f>
        <v>3738</v>
      </c>
      <c r="BE13" s="27">
        <f t="shared" ref="BE13:BE20" si="17">IF($D13="是",O13-P13,0)</f>
        <v>50129</v>
      </c>
      <c r="BF13" s="27">
        <f t="shared" ref="BF13:BF20" si="18">IF($D13="是",Q13-R13,0)</f>
        <v>28104</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23627</v>
      </c>
      <c r="BM13" s="27">
        <f t="shared" ref="BM13:BM20" si="25">IF($D13="是",AD13-AE13,0)</f>
        <v>2062</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21565</v>
      </c>
      <c r="BS13" s="27">
        <f t="shared" ref="BS13:BS20" si="31">IF($D13="是",AP13-AQ13,0)</f>
        <v>0</v>
      </c>
      <c r="BT13" s="36">
        <f t="shared" ref="BT13:BT20" si="32">IF($D13="是",AR13-AS13,0)</f>
        <v>0</v>
      </c>
    </row>
    <row r="14" spans="1:72" s="18" customFormat="1" ht="12.75">
      <c r="A14" s="3009"/>
      <c r="B14" s="3009"/>
      <c r="C14" s="3011"/>
      <c r="D14" s="3010"/>
      <c r="E14" s="27">
        <f t="shared" si="6"/>
        <v>0</v>
      </c>
      <c r="F14" s="81"/>
      <c r="G14" s="82">
        <f t="shared" si="7"/>
        <v>0</v>
      </c>
      <c r="H14" s="33">
        <f t="shared" si="8"/>
        <v>0</v>
      </c>
      <c r="I14" s="3013"/>
      <c r="J14" s="3013"/>
      <c r="K14" s="3013"/>
      <c r="L14" s="3013"/>
      <c r="M14" s="3013"/>
      <c r="N14" s="83"/>
      <c r="O14" s="83"/>
      <c r="P14" s="83"/>
      <c r="Q14" s="83"/>
      <c r="R14" s="83"/>
      <c r="S14" s="83"/>
      <c r="T14" s="83"/>
      <c r="U14" s="83"/>
      <c r="V14" s="83"/>
      <c r="W14" s="83"/>
      <c r="X14" s="83"/>
      <c r="Y14" s="83"/>
      <c r="Z14" s="83"/>
      <c r="AA14" s="83"/>
      <c r="AB14" s="83"/>
      <c r="AC14" s="27">
        <f t="shared" si="9"/>
        <v>0</v>
      </c>
      <c r="AD14" s="3017"/>
      <c r="AE14" s="3017"/>
      <c r="AF14" s="3017"/>
      <c r="AG14" s="3017"/>
      <c r="AH14" s="3017"/>
      <c r="AI14" s="3017"/>
      <c r="AJ14" s="3017"/>
      <c r="AK14" s="3017"/>
      <c r="AL14" s="3017"/>
      <c r="AM14" s="3017"/>
      <c r="AN14" s="3017"/>
      <c r="AO14" s="3017"/>
      <c r="AP14" s="3017"/>
      <c r="AQ14" s="3017"/>
      <c r="AR14" s="3017"/>
      <c r="AS14" s="3017"/>
      <c r="AT14" s="3018"/>
      <c r="AU14" s="3019"/>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09"/>
      <c r="B15" s="3009"/>
      <c r="C15" s="3011"/>
      <c r="D15" s="3010"/>
      <c r="E15" s="27">
        <f t="shared" si="6"/>
        <v>0</v>
      </c>
      <c r="F15" s="81"/>
      <c r="G15" s="82">
        <f t="shared" si="7"/>
        <v>0</v>
      </c>
      <c r="H15" s="33">
        <f t="shared" si="8"/>
        <v>0</v>
      </c>
      <c r="I15" s="3013"/>
      <c r="J15" s="3013"/>
      <c r="K15" s="3013"/>
      <c r="L15" s="3013"/>
      <c r="M15" s="3013"/>
      <c r="N15" s="83"/>
      <c r="O15" s="83"/>
      <c r="P15" s="83"/>
      <c r="Q15" s="83"/>
      <c r="R15" s="83"/>
      <c r="S15" s="83"/>
      <c r="T15" s="83"/>
      <c r="U15" s="83"/>
      <c r="V15" s="83"/>
      <c r="W15" s="83"/>
      <c r="X15" s="83"/>
      <c r="Y15" s="83"/>
      <c r="Z15" s="83"/>
      <c r="AA15" s="83"/>
      <c r="AB15" s="83"/>
      <c r="AC15" s="27">
        <f t="shared" si="9"/>
        <v>0</v>
      </c>
      <c r="AD15" s="3017"/>
      <c r="AE15" s="3017"/>
      <c r="AF15" s="3017"/>
      <c r="AG15" s="3017"/>
      <c r="AH15" s="3017"/>
      <c r="AI15" s="3017"/>
      <c r="AJ15" s="3017"/>
      <c r="AK15" s="3017"/>
      <c r="AL15" s="3017"/>
      <c r="AM15" s="3017"/>
      <c r="AN15" s="3017"/>
      <c r="AO15" s="3017"/>
      <c r="AP15" s="3017"/>
      <c r="AQ15" s="3017"/>
      <c r="AR15" s="3017"/>
      <c r="AS15" s="3017"/>
      <c r="AT15" s="3018"/>
      <c r="AU15" s="3019"/>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09"/>
      <c r="B16" s="3009"/>
      <c r="C16" s="3011"/>
      <c r="D16" s="3010"/>
      <c r="E16" s="27">
        <f t="shared" si="6"/>
        <v>0</v>
      </c>
      <c r="F16" s="81"/>
      <c r="G16" s="82">
        <f t="shared" si="7"/>
        <v>0</v>
      </c>
      <c r="H16" s="33">
        <f t="shared" si="8"/>
        <v>0</v>
      </c>
      <c r="I16" s="3013"/>
      <c r="J16" s="3013"/>
      <c r="K16" s="3013"/>
      <c r="L16" s="3013"/>
      <c r="M16" s="3013"/>
      <c r="N16" s="83"/>
      <c r="O16" s="83"/>
      <c r="P16" s="83"/>
      <c r="Q16" s="83"/>
      <c r="R16" s="83"/>
      <c r="S16" s="83"/>
      <c r="T16" s="83"/>
      <c r="U16" s="83"/>
      <c r="V16" s="83"/>
      <c r="W16" s="83"/>
      <c r="X16" s="83"/>
      <c r="Y16" s="83"/>
      <c r="Z16" s="83"/>
      <c r="AA16" s="83"/>
      <c r="AB16" s="83"/>
      <c r="AC16" s="27">
        <f t="shared" si="9"/>
        <v>0</v>
      </c>
      <c r="AD16" s="3017"/>
      <c r="AE16" s="3017"/>
      <c r="AF16" s="3017"/>
      <c r="AG16" s="3017"/>
      <c r="AH16" s="3017"/>
      <c r="AI16" s="3017"/>
      <c r="AJ16" s="3017"/>
      <c r="AK16" s="3017"/>
      <c r="AL16" s="3017"/>
      <c r="AM16" s="3017"/>
      <c r="AN16" s="3017"/>
      <c r="AO16" s="3017"/>
      <c r="AP16" s="3017"/>
      <c r="AQ16" s="3017"/>
      <c r="AR16" s="3017"/>
      <c r="AS16" s="3017"/>
      <c r="AT16" s="3018"/>
      <c r="AU16" s="3019"/>
      <c r="AV16" s="17">
        <f t="shared" si="10"/>
        <v>0</v>
      </c>
      <c r="AW16" s="17">
        <f t="shared" si="10"/>
        <v>0</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09"/>
      <c r="B17" s="3009"/>
      <c r="C17" s="3011"/>
      <c r="D17" s="3010"/>
      <c r="E17" s="27">
        <f t="shared" si="6"/>
        <v>0</v>
      </c>
      <c r="F17" s="81"/>
      <c r="G17" s="82">
        <f t="shared" si="7"/>
        <v>0</v>
      </c>
      <c r="H17" s="33">
        <f t="shared" si="8"/>
        <v>0</v>
      </c>
      <c r="I17" s="3013"/>
      <c r="J17" s="3013"/>
      <c r="K17" s="3013"/>
      <c r="L17" s="3013"/>
      <c r="M17" s="3013"/>
      <c r="N17" s="83"/>
      <c r="O17" s="83"/>
      <c r="P17" s="83"/>
      <c r="Q17" s="83"/>
      <c r="R17" s="83"/>
      <c r="S17" s="83"/>
      <c r="T17" s="83"/>
      <c r="U17" s="83"/>
      <c r="V17" s="83"/>
      <c r="W17" s="83"/>
      <c r="X17" s="83"/>
      <c r="Y17" s="83"/>
      <c r="Z17" s="83"/>
      <c r="AA17" s="83"/>
      <c r="AB17" s="83"/>
      <c r="AC17" s="27">
        <f t="shared" si="9"/>
        <v>0</v>
      </c>
      <c r="AD17" s="3017"/>
      <c r="AE17" s="3017"/>
      <c r="AF17" s="3017"/>
      <c r="AG17" s="3017"/>
      <c r="AH17" s="3017"/>
      <c r="AI17" s="3017"/>
      <c r="AJ17" s="3017"/>
      <c r="AK17" s="3017"/>
      <c r="AL17" s="3017"/>
      <c r="AM17" s="3017"/>
      <c r="AN17" s="3017"/>
      <c r="AO17" s="3017"/>
      <c r="AP17" s="3017"/>
      <c r="AQ17" s="3017"/>
      <c r="AR17" s="3017"/>
      <c r="AS17" s="3017"/>
      <c r="AT17" s="3018"/>
      <c r="AU17" s="3019"/>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2"/>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61"/>
      <c r="AM18" s="92"/>
      <c r="AN18" s="1389"/>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61"/>
      <c r="AO21" s="92"/>
      <c r="AP21" s="92"/>
      <c r="AQ21" s="92"/>
      <c r="AR21" s="92"/>
      <c r="AS21" s="92"/>
      <c r="AT21" s="93"/>
      <c r="AU21" s="94"/>
      <c r="AV21" s="1974">
        <f t="shared" ref="AV21:AV112" si="37">A21</f>
        <v>0</v>
      </c>
      <c r="AW21" s="1974">
        <f t="shared" ref="AW21:AW112" si="38">B21</f>
        <v>0</v>
      </c>
      <c r="AX21" s="197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61"/>
      <c r="N22" s="91"/>
      <c r="O22" s="91"/>
      <c r="P22" s="91"/>
      <c r="Q22" s="91"/>
      <c r="R22" s="91"/>
      <c r="S22" s="91"/>
      <c r="T22" s="91"/>
      <c r="U22" s="91"/>
      <c r="V22" s="91"/>
      <c r="W22" s="91"/>
      <c r="X22" s="91"/>
      <c r="Y22" s="91"/>
      <c r="Z22" s="91"/>
      <c r="AA22" s="91"/>
      <c r="AB22" s="91"/>
      <c r="AC22" s="87">
        <f t="shared" si="36"/>
        <v>0</v>
      </c>
      <c r="AD22" s="1361"/>
      <c r="AE22" s="92"/>
      <c r="AF22" s="1392"/>
      <c r="AG22" s="92"/>
      <c r="AH22" s="92"/>
      <c r="AI22" s="92"/>
      <c r="AJ22" s="92"/>
      <c r="AK22" s="92"/>
      <c r="AL22" s="1361"/>
      <c r="AM22" s="92"/>
      <c r="AN22" s="1361"/>
      <c r="AO22" s="92"/>
      <c r="AP22" s="92"/>
      <c r="AQ22" s="92"/>
      <c r="AR22" s="92"/>
      <c r="AS22" s="92"/>
      <c r="AT22" s="93"/>
      <c r="AU22" s="94"/>
      <c r="AV22" s="1974">
        <f t="shared" si="37"/>
        <v>0</v>
      </c>
      <c r="AW22" s="1974">
        <f t="shared" si="38"/>
        <v>0</v>
      </c>
      <c r="AX22" s="197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61"/>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61"/>
      <c r="AM23" s="92"/>
      <c r="AN23" s="1361"/>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61"/>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61"/>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61"/>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61"/>
      <c r="N114" s="91"/>
      <c r="O114" s="91"/>
      <c r="P114" s="91"/>
      <c r="Q114" s="91"/>
      <c r="R114" s="91"/>
      <c r="S114" s="91"/>
      <c r="T114" s="91"/>
      <c r="U114" s="91"/>
      <c r="V114" s="91"/>
      <c r="W114" s="91"/>
      <c r="X114" s="91"/>
      <c r="Y114" s="91"/>
      <c r="Z114" s="91"/>
      <c r="AA114" s="91"/>
      <c r="AB114" s="91"/>
      <c r="AC114" s="87">
        <f t="shared" si="64"/>
        <v>0</v>
      </c>
      <c r="AD114" s="1361"/>
      <c r="AE114" s="92"/>
      <c r="AF114" s="1392"/>
      <c r="AG114" s="92"/>
      <c r="AH114" s="92"/>
      <c r="AI114" s="92"/>
      <c r="AJ114" s="92"/>
      <c r="AK114" s="92"/>
      <c r="AL114" s="1361"/>
      <c r="AM114" s="92"/>
      <c r="AN114" s="1361"/>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61"/>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61"/>
      <c r="AM115" s="92"/>
      <c r="AN115" s="1361"/>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61"/>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61"/>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61"/>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61"/>
      <c r="N206" s="91"/>
      <c r="O206" s="91"/>
      <c r="P206" s="91"/>
      <c r="Q206" s="91"/>
      <c r="R206" s="91"/>
      <c r="S206" s="91"/>
      <c r="T206" s="91"/>
      <c r="U206" s="91"/>
      <c r="V206" s="91"/>
      <c r="W206" s="91"/>
      <c r="X206" s="91"/>
      <c r="Y206" s="91"/>
      <c r="Z206" s="91"/>
      <c r="AA206" s="91"/>
      <c r="AB206" s="91"/>
      <c r="AC206" s="87">
        <f t="shared" si="152"/>
        <v>0</v>
      </c>
      <c r="AD206" s="1361"/>
      <c r="AE206" s="92"/>
      <c r="AF206" s="1392"/>
      <c r="AG206" s="92"/>
      <c r="AH206" s="92"/>
      <c r="AI206" s="92"/>
      <c r="AJ206" s="92"/>
      <c r="AK206" s="92"/>
      <c r="AL206" s="1361"/>
      <c r="AM206" s="92"/>
      <c r="AN206" s="1361"/>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61"/>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61"/>
      <c r="AM207" s="92"/>
      <c r="AN207" s="1361"/>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61"/>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61"/>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61"/>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61"/>
      <c r="N298" s="91"/>
      <c r="O298" s="91"/>
      <c r="P298" s="91"/>
      <c r="Q298" s="91"/>
      <c r="R298" s="91"/>
      <c r="S298" s="91"/>
      <c r="T298" s="91"/>
      <c r="U298" s="91"/>
      <c r="V298" s="91"/>
      <c r="W298" s="91"/>
      <c r="X298" s="91"/>
      <c r="Y298" s="91"/>
      <c r="Z298" s="91"/>
      <c r="AA298" s="91"/>
      <c r="AB298" s="91"/>
      <c r="AC298" s="87">
        <f t="shared" si="180"/>
        <v>0</v>
      </c>
      <c r="AD298" s="1361"/>
      <c r="AE298" s="92"/>
      <c r="AF298" s="1392"/>
      <c r="AG298" s="92"/>
      <c r="AH298" s="92"/>
      <c r="AI298" s="92"/>
      <c r="AJ298" s="92"/>
      <c r="AK298" s="92"/>
      <c r="AL298" s="1361"/>
      <c r="AM298" s="92"/>
      <c r="AN298" s="1361"/>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61"/>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61"/>
      <c r="AM299" s="92"/>
      <c r="AN299" s="1361"/>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61"/>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61"/>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61"/>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61"/>
      <c r="N390" s="91"/>
      <c r="O390" s="91"/>
      <c r="P390" s="91"/>
      <c r="Q390" s="91"/>
      <c r="R390" s="91"/>
      <c r="S390" s="91"/>
      <c r="T390" s="91"/>
      <c r="U390" s="91"/>
      <c r="V390" s="91"/>
      <c r="W390" s="91"/>
      <c r="X390" s="91"/>
      <c r="Y390" s="91"/>
      <c r="Z390" s="91"/>
      <c r="AA390" s="91"/>
      <c r="AB390" s="91"/>
      <c r="AC390" s="87">
        <f t="shared" si="268"/>
        <v>0</v>
      </c>
      <c r="AD390" s="1361"/>
      <c r="AE390" s="92"/>
      <c r="AF390" s="1392"/>
      <c r="AG390" s="92"/>
      <c r="AH390" s="92"/>
      <c r="AI390" s="92"/>
      <c r="AJ390" s="92"/>
      <c r="AK390" s="92"/>
      <c r="AL390" s="1361"/>
      <c r="AM390" s="92"/>
      <c r="AN390" s="1361"/>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61"/>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61"/>
      <c r="AM391" s="92"/>
      <c r="AN391" s="1361"/>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61"/>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61"/>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61"/>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61"/>
      <c r="N482" s="91"/>
      <c r="O482" s="91"/>
      <c r="P482" s="91"/>
      <c r="Q482" s="91"/>
      <c r="R482" s="91"/>
      <c r="S482" s="91"/>
      <c r="T482" s="91"/>
      <c r="U482" s="91"/>
      <c r="V482" s="91"/>
      <c r="W482" s="91"/>
      <c r="X482" s="91"/>
      <c r="Y482" s="91"/>
      <c r="Z482" s="91"/>
      <c r="AA482" s="91"/>
      <c r="AB482" s="91"/>
      <c r="AC482" s="87">
        <f t="shared" si="296"/>
        <v>0</v>
      </c>
      <c r="AD482" s="1361"/>
      <c r="AE482" s="92"/>
      <c r="AF482" s="1392"/>
      <c r="AG482" s="92"/>
      <c r="AH482" s="92"/>
      <c r="AI482" s="92"/>
      <c r="AJ482" s="92"/>
      <c r="AK482" s="92"/>
      <c r="AL482" s="1361"/>
      <c r="AM482" s="92"/>
      <c r="AN482" s="1361"/>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61"/>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61"/>
      <c r="AM483" s="92"/>
      <c r="AN483" s="1361"/>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61"/>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61"/>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51" t="s">
        <v>0</v>
      </c>
      <c r="B1" s="3551" t="s">
        <v>4</v>
      </c>
      <c r="C1" s="3551" t="s">
        <v>5</v>
      </c>
      <c r="D1" s="3552" t="s">
        <v>40</v>
      </c>
      <c r="E1" s="3552" t="s">
        <v>41</v>
      </c>
      <c r="F1" s="3552"/>
      <c r="G1" s="3552"/>
      <c r="H1" s="3552"/>
      <c r="I1" s="3552"/>
      <c r="J1" s="3552"/>
      <c r="K1" s="3552"/>
      <c r="L1" s="3552"/>
      <c r="M1" s="3552"/>
    </row>
    <row r="2" spans="1:13" ht="27" customHeight="1">
      <c r="A2" s="3551"/>
      <c r="B2" s="3551"/>
      <c r="C2" s="3551"/>
      <c r="D2" s="3552"/>
      <c r="E2" s="3552" t="s">
        <v>24</v>
      </c>
      <c r="F2" s="3552" t="s">
        <v>25</v>
      </c>
      <c r="G2" s="3552"/>
      <c r="H2" s="3552"/>
      <c r="I2" s="3552"/>
      <c r="J2" s="3552" t="s">
        <v>26</v>
      </c>
      <c r="K2" s="3552"/>
      <c r="L2" s="3552"/>
      <c r="M2" s="3552"/>
    </row>
    <row r="3" spans="1:13" ht="28.5">
      <c r="A3" s="3551"/>
      <c r="B3" s="3551"/>
      <c r="C3" s="3551"/>
      <c r="D3" s="3552"/>
      <c r="E3" s="355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52" t="s">
        <v>42</v>
      </c>
      <c r="B9" s="3552"/>
      <c r="C9" s="355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30"/>
  <sheetViews>
    <sheetView workbookViewId="0">
      <selection activeCell="K10" sqref="K10"/>
    </sheetView>
  </sheetViews>
  <sheetFormatPr defaultRowHeight="15.75"/>
  <cols>
    <col min="1" max="1" width="4" style="3189" customWidth="1"/>
    <col min="2" max="2" width="4.5" style="3189" customWidth="1"/>
    <col min="3" max="3" width="24.5" style="3189" customWidth="1"/>
    <col min="4" max="4" width="14.125" style="3189" customWidth="1"/>
    <col min="5" max="5" width="13.375" style="3189" customWidth="1"/>
    <col min="6" max="6" width="11.875" style="3232" customWidth="1"/>
    <col min="7" max="7" width="10.875" style="3189" customWidth="1"/>
    <col min="8" max="8" width="12.125" style="3188" customWidth="1"/>
    <col min="9" max="16384" width="9" style="3189"/>
  </cols>
  <sheetData>
    <row r="1" spans="1:8" ht="26.25" customHeight="1" thickBot="1">
      <c r="A1" s="3553" t="s">
        <v>3009</v>
      </c>
      <c r="B1" s="3553"/>
      <c r="C1" s="3553"/>
      <c r="D1" s="3553"/>
      <c r="E1" s="3553"/>
      <c r="F1" s="3187"/>
      <c r="G1" s="3187"/>
    </row>
    <row r="2" spans="1:8" ht="18" customHeight="1">
      <c r="A2" s="3190"/>
      <c r="B2" s="3554" t="s">
        <v>3010</v>
      </c>
      <c r="C2" s="3554"/>
      <c r="D2" s="3191" t="s">
        <v>3011</v>
      </c>
      <c r="E2" s="3192" t="s">
        <v>3012</v>
      </c>
      <c r="F2" s="3193" t="s">
        <v>3013</v>
      </c>
      <c r="G2" s="3194" t="s">
        <v>3014</v>
      </c>
    </row>
    <row r="3" spans="1:8" ht="18" customHeight="1">
      <c r="A3" s="3555" t="s">
        <v>3015</v>
      </c>
      <c r="B3" s="3557" t="s">
        <v>3016</v>
      </c>
      <c r="C3" s="3557"/>
      <c r="D3" s="3195">
        <v>72846.2</v>
      </c>
      <c r="E3" s="3196" t="s">
        <v>3017</v>
      </c>
      <c r="F3" s="3197"/>
      <c r="G3" s="3198"/>
    </row>
    <row r="4" spans="1:8" ht="18" customHeight="1">
      <c r="A4" s="3555"/>
      <c r="B4" s="3557" t="s">
        <v>3018</v>
      </c>
      <c r="C4" s="3557"/>
      <c r="D4" s="3199">
        <f>D5+D18</f>
        <v>180792</v>
      </c>
      <c r="E4" s="3196" t="s">
        <v>3017</v>
      </c>
      <c r="F4" s="3200"/>
      <c r="G4" s="3198"/>
    </row>
    <row r="5" spans="1:8" ht="18" customHeight="1">
      <c r="A5" s="3555"/>
      <c r="B5" s="3558" t="s">
        <v>3019</v>
      </c>
      <c r="C5" s="3558"/>
      <c r="D5" s="3199">
        <f>SUM(D6:D17)</f>
        <v>131123</v>
      </c>
      <c r="E5" s="3196" t="s">
        <v>3017</v>
      </c>
      <c r="F5" s="3201">
        <f>SUM(F6:F17)</f>
        <v>0</v>
      </c>
      <c r="G5" s="3202">
        <f>SUM(G6:G17)</f>
        <v>131123</v>
      </c>
    </row>
    <row r="6" spans="1:8" ht="18" customHeight="1">
      <c r="A6" s="3555"/>
      <c r="B6" s="3559" t="s">
        <v>3020</v>
      </c>
      <c r="C6" s="3203" t="s">
        <v>3021</v>
      </c>
      <c r="D6" s="3204">
        <v>34304</v>
      </c>
      <c r="E6" s="3205" t="s">
        <v>3017</v>
      </c>
      <c r="F6" s="3206"/>
      <c r="G6" s="3202">
        <f t="shared" ref="G6:G10" si="0">D6</f>
        <v>34304</v>
      </c>
      <c r="H6" s="3204">
        <f>D6+D7</f>
        <v>84433</v>
      </c>
    </row>
    <row r="7" spans="1:8" ht="18" customHeight="1">
      <c r="A7" s="3555"/>
      <c r="B7" s="3559"/>
      <c r="C7" s="3207" t="s">
        <v>3022</v>
      </c>
      <c r="D7" s="3204">
        <v>50129</v>
      </c>
      <c r="E7" s="3205" t="s">
        <v>3017</v>
      </c>
      <c r="F7" s="3201"/>
      <c r="G7" s="3202">
        <f t="shared" si="0"/>
        <v>50129</v>
      </c>
      <c r="H7" s="3208"/>
    </row>
    <row r="8" spans="1:8" ht="18" customHeight="1">
      <c r="A8" s="3555"/>
      <c r="B8" s="3559"/>
      <c r="C8" s="3209" t="s">
        <v>3023</v>
      </c>
      <c r="D8" s="3204">
        <v>40890</v>
      </c>
      <c r="E8" s="3205" t="s">
        <v>3017</v>
      </c>
      <c r="F8" s="3201"/>
      <c r="G8" s="3202">
        <f t="shared" si="0"/>
        <v>40890</v>
      </c>
      <c r="H8" s="3208"/>
    </row>
    <row r="9" spans="1:8" ht="18" customHeight="1">
      <c r="A9" s="3555"/>
      <c r="B9" s="3559"/>
      <c r="C9" s="3210" t="s">
        <v>3024</v>
      </c>
      <c r="D9" s="3211">
        <v>3738</v>
      </c>
      <c r="E9" s="3205" t="s">
        <v>3017</v>
      </c>
      <c r="F9" s="3201"/>
      <c r="G9" s="3202">
        <f t="shared" si="0"/>
        <v>3738</v>
      </c>
      <c r="H9" s="3212"/>
    </row>
    <row r="10" spans="1:8" ht="18" customHeight="1">
      <c r="A10" s="3555"/>
      <c r="B10" s="3559"/>
      <c r="C10" s="3210" t="s">
        <v>3025</v>
      </c>
      <c r="D10" s="3211">
        <v>2062</v>
      </c>
      <c r="E10" s="3205" t="s">
        <v>3017</v>
      </c>
      <c r="F10" s="3201"/>
      <c r="G10" s="3202">
        <f t="shared" si="0"/>
        <v>2062</v>
      </c>
      <c r="H10" s="3212"/>
    </row>
    <row r="11" spans="1:8" ht="18" customHeight="1">
      <c r="A11" s="3555"/>
      <c r="B11" s="3559"/>
      <c r="C11" s="3210"/>
      <c r="D11" s="3213"/>
      <c r="E11" s="3205" t="s">
        <v>3017</v>
      </c>
      <c r="F11" s="3214"/>
      <c r="G11" s="3202"/>
      <c r="H11" s="3212"/>
    </row>
    <row r="12" spans="1:8" ht="18" hidden="1" customHeight="1">
      <c r="A12" s="3555"/>
      <c r="B12" s="3559"/>
      <c r="C12" s="3210"/>
      <c r="D12" s="3213"/>
      <c r="E12" s="3205" t="s">
        <v>3017</v>
      </c>
      <c r="F12" s="3214"/>
      <c r="G12" s="3202"/>
      <c r="H12" s="3215"/>
    </row>
    <row r="13" spans="1:8" ht="18" hidden="1" customHeight="1">
      <c r="A13" s="3555"/>
      <c r="B13" s="3559"/>
      <c r="C13" s="3210"/>
      <c r="D13" s="3216"/>
      <c r="E13" s="3205" t="s">
        <v>3017</v>
      </c>
      <c r="F13" s="3206"/>
      <c r="G13" s="3217"/>
      <c r="H13" s="3212"/>
    </row>
    <row r="14" spans="1:8" ht="18" hidden="1" customHeight="1">
      <c r="A14" s="3555"/>
      <c r="B14" s="3559"/>
      <c r="C14" s="3210"/>
      <c r="D14" s="3216"/>
      <c r="E14" s="3205" t="s">
        <v>3017</v>
      </c>
      <c r="F14" s="3206"/>
      <c r="G14" s="3217"/>
      <c r="H14" s="3212"/>
    </row>
    <row r="15" spans="1:8" ht="18" hidden="1" customHeight="1">
      <c r="A15" s="3555"/>
      <c r="B15" s="3559"/>
      <c r="C15" s="3210"/>
      <c r="D15" s="3216"/>
      <c r="E15" s="3205" t="s">
        <v>3017</v>
      </c>
      <c r="F15" s="3206"/>
      <c r="G15" s="3217"/>
      <c r="H15" s="3212"/>
    </row>
    <row r="16" spans="1:8" ht="18" hidden="1" customHeight="1">
      <c r="A16" s="3555"/>
      <c r="B16" s="3559"/>
      <c r="C16" s="3210"/>
      <c r="D16" s="3216"/>
      <c r="E16" s="3205" t="s">
        <v>3017</v>
      </c>
      <c r="F16" s="3206"/>
      <c r="G16" s="3217"/>
      <c r="H16" s="3212"/>
    </row>
    <row r="17" spans="1:8" ht="18" hidden="1" customHeight="1">
      <c r="A17" s="3555"/>
      <c r="B17" s="3559"/>
      <c r="C17" s="3218"/>
      <c r="D17" s="3219"/>
      <c r="E17" s="3205" t="s">
        <v>3017</v>
      </c>
      <c r="F17" s="3206"/>
      <c r="G17" s="3217"/>
      <c r="H17" s="3212"/>
    </row>
    <row r="18" spans="1:8" ht="18" customHeight="1">
      <c r="A18" s="3555"/>
      <c r="B18" s="3559" t="s">
        <v>3026</v>
      </c>
      <c r="C18" s="3559"/>
      <c r="D18" s="3211">
        <f>SUM(D19:D22)</f>
        <v>49669</v>
      </c>
      <c r="E18" s="3205" t="s">
        <v>3017</v>
      </c>
      <c r="F18" s="3201">
        <f>SUM(F19:F22)</f>
        <v>0</v>
      </c>
      <c r="G18" s="3202">
        <f>G19+G20+G22</f>
        <v>49669</v>
      </c>
      <c r="H18" s="3212"/>
    </row>
    <row r="19" spans="1:8" ht="18" customHeight="1">
      <c r="A19" s="3555"/>
      <c r="B19" s="3560" t="s">
        <v>3027</v>
      </c>
      <c r="C19" s="3220" t="s">
        <v>3028</v>
      </c>
      <c r="D19" s="3204">
        <v>21565</v>
      </c>
      <c r="E19" s="3205" t="s">
        <v>3017</v>
      </c>
      <c r="F19" s="3201"/>
      <c r="G19" s="3202">
        <f>D19</f>
        <v>21565</v>
      </c>
      <c r="H19" s="3212"/>
    </row>
    <row r="20" spans="1:8" ht="18" customHeight="1">
      <c r="A20" s="3555"/>
      <c r="B20" s="3560"/>
      <c r="C20" s="3220" t="s">
        <v>3029</v>
      </c>
      <c r="D20" s="3204">
        <v>28104</v>
      </c>
      <c r="E20" s="3205" t="s">
        <v>3017</v>
      </c>
      <c r="F20" s="3201"/>
      <c r="G20" s="3202">
        <f>D20</f>
        <v>28104</v>
      </c>
      <c r="H20" s="3212"/>
    </row>
    <row r="21" spans="1:8" ht="18" customHeight="1">
      <c r="A21" s="3555"/>
      <c r="B21" s="3560"/>
      <c r="C21" s="3220"/>
      <c r="D21" s="3204"/>
      <c r="E21" s="3205" t="s">
        <v>3017</v>
      </c>
      <c r="F21" s="3201">
        <f>D21-G21</f>
        <v>0</v>
      </c>
      <c r="G21" s="3221"/>
      <c r="H21" s="3212"/>
    </row>
    <row r="22" spans="1:8" ht="18" hidden="1" customHeight="1">
      <c r="A22" s="3555"/>
      <c r="B22" s="3560"/>
      <c r="C22" s="3220"/>
      <c r="D22" s="3204"/>
      <c r="E22" s="3205" t="s">
        <v>3017</v>
      </c>
      <c r="F22" s="3201">
        <f>D22-G22</f>
        <v>0</v>
      </c>
      <c r="G22" s="3217"/>
      <c r="H22" s="3212"/>
    </row>
    <row r="23" spans="1:8" ht="18" customHeight="1">
      <c r="A23" s="3555"/>
      <c r="B23" s="3561" t="s">
        <v>3030</v>
      </c>
      <c r="C23" s="3562"/>
      <c r="D23" s="3222">
        <v>18212</v>
      </c>
      <c r="E23" s="3205" t="s">
        <v>3017</v>
      </c>
      <c r="F23" s="3223"/>
      <c r="G23" s="3198"/>
    </row>
    <row r="24" spans="1:8" ht="18" customHeight="1">
      <c r="A24" s="3555"/>
      <c r="B24" s="3563" t="s">
        <v>3031</v>
      </c>
      <c r="C24" s="3564"/>
      <c r="D24" s="3222">
        <v>21854</v>
      </c>
      <c r="E24" s="3205" t="s">
        <v>3017</v>
      </c>
      <c r="F24" s="3223"/>
      <c r="G24" s="3198"/>
    </row>
    <row r="25" spans="1:8" ht="18" customHeight="1">
      <c r="A25" s="3555"/>
      <c r="B25" s="3565" t="s">
        <v>2032</v>
      </c>
      <c r="C25" s="3557"/>
      <c r="D25" s="3224">
        <v>1.8</v>
      </c>
      <c r="E25" s="3196"/>
      <c r="F25" s="3200"/>
      <c r="G25" s="3198"/>
    </row>
    <row r="26" spans="1:8" ht="18" customHeight="1">
      <c r="A26" s="3555"/>
      <c r="B26" s="3565" t="s">
        <v>3032</v>
      </c>
      <c r="C26" s="3557"/>
      <c r="D26" s="3225">
        <f>D23/D3</f>
        <v>0.25000617739840925</v>
      </c>
      <c r="E26" s="3196"/>
      <c r="F26" s="3200"/>
      <c r="G26" s="3226"/>
    </row>
    <row r="27" spans="1:8" ht="18" customHeight="1">
      <c r="A27" s="3555"/>
      <c r="B27" s="3557" t="s">
        <v>3033</v>
      </c>
      <c r="C27" s="3557"/>
      <c r="D27" s="3225">
        <f>D24/D3</f>
        <v>0.30000192185728292</v>
      </c>
      <c r="E27" s="3196"/>
      <c r="F27" s="3200"/>
      <c r="G27" s="3226"/>
    </row>
    <row r="28" spans="1:8" ht="18" customHeight="1" thickBot="1">
      <c r="A28" s="3555"/>
      <c r="B28" s="3227" t="s">
        <v>3034</v>
      </c>
      <c r="C28" s="3227"/>
      <c r="D28" s="3222">
        <v>1206</v>
      </c>
      <c r="E28" s="3196" t="s">
        <v>3035</v>
      </c>
      <c r="F28" s="3228"/>
      <c r="G28" s="3229"/>
    </row>
    <row r="29" spans="1:8" ht="16.5" thickBot="1">
      <c r="A29" s="3556"/>
      <c r="B29" s="3566" t="s">
        <v>3036</v>
      </c>
      <c r="C29" s="3567"/>
      <c r="D29" s="3230">
        <v>1009</v>
      </c>
      <c r="E29" s="3231" t="s">
        <v>3037</v>
      </c>
    </row>
    <row r="30" spans="1:8">
      <c r="F30" s="3233">
        <f>F5/D5</f>
        <v>0</v>
      </c>
      <c r="G30" s="3234">
        <f>G5/D5</f>
        <v>1</v>
      </c>
    </row>
  </sheetData>
  <mergeCells count="15">
    <mergeCell ref="A1:E1"/>
    <mergeCell ref="B2:C2"/>
    <mergeCell ref="A3:A29"/>
    <mergeCell ref="B3:C3"/>
    <mergeCell ref="B4:C4"/>
    <mergeCell ref="B5:C5"/>
    <mergeCell ref="B6:B17"/>
    <mergeCell ref="B18:C18"/>
    <mergeCell ref="B19:B22"/>
    <mergeCell ref="B23:C23"/>
    <mergeCell ref="B24:C24"/>
    <mergeCell ref="B25:C25"/>
    <mergeCell ref="B26:C26"/>
    <mergeCell ref="B27:C27"/>
    <mergeCell ref="B29:C29"/>
  </mergeCells>
  <phoneticPr fontId="233" type="noConversion"/>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23" sqref="D23"/>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4" t="s">
        <v>202</v>
      </c>
      <c r="B1" s="1979"/>
      <c r="C1" s="1979"/>
      <c r="D1" s="1979"/>
      <c r="E1" s="1979"/>
      <c r="F1" s="1979"/>
      <c r="G1" s="1979"/>
      <c r="H1" s="1979"/>
      <c r="I1" s="1979"/>
      <c r="J1" s="1979"/>
      <c r="K1" s="1979"/>
      <c r="L1" s="1979"/>
    </row>
    <row r="2" spans="1:16" ht="15">
      <c r="A2" s="3577" t="s">
        <v>203</v>
      </c>
      <c r="B2" s="3577"/>
      <c r="C2" s="3577"/>
      <c r="D2" s="1970" t="s">
        <v>204</v>
      </c>
      <c r="E2" s="106" t="s">
        <v>205</v>
      </c>
      <c r="F2" s="1979"/>
      <c r="G2" s="1195"/>
      <c r="H2" s="1196"/>
      <c r="I2" s="1197" t="s">
        <v>857</v>
      </c>
      <c r="J2" s="1979"/>
      <c r="K2" s="1979"/>
      <c r="L2" s="1979"/>
    </row>
    <row r="3" spans="1:16" ht="15.75" thickBot="1">
      <c r="A3" s="3578" t="s">
        <v>206</v>
      </c>
      <c r="B3" s="3578"/>
      <c r="C3" s="3578"/>
      <c r="D3" s="107">
        <f>'数据-基础表'!AY6</f>
        <v>72846.2</v>
      </c>
      <c r="E3" s="107">
        <f>'数据-基础表'!AZ5</f>
        <v>180792</v>
      </c>
      <c r="F3" s="1979"/>
      <c r="G3" s="278" t="s">
        <v>858</v>
      </c>
      <c r="H3" s="273" t="s">
        <v>859</v>
      </c>
      <c r="I3" s="1971">
        <f>ROUND('数据-基础表'!B3/'数据-基础表'!A3,2)</f>
        <v>2.48</v>
      </c>
      <c r="J3" s="1979"/>
      <c r="K3" s="1979"/>
      <c r="L3" s="1979"/>
    </row>
    <row r="4" spans="1:16" ht="15">
      <c r="A4" s="3579"/>
      <c r="B4" s="3580"/>
      <c r="C4" s="3581"/>
      <c r="D4" s="108" t="s">
        <v>204</v>
      </c>
      <c r="E4" s="109" t="s">
        <v>205</v>
      </c>
      <c r="F4" s="1979"/>
      <c r="G4" s="1198"/>
      <c r="H4" s="273" t="s">
        <v>860</v>
      </c>
      <c r="I4" s="1971">
        <f>ROUND(SUMIF('数据-基础表'!I9:AS9,"地上",'数据-基础表'!I5:AS5)/'数据-基础表'!A3,2)</f>
        <v>1.8</v>
      </c>
      <c r="J4" s="1979"/>
      <c r="K4" s="1979"/>
      <c r="L4" s="1979"/>
    </row>
    <row r="5" spans="1:16">
      <c r="A5" s="110" t="s">
        <v>207</v>
      </c>
      <c r="B5" s="3582" t="s">
        <v>230</v>
      </c>
      <c r="C5" s="3582"/>
      <c r="D5" s="111">
        <f>ROUND($D$3*E5/$E$3,2)</f>
        <v>50496.17</v>
      </c>
      <c r="E5" s="112">
        <f>SUMIF('数据-基础表'!$11:$11,"住宅",'数据-基础表'!$5:$5)</f>
        <v>125323</v>
      </c>
      <c r="F5" s="1979"/>
      <c r="G5" s="278" t="s">
        <v>861</v>
      </c>
      <c r="H5" s="273" t="s">
        <v>859</v>
      </c>
      <c r="I5" s="1971">
        <f>ROUND(E31/D31,2)</f>
        <v>2.48</v>
      </c>
      <c r="J5" s="1979"/>
      <c r="K5" s="1979"/>
      <c r="L5" s="1979"/>
    </row>
    <row r="6" spans="1:16" ht="15" thickBot="1">
      <c r="A6" s="113"/>
      <c r="B6" s="3582" t="s">
        <v>208</v>
      </c>
      <c r="C6" s="3582"/>
      <c r="D6" s="111">
        <f>ROUND($D$3*E6/$E$3,2)</f>
        <v>22350.03</v>
      </c>
      <c r="E6" s="112">
        <f>E3-E5</f>
        <v>55469</v>
      </c>
      <c r="F6" s="1979"/>
      <c r="G6" s="1198"/>
      <c r="H6" s="273" t="s">
        <v>860</v>
      </c>
      <c r="I6" s="1971">
        <f>ROUND(F31/D31,2)</f>
        <v>1.8</v>
      </c>
      <c r="J6" s="1979"/>
      <c r="K6" s="1979"/>
      <c r="L6" s="1979"/>
    </row>
    <row r="7" spans="1:16" ht="15">
      <c r="A7" s="3574"/>
      <c r="B7" s="3575"/>
      <c r="C7" s="3576"/>
      <c r="D7" s="108" t="s">
        <v>204</v>
      </c>
      <c r="E7" s="114" t="s">
        <v>231</v>
      </c>
      <c r="F7" s="1979"/>
      <c r="G7" s="1153" t="s">
        <v>1646</v>
      </c>
      <c r="H7" s="1154"/>
      <c r="I7" s="1841"/>
      <c r="J7" s="1979"/>
      <c r="K7" s="1979"/>
      <c r="L7" s="1979"/>
    </row>
    <row r="8" spans="1:16">
      <c r="A8" s="110" t="s">
        <v>209</v>
      </c>
      <c r="B8" s="115" t="s">
        <v>210</v>
      </c>
      <c r="C8" s="111" t="s">
        <v>211</v>
      </c>
      <c r="D8" s="111">
        <f t="shared" ref="D8:D15" si="0">ROUND($D$3*E8/$E$3,2)</f>
        <v>52002.32</v>
      </c>
      <c r="E8" s="116">
        <f>SUMIF('数据-基础表'!BB10:BK10,"地上",'数据-基础表'!BB5:BK5)</f>
        <v>129061</v>
      </c>
      <c r="F8" s="1979"/>
      <c r="G8" s="1981"/>
      <c r="H8" s="1981"/>
      <c r="I8" s="1979"/>
      <c r="J8" s="1979"/>
      <c r="K8" s="1979"/>
      <c r="L8" s="1979"/>
    </row>
    <row r="9" spans="1:16">
      <c r="A9" s="117"/>
      <c r="B9" s="118"/>
      <c r="C9" s="111" t="s">
        <v>212</v>
      </c>
      <c r="D9" s="111">
        <f t="shared" si="0"/>
        <v>0</v>
      </c>
      <c r="E9" s="119">
        <v>0</v>
      </c>
      <c r="F9" s="1979"/>
      <c r="G9" s="1981"/>
      <c r="H9" s="1981"/>
      <c r="I9" s="1979"/>
      <c r="J9" s="1979"/>
      <c r="K9" s="1979"/>
      <c r="L9" s="1979"/>
    </row>
    <row r="10" spans="1:16">
      <c r="A10" s="117"/>
      <c r="B10" s="118"/>
      <c r="C10" s="111" t="s">
        <v>213</v>
      </c>
      <c r="D10" s="111">
        <f t="shared" si="0"/>
        <v>0</v>
      </c>
      <c r="E10" s="116">
        <f>SUMPRODUCT(('数据-基础表'!BB10:BK10="地下")*('数据-基础表'!BB11:BK11="商业")*('数据-基础表'!BB5:BK5))</f>
        <v>0</v>
      </c>
      <c r="F10" s="1979"/>
      <c r="G10" s="1981"/>
      <c r="H10" s="1981"/>
      <c r="I10" s="1979"/>
      <c r="J10" s="1979"/>
      <c r="K10" s="1979"/>
      <c r="L10" s="1979"/>
    </row>
    <row r="11" spans="1:16">
      <c r="A11" s="117"/>
      <c r="B11" s="118"/>
      <c r="C11" s="2326" t="s">
        <v>2327</v>
      </c>
      <c r="D11" s="111">
        <f t="shared" si="0"/>
        <v>0</v>
      </c>
      <c r="E11" s="116">
        <f>SUMPRODUCT(('数据-基础表'!BB10:BK10="地下")*('数据-基础表'!BB11:BK11="办公")*('数据-基础表'!BB5:BK5))+'数据-基础表'!AJ5</f>
        <v>0</v>
      </c>
      <c r="F11" s="1979"/>
      <c r="G11" s="1981"/>
      <c r="H11" s="1981"/>
      <c r="I11" s="1979"/>
      <c r="J11" s="1979"/>
      <c r="K11" s="1979"/>
      <c r="L11" s="1979"/>
    </row>
    <row r="12" spans="1:16">
      <c r="A12" s="117"/>
      <c r="B12" s="118"/>
      <c r="C12" s="111" t="s">
        <v>214</v>
      </c>
      <c r="D12" s="111">
        <f t="shared" si="0"/>
        <v>0</v>
      </c>
      <c r="E12" s="116">
        <f>SUMPRODUCT(('数据-基础表'!BB10:BK10="地下")*('数据-基础表'!BB11:BK11="仓储")*('数据-基础表'!BB5:BK5))</f>
        <v>0</v>
      </c>
      <c r="F12" s="1979"/>
      <c r="G12" s="1981"/>
      <c r="H12" s="1981"/>
      <c r="I12" s="1979"/>
      <c r="J12" s="1979"/>
      <c r="K12" s="1979"/>
      <c r="L12" s="1979"/>
    </row>
    <row r="13" spans="1:16">
      <c r="A13" s="117"/>
      <c r="B13" s="118"/>
      <c r="C13" s="2326" t="s">
        <v>2334</v>
      </c>
      <c r="D13" s="111">
        <f t="shared" si="0"/>
        <v>11323.89</v>
      </c>
      <c r="E13" s="116">
        <f>SUMPRODUCT(('数据-基础表'!BB10:BK10="地下")*('数据-基础表'!BB11:BK11="车库")*('数据-基础表'!BB5:BK5))</f>
        <v>28104</v>
      </c>
      <c r="F13" s="1979"/>
      <c r="G13" s="1981"/>
      <c r="H13" s="1981"/>
      <c r="I13" s="1979"/>
      <c r="J13" s="1979"/>
      <c r="K13" s="1979"/>
      <c r="L13" s="1979"/>
    </row>
    <row r="14" spans="1:16">
      <c r="A14" s="117"/>
      <c r="B14" s="118"/>
      <c r="C14" s="111" t="s">
        <v>232</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233</v>
      </c>
      <c r="D15" s="111">
        <f t="shared" si="0"/>
        <v>0</v>
      </c>
      <c r="E15" s="116">
        <f>SUMPRODUCT(('数据-基础表'!BB10:BK10="地下")*('数据-基础表'!BB11:BK11="车库—办公")*('数据-基础表'!BB5:BK5))</f>
        <v>0</v>
      </c>
      <c r="F15" s="1979"/>
      <c r="G15" s="1981"/>
      <c r="H15" s="1981"/>
      <c r="I15" s="1979"/>
      <c r="J15" s="1979"/>
      <c r="K15" s="1979"/>
      <c r="L15" s="1979"/>
    </row>
    <row r="16" spans="1:16" ht="15.75" thickBot="1">
      <c r="A16" s="113"/>
      <c r="B16" s="118"/>
      <c r="C16" s="115" t="s">
        <v>215</v>
      </c>
      <c r="D16" s="115">
        <f>SUM(D8:D15)</f>
        <v>63326.21</v>
      </c>
      <c r="E16" s="120">
        <f>SUM(E8:E15)</f>
        <v>157165</v>
      </c>
      <c r="F16" s="1979"/>
      <c r="G16" s="1981"/>
      <c r="H16" s="965" t="s">
        <v>219</v>
      </c>
      <c r="I16" s="966"/>
      <c r="J16" s="1979"/>
      <c r="K16" s="3568" t="s">
        <v>2566</v>
      </c>
      <c r="L16" s="3569"/>
      <c r="M16" s="3569"/>
      <c r="N16" s="3569"/>
      <c r="O16" s="3569"/>
      <c r="P16" s="3570"/>
    </row>
    <row r="17" spans="1:19" ht="15">
      <c r="A17" s="121" t="s">
        <v>216</v>
      </c>
      <c r="B17" s="122" t="s">
        <v>217</v>
      </c>
      <c r="C17" s="2293" t="s">
        <v>2313</v>
      </c>
      <c r="D17" s="108" t="s">
        <v>204</v>
      </c>
      <c r="E17" s="124" t="s">
        <v>205</v>
      </c>
      <c r="F17" s="125"/>
      <c r="G17" s="1362"/>
      <c r="H17" s="967" t="s">
        <v>218</v>
      </c>
      <c r="I17" s="968" t="s">
        <v>2312</v>
      </c>
      <c r="J17" s="1979"/>
      <c r="K17" s="3571" t="s">
        <v>2567</v>
      </c>
      <c r="L17" s="3572"/>
      <c r="M17" s="3573"/>
      <c r="N17" s="3571" t="s">
        <v>2568</v>
      </c>
      <c r="O17" s="3572"/>
      <c r="P17" s="3573"/>
      <c r="R17" s="2294" t="s">
        <v>2311</v>
      </c>
      <c r="S17" s="144"/>
    </row>
    <row r="18" spans="1:19" ht="15">
      <c r="A18" s="117"/>
      <c r="B18" s="128"/>
      <c r="C18" s="129"/>
      <c r="D18" s="2637"/>
      <c r="E18" s="130" t="s">
        <v>220</v>
      </c>
      <c r="F18" s="131" t="s">
        <v>221</v>
      </c>
      <c r="G18" s="1363" t="s">
        <v>222</v>
      </c>
      <c r="H18" s="969" t="s">
        <v>223</v>
      </c>
      <c r="I18" s="970" t="s">
        <v>224</v>
      </c>
      <c r="J18" s="1979"/>
      <c r="K18" s="2600" t="s">
        <v>2569</v>
      </c>
      <c r="L18" s="2601" t="s">
        <v>2570</v>
      </c>
      <c r="M18" s="2602" t="s">
        <v>2571</v>
      </c>
      <c r="N18" s="2600" t="s">
        <v>2569</v>
      </c>
      <c r="O18" s="2601" t="s">
        <v>2570</v>
      </c>
      <c r="P18" s="2602" t="s">
        <v>2571</v>
      </c>
      <c r="R18" s="2295" t="s">
        <v>2309</v>
      </c>
      <c r="S18" s="2295" t="s">
        <v>2310</v>
      </c>
    </row>
    <row r="19" spans="1:19">
      <c r="A19" s="133"/>
      <c r="B19" s="115" t="s">
        <v>225</v>
      </c>
      <c r="C19" s="3020" t="s">
        <v>3170</v>
      </c>
      <c r="D19" s="3478">
        <f>ROUND(($D$3-$D$21)*E19/($E$3-$E$21),2)</f>
        <v>13489.56</v>
      </c>
      <c r="E19" s="134">
        <f t="shared" ref="E19:E26" si="1">SUM(F19:G19)</f>
        <v>34304</v>
      </c>
      <c r="F19" s="135">
        <f>'数据-基础表'!I13</f>
        <v>34304</v>
      </c>
      <c r="G19" s="1364"/>
      <c r="H19" s="971">
        <f>ROUND($D$3*I19/$E$3,2)</f>
        <v>2275.59</v>
      </c>
      <c r="I19" s="116">
        <f>IF($I$17="自定义",P19,M19)</f>
        <v>5647.6399999999994</v>
      </c>
      <c r="J19" s="1979"/>
      <c r="K19" s="2603">
        <f t="shared" ref="K19:K26" si="2">ROUND(E$28*E19/E$27,2)</f>
        <v>4706.9399999999996</v>
      </c>
      <c r="L19" s="273">
        <f t="shared" ref="L19:L26" si="3">ROUND(IF(COUNTIF(C19,"*住宅*")&gt;0,E$29*E19/E$32,0),2)</f>
        <v>940.7</v>
      </c>
      <c r="M19" s="2604">
        <f>K19+L19</f>
        <v>5647.6399999999994</v>
      </c>
      <c r="N19" s="2605"/>
      <c r="O19" s="2606"/>
      <c r="P19" s="2607">
        <f>N19+O19</f>
        <v>0</v>
      </c>
      <c r="R19" s="273">
        <f t="shared" ref="R19:S26" si="4">D19+H19</f>
        <v>15765.15</v>
      </c>
      <c r="S19" s="2296">
        <f t="shared" si="4"/>
        <v>39951.64</v>
      </c>
    </row>
    <row r="20" spans="1:19">
      <c r="A20" s="138"/>
      <c r="B20" s="115" t="s">
        <v>226</v>
      </c>
      <c r="C20" s="3020" t="s">
        <v>3172</v>
      </c>
      <c r="D20" s="3478">
        <f>ROUND(($D$3-$D$21)*E20/($E$3-$E$21),2)</f>
        <v>16079.41</v>
      </c>
      <c r="E20" s="134">
        <f t="shared" si="1"/>
        <v>40890</v>
      </c>
      <c r="F20" s="135">
        <f>'数据-基础表'!K13</f>
        <v>40890</v>
      </c>
      <c r="G20" s="1364"/>
      <c r="H20" s="971">
        <f t="shared" ref="H20:H26" si="5">ROUND($D$3*I20/$E$3,2)</f>
        <v>2712.48</v>
      </c>
      <c r="I20" s="116">
        <f t="shared" ref="I20:I26" si="6">IF($I$17="自定义",P20,M20)</f>
        <v>6731.92</v>
      </c>
      <c r="J20" s="1979"/>
      <c r="K20" s="2603">
        <f t="shared" si="2"/>
        <v>5610.62</v>
      </c>
      <c r="L20" s="273">
        <f t="shared" si="3"/>
        <v>1121.3</v>
      </c>
      <c r="M20" s="2604">
        <f t="shared" ref="M20:M26" si="7">K20+L20</f>
        <v>6731.92</v>
      </c>
      <c r="N20" s="2605"/>
      <c r="O20" s="2606"/>
      <c r="P20" s="2607">
        <f t="shared" ref="P20:P26" si="8">N20+O20</f>
        <v>0</v>
      </c>
      <c r="R20" s="273">
        <f t="shared" si="4"/>
        <v>18791.89</v>
      </c>
      <c r="S20" s="2296">
        <f t="shared" si="4"/>
        <v>47621.919999999998</v>
      </c>
    </row>
    <row r="21" spans="1:19">
      <c r="A21" s="138"/>
      <c r="B21" s="115" t="s">
        <v>226</v>
      </c>
      <c r="C21" s="3020" t="s">
        <v>3173</v>
      </c>
      <c r="D21" s="3478">
        <v>3222.22</v>
      </c>
      <c r="E21" s="134">
        <f t="shared" si="1"/>
        <v>3738</v>
      </c>
      <c r="F21" s="135">
        <f>'数据-基础表'!M13</f>
        <v>3738</v>
      </c>
      <c r="G21" s="1364"/>
      <c r="H21" s="971">
        <f t="shared" si="5"/>
        <v>206.66</v>
      </c>
      <c r="I21" s="116">
        <f t="shared" si="6"/>
        <v>512.9</v>
      </c>
      <c r="J21" s="1979"/>
      <c r="K21" s="2603">
        <f t="shared" si="2"/>
        <v>512.9</v>
      </c>
      <c r="L21" s="273">
        <f t="shared" si="3"/>
        <v>0</v>
      </c>
      <c r="M21" s="2604">
        <f t="shared" si="7"/>
        <v>512.9</v>
      </c>
      <c r="N21" s="2605"/>
      <c r="O21" s="2606"/>
      <c r="P21" s="2607">
        <f t="shared" si="8"/>
        <v>0</v>
      </c>
      <c r="R21" s="273">
        <f t="shared" si="4"/>
        <v>3428.8799999999997</v>
      </c>
      <c r="S21" s="2296">
        <f t="shared" si="4"/>
        <v>4250.8999999999996</v>
      </c>
    </row>
    <row r="22" spans="1:19">
      <c r="A22" s="138"/>
      <c r="B22" s="115" t="s">
        <v>226</v>
      </c>
      <c r="C22" s="3338" t="s">
        <v>3175</v>
      </c>
      <c r="D22" s="3478">
        <f>ROUND(($D$3-$D$21)*E22/($E$3-$E$21),2)</f>
        <v>11051.5</v>
      </c>
      <c r="E22" s="134">
        <f t="shared" si="1"/>
        <v>28104</v>
      </c>
      <c r="F22" s="140"/>
      <c r="G22" s="1365">
        <f>'数据-基础表'!Q13</f>
        <v>28104</v>
      </c>
      <c r="H22" s="971">
        <f t="shared" si="5"/>
        <v>1553.78</v>
      </c>
      <c r="I22" s="116">
        <f t="shared" si="6"/>
        <v>3856.22</v>
      </c>
      <c r="J22" s="1979"/>
      <c r="K22" s="2603">
        <f t="shared" si="2"/>
        <v>3856.22</v>
      </c>
      <c r="L22" s="273">
        <f t="shared" si="3"/>
        <v>0</v>
      </c>
      <c r="M22" s="2604">
        <f t="shared" si="7"/>
        <v>3856.22</v>
      </c>
      <c r="N22" s="2605"/>
      <c r="O22" s="2606"/>
      <c r="P22" s="2607">
        <f t="shared" si="8"/>
        <v>0</v>
      </c>
      <c r="R22" s="273">
        <f t="shared" si="4"/>
        <v>12605.28</v>
      </c>
      <c r="S22" s="2296">
        <f t="shared" si="4"/>
        <v>31960.22</v>
      </c>
    </row>
    <row r="23" spans="1:19">
      <c r="A23" s="138"/>
      <c r="B23" s="115" t="s">
        <v>226</v>
      </c>
      <c r="C23" s="3338" t="s">
        <v>3177</v>
      </c>
      <c r="D23" s="3478">
        <f>ROUND(($D$3-$D$21)*E23/($E$3-$E$21),2)</f>
        <v>19712.52</v>
      </c>
      <c r="E23" s="134">
        <f>SUM(F23:G23)</f>
        <v>50129</v>
      </c>
      <c r="F23" s="140">
        <f>'数据-基础表'!O13</f>
        <v>50129</v>
      </c>
      <c r="G23" s="1365"/>
      <c r="H23" s="971">
        <f>ROUND($D$3*I23/$E$3,2)</f>
        <v>2771.47</v>
      </c>
      <c r="I23" s="116">
        <f t="shared" si="6"/>
        <v>6878.32</v>
      </c>
      <c r="J23" s="1979"/>
      <c r="K23" s="2603">
        <f t="shared" si="2"/>
        <v>6878.32</v>
      </c>
      <c r="L23" s="273">
        <f t="shared" si="3"/>
        <v>0</v>
      </c>
      <c r="M23" s="2604">
        <f t="shared" si="7"/>
        <v>6878.32</v>
      </c>
      <c r="N23" s="2605"/>
      <c r="O23" s="2606"/>
      <c r="P23" s="2607">
        <f t="shared" si="8"/>
        <v>0</v>
      </c>
      <c r="R23" s="273">
        <f t="shared" si="4"/>
        <v>22483.99</v>
      </c>
      <c r="S23" s="2296">
        <f t="shared" si="4"/>
        <v>57007.32</v>
      </c>
    </row>
    <row r="24" spans="1:19">
      <c r="A24" s="138"/>
      <c r="B24" s="115" t="s">
        <v>226</v>
      </c>
      <c r="C24" s="139"/>
      <c r="D24" s="111">
        <f>ROUND($D$3*E24/$E$3,2)</f>
        <v>0</v>
      </c>
      <c r="E24" s="134">
        <f>SUM(F24:G24)</f>
        <v>0</v>
      </c>
      <c r="F24" s="140"/>
      <c r="G24" s="1365"/>
      <c r="H24" s="971">
        <f>ROUND($D$3*I24/$E$3,2)</f>
        <v>0</v>
      </c>
      <c r="I24" s="116">
        <f t="shared" si="6"/>
        <v>0</v>
      </c>
      <c r="J24" s="1979"/>
      <c r="K24" s="2603">
        <f t="shared" si="2"/>
        <v>0</v>
      </c>
      <c r="L24" s="273">
        <f t="shared" si="3"/>
        <v>0</v>
      </c>
      <c r="M24" s="2604">
        <f t="shared" si="7"/>
        <v>0</v>
      </c>
      <c r="N24" s="2605"/>
      <c r="O24" s="2606"/>
      <c r="P24" s="2607">
        <f t="shared" si="8"/>
        <v>0</v>
      </c>
      <c r="R24" s="273">
        <f t="shared" si="4"/>
        <v>0</v>
      </c>
      <c r="S24" s="2296">
        <f t="shared" si="4"/>
        <v>0</v>
      </c>
    </row>
    <row r="25" spans="1:19">
      <c r="A25" s="138"/>
      <c r="B25" s="115" t="s">
        <v>226</v>
      </c>
      <c r="C25" s="139"/>
      <c r="D25" s="111">
        <f t="shared" ref="D25:D26" si="9">ROUND($D$3*E25/$E$3,2)</f>
        <v>0</v>
      </c>
      <c r="E25" s="134">
        <f t="shared" si="1"/>
        <v>0</v>
      </c>
      <c r="F25" s="140"/>
      <c r="G25" s="1365"/>
      <c r="H25" s="110">
        <f t="shared" si="5"/>
        <v>0</v>
      </c>
      <c r="I25" s="116">
        <f t="shared" si="6"/>
        <v>0</v>
      </c>
      <c r="J25" s="1979"/>
      <c r="K25" s="2603">
        <f t="shared" si="2"/>
        <v>0</v>
      </c>
      <c r="L25" s="273">
        <f t="shared" si="3"/>
        <v>0</v>
      </c>
      <c r="M25" s="2604">
        <f t="shared" si="7"/>
        <v>0</v>
      </c>
      <c r="N25" s="2605"/>
      <c r="O25" s="2606"/>
      <c r="P25" s="2607">
        <f t="shared" si="8"/>
        <v>0</v>
      </c>
      <c r="R25" s="273">
        <f t="shared" si="4"/>
        <v>0</v>
      </c>
      <c r="S25" s="2296">
        <f t="shared" si="4"/>
        <v>0</v>
      </c>
    </row>
    <row r="26" spans="1:19">
      <c r="A26" s="138"/>
      <c r="B26" s="115" t="s">
        <v>226</v>
      </c>
      <c r="C26" s="142"/>
      <c r="D26" s="111">
        <f t="shared" si="9"/>
        <v>0</v>
      </c>
      <c r="E26" s="134">
        <f t="shared" si="1"/>
        <v>0</v>
      </c>
      <c r="F26" s="140"/>
      <c r="G26" s="1365"/>
      <c r="H26" s="110">
        <f t="shared" si="5"/>
        <v>0</v>
      </c>
      <c r="I26" s="116">
        <f t="shared" si="6"/>
        <v>0</v>
      </c>
      <c r="J26" s="1979"/>
      <c r="K26" s="2608">
        <f t="shared" si="2"/>
        <v>0</v>
      </c>
      <c r="L26" s="278">
        <f t="shared" si="3"/>
        <v>0</v>
      </c>
      <c r="M26" s="146">
        <f t="shared" si="7"/>
        <v>0</v>
      </c>
      <c r="N26" s="2609"/>
      <c r="O26" s="2610"/>
      <c r="P26" s="2611">
        <f t="shared" si="8"/>
        <v>0</v>
      </c>
      <c r="R26" s="273">
        <f t="shared" si="4"/>
        <v>0</v>
      </c>
      <c r="S26" s="2296">
        <f t="shared" si="4"/>
        <v>0</v>
      </c>
    </row>
    <row r="27" spans="1:19" ht="43.5" thickBot="1">
      <c r="A27" s="138"/>
      <c r="B27" s="111"/>
      <c r="C27" s="127" t="s">
        <v>215</v>
      </c>
      <c r="D27" s="134">
        <f>SUM(D19:D26)</f>
        <v>63555.210000000006</v>
      </c>
      <c r="E27" s="143">
        <f>IF(SUM(E19:E26)='数据-基础表'!BA5,SUM(E19:E26),IF(F27="地上面积有误","面积有误","地下面积有误"))</f>
        <v>157165</v>
      </c>
      <c r="F27" s="134">
        <f>IF(SUM(F19:F26)=E8,SUM(F19:F26),"地上面积有误")</f>
        <v>129061</v>
      </c>
      <c r="G27" s="112">
        <f>SUM(G19:G26)</f>
        <v>28104</v>
      </c>
      <c r="H27" s="972">
        <f>SUM(H19:H26)</f>
        <v>9519.98</v>
      </c>
      <c r="I27" s="973">
        <f>SUM(I19:I26)</f>
        <v>23627</v>
      </c>
      <c r="J27" s="1979"/>
      <c r="K27" s="2612">
        <f>SUM(K19:K26)</f>
        <v>21565</v>
      </c>
      <c r="L27" s="2613">
        <f>SUM(L19:L26)</f>
        <v>2062</v>
      </c>
      <c r="M27" s="2614">
        <f>SUM(M19:M26)</f>
        <v>23627</v>
      </c>
      <c r="N27" s="2612">
        <f t="shared" ref="N27:O27" si="10">SUM(N19:N26)</f>
        <v>0</v>
      </c>
      <c r="O27" s="2613">
        <f t="shared" si="10"/>
        <v>0</v>
      </c>
      <c r="P27" s="2615">
        <f>SUM(P19:P26)</f>
        <v>0</v>
      </c>
      <c r="R27" s="2300" t="str">
        <f>IF(SUM(R19:R26)=$D$3,SUM(R19:R26),SUM(R19:R26)&amp;"误差"&amp;ROUND(SUM(R19:R26)-$D$3,2))</f>
        <v>73075.19误差228.99</v>
      </c>
      <c r="S27" s="273">
        <f>IF(SUM(S19:S26)=$E$3,SUM(S19:S26),SUM(S19:S26)&amp;"误差"&amp;ROUND(SUM(S19:S26)-E3,2))</f>
        <v>180792</v>
      </c>
    </row>
    <row r="28" spans="1:19">
      <c r="A28" s="138"/>
      <c r="B28" s="115" t="s">
        <v>227</v>
      </c>
      <c r="C28" s="136" t="s">
        <v>228</v>
      </c>
      <c r="D28" s="3478">
        <f>ROUND(($D$3-$D$21)*E28/($E$3-$E$21),2)</f>
        <v>8480.1299999999992</v>
      </c>
      <c r="E28" s="134">
        <f>SUM(F28:G28)</f>
        <v>21565</v>
      </c>
      <c r="F28" s="144">
        <f>'数据-基础表'!BQ5+'数据-基础表'!BS5</f>
        <v>0</v>
      </c>
      <c r="G28" s="145">
        <f>'数据-基础表'!BR5+'数据-基础表'!BT5</f>
        <v>21565</v>
      </c>
      <c r="H28" s="1979"/>
      <c r="I28" s="1979"/>
      <c r="J28" s="1979"/>
      <c r="K28" s="1979"/>
      <c r="L28" s="1979"/>
    </row>
    <row r="29" spans="1:19">
      <c r="A29" s="138"/>
      <c r="B29" s="115" t="s">
        <v>227</v>
      </c>
      <c r="C29" s="2308" t="s">
        <v>2320</v>
      </c>
      <c r="D29" s="3481">
        <f>D3-D27-D28</f>
        <v>810.85999999999149</v>
      </c>
      <c r="E29" s="134">
        <f>SUM(F29:G29)</f>
        <v>2062</v>
      </c>
      <c r="F29" s="144">
        <f>'数据-基础表'!BM5+'数据-基础表'!BO5</f>
        <v>2062</v>
      </c>
      <c r="G29" s="146">
        <f>'数据-基础表'!BN5+'数据-基础表'!BP5</f>
        <v>0</v>
      </c>
      <c r="H29" s="1979"/>
      <c r="I29" s="1979"/>
      <c r="J29" s="1979"/>
      <c r="K29" s="1979"/>
      <c r="L29" s="1979"/>
    </row>
    <row r="30" spans="1:19">
      <c r="A30" s="138"/>
      <c r="B30" s="111"/>
      <c r="C30" s="147" t="s">
        <v>215</v>
      </c>
      <c r="D30" s="134">
        <f>SUM(D28:D29)</f>
        <v>9290.9899999999907</v>
      </c>
      <c r="E30" s="134">
        <f>SUM(E28:E29)</f>
        <v>23627</v>
      </c>
      <c r="F30" s="134">
        <f>SUM(F28:F29)</f>
        <v>2062</v>
      </c>
      <c r="G30" s="112">
        <f>SUM(G28:G29)</f>
        <v>21565</v>
      </c>
      <c r="H30" s="1979"/>
      <c r="I30" s="1979"/>
      <c r="J30" s="1979"/>
      <c r="K30" s="1979"/>
      <c r="L30" s="1979"/>
    </row>
    <row r="31" spans="1:19" ht="32.25" customHeight="1" thickBot="1">
      <c r="A31" s="1366"/>
      <c r="B31" s="1367" t="s">
        <v>229</v>
      </c>
      <c r="C31" s="2325" t="s">
        <v>2322</v>
      </c>
      <c r="D31" s="1368">
        <f>D27+D30</f>
        <v>72846.2</v>
      </c>
      <c r="E31" s="1368">
        <f>E27+E30</f>
        <v>180792</v>
      </c>
      <c r="F31" s="1369">
        <f>F27+F30</f>
        <v>131123</v>
      </c>
      <c r="G31" s="1370">
        <f>G27+G30</f>
        <v>49669</v>
      </c>
      <c r="H31" s="1979"/>
      <c r="I31" s="1979"/>
      <c r="J31" s="1979"/>
      <c r="K31" s="1979"/>
      <c r="L31" s="1979"/>
    </row>
    <row r="32" spans="1:19">
      <c r="A32" s="1979"/>
      <c r="B32" s="2358" t="s">
        <v>2321</v>
      </c>
      <c r="C32" s="2642"/>
      <c r="D32" s="1198"/>
      <c r="E32" s="1198">
        <f>SUMIF(C19:C26,"*住宅*",E19:E26)</f>
        <v>75194</v>
      </c>
      <c r="F32" s="1198"/>
      <c r="G32" s="1198"/>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Q13" sqref="Q11:Q13"/>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hidden="1" customWidth="1"/>
    <col min="31" max="31" width="6.5" style="1200" customWidth="1"/>
    <col min="32" max="34" width="7.25" style="1200" customWidth="1"/>
    <col min="35" max="39" width="8" style="1200" customWidth="1"/>
    <col min="40" max="41" width="13.75" style="1993"/>
    <col min="42" max="42" width="0" style="1993" hidden="1" customWidth="1"/>
    <col min="43" max="83" width="13.75" style="1993"/>
    <col min="84" max="16384" width="13.75" style="1200"/>
  </cols>
  <sheetData>
    <row r="1" spans="1:83" ht="19.5" thickBot="1">
      <c r="A1" s="148" t="s">
        <v>234</v>
      </c>
      <c r="B1" s="1199"/>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3" customFormat="1" ht="15.75" thickBot="1">
      <c r="A2" s="149" t="s">
        <v>235</v>
      </c>
      <c r="B2" s="2333">
        <f>项目基本情况!D3</f>
        <v>43346</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3" customFormat="1" ht="15" thickBot="1">
      <c r="A3" s="1204"/>
      <c r="B3" s="1201"/>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3" customFormat="1" ht="15" thickBot="1">
      <c r="A4" s="150" t="s">
        <v>864</v>
      </c>
      <c r="B4" s="152"/>
      <c r="C4" s="153"/>
      <c r="D4" s="1205"/>
      <c r="E4" s="1206" t="s">
        <v>865</v>
      </c>
      <c r="F4" s="153"/>
      <c r="G4" s="153"/>
      <c r="H4" s="153"/>
      <c r="I4" s="153"/>
      <c r="J4" s="154"/>
      <c r="K4" s="1207"/>
      <c r="L4" s="1208"/>
      <c r="M4" s="153"/>
      <c r="N4" s="1206" t="s">
        <v>866</v>
      </c>
      <c r="O4" s="153"/>
      <c r="P4" s="153"/>
      <c r="Q4" s="153"/>
      <c r="R4" s="153"/>
      <c r="S4" s="154"/>
      <c r="T4" s="974"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09" customFormat="1" ht="54">
      <c r="A5" s="229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6" t="s">
        <v>2827</v>
      </c>
      <c r="O5" s="163" t="s">
        <v>246</v>
      </c>
      <c r="P5" s="165" t="s">
        <v>247</v>
      </c>
      <c r="Q5" s="166" t="s">
        <v>248</v>
      </c>
      <c r="R5" s="167" t="s">
        <v>249</v>
      </c>
      <c r="S5" s="2616" t="s">
        <v>2572</v>
      </c>
      <c r="T5" s="168" t="s">
        <v>250</v>
      </c>
      <c r="U5" s="169" t="s">
        <v>251</v>
      </c>
      <c r="V5" s="159" t="s">
        <v>252</v>
      </c>
      <c r="W5" s="159" t="s">
        <v>253</v>
      </c>
      <c r="X5" s="1813"/>
      <c r="Y5" s="170" t="s">
        <v>254</v>
      </c>
      <c r="Z5" s="171" t="s">
        <v>255</v>
      </c>
      <c r="AA5" s="159" t="s">
        <v>252</v>
      </c>
      <c r="AB5" s="159" t="s">
        <v>253</v>
      </c>
      <c r="AC5" s="1814"/>
      <c r="AD5" s="172" t="s">
        <v>254</v>
      </c>
      <c r="AE5" s="1" t="s">
        <v>870</v>
      </c>
      <c r="AF5" s="159" t="s">
        <v>256</v>
      </c>
      <c r="AG5" s="170" t="s">
        <v>257</v>
      </c>
      <c r="AH5" s="1814" t="s">
        <v>2323</v>
      </c>
      <c r="AI5" s="171" t="s">
        <v>2292</v>
      </c>
      <c r="AJ5" s="171" t="s">
        <v>258</v>
      </c>
      <c r="AK5" s="159" t="s">
        <v>259</v>
      </c>
      <c r="AL5" s="159" t="s">
        <v>260</v>
      </c>
      <c r="AM5" s="172" t="s">
        <v>261</v>
      </c>
      <c r="AN5" s="2386" t="s">
        <v>2373</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3" customFormat="1" ht="14.25">
      <c r="A6" s="2297" t="str">
        <f>'数据-汇总表'!C19</f>
        <v>住宅（高层）</v>
      </c>
      <c r="B6" s="2332" t="str">
        <f>IF(A6=0,"","经营性")</f>
        <v>经营性</v>
      </c>
      <c r="C6" s="173" t="s">
        <v>923</v>
      </c>
      <c r="D6" s="2303">
        <f>SUMIF(项目基本情况!D$15:I$15,C6,项目基本情况!D$18:I$18)</f>
        <v>70</v>
      </c>
      <c r="E6" s="2304">
        <f>IF(B6="","",SUMIF(项目基本情况!D$15:I$15,C6,项目基本情况!D$17:I$17))</f>
        <v>68894</v>
      </c>
      <c r="F6" s="174">
        <f>SUMIF(项目基本情况!D$15:I$15,C6,项目基本情况!D$19:I$19)</f>
        <v>69.989999999999995</v>
      </c>
      <c r="G6" s="175">
        <f>IF(ISERROR(ROUND(POWER(1+H6,D6-F6)*(POWER(1+H6,F6)-1)/(POWER(1+H6,D6)-1),3)),0,ROUND(POWER(1+H6,D6-F6)*(POWER(1+H6,F6)-1)/(POWER(1+H6,D6)-1),3))</f>
        <v>1</v>
      </c>
      <c r="H6" s="3474">
        <v>0.04</v>
      </c>
      <c r="I6" s="3474">
        <v>0.05</v>
      </c>
      <c r="J6" s="176">
        <v>8.5000000000000006E-2</v>
      </c>
      <c r="K6" s="179">
        <f>SUMIF('数据-汇总表'!C$19:C$33,'数据-取费表'!A6,'数据-汇总表'!E$19:E$33)</f>
        <v>34304</v>
      </c>
      <c r="L6" s="3479">
        <v>3000</v>
      </c>
      <c r="M6" s="177">
        <f t="shared" ref="M6:M14" si="0">ROUND(K6*L6/10000,0)</f>
        <v>10291</v>
      </c>
      <c r="N6" s="3022">
        <v>0</v>
      </c>
      <c r="O6" s="177">
        <f>IF($N$5="成新度","——",ROUND(M6*N6,0))</f>
        <v>0</v>
      </c>
      <c r="P6" s="178">
        <f>IF($N$5="成新度","——",M6-O6)</f>
        <v>10291</v>
      </c>
      <c r="Q6" s="3023">
        <v>0.05</v>
      </c>
      <c r="R6" s="179">
        <f>SUMIF('数据-汇总表'!C$19:C$33,A6,'数据-汇总表'!R$19:R$33)</f>
        <v>15765.15</v>
      </c>
      <c r="S6" s="132">
        <f>IF('数据-汇总表'!$I$17="按面积比例",SUMIF('数据-汇总表'!C$19:C$33,A6,'数据-汇总表'!K$19:K$33),SUMIF('数据-汇总表'!C$19:C$33,A6,'数据-汇总表'!N$19:N$33))</f>
        <v>4706.9399999999996</v>
      </c>
      <c r="T6" s="2229">
        <f>IF($T$4="按面积比例",IF(ISERROR(ROUND($M$14*S6/S$16,0)),"0",ROUND($M$14*S6/S$16,0)),"需自行计算录入")</f>
        <v>941</v>
      </c>
      <c r="U6" s="180"/>
      <c r="V6" s="181"/>
      <c r="W6" s="181"/>
      <c r="X6" s="2316"/>
      <c r="Y6" s="182"/>
      <c r="Z6" s="183"/>
      <c r="AA6" s="176"/>
      <c r="AB6" s="176"/>
      <c r="AC6" s="2319"/>
      <c r="AD6" s="184"/>
      <c r="AE6" s="969">
        <f ca="1">IF(AN6="",0,SUMIF(INDIRECT("'"&amp;AN6&amp;"'"&amp;"!E:E"),$AE$5,INDIRECT("'"&amp;AN6&amp;"'"&amp;"!F:F")))</f>
        <v>0</v>
      </c>
      <c r="AF6" s="141"/>
      <c r="AG6" s="1210">
        <f>IF(AF6="",0,AE6-AF6)</f>
        <v>0</v>
      </c>
      <c r="AH6" s="141"/>
      <c r="AI6" s="187"/>
      <c r="AJ6" s="188"/>
      <c r="AK6" s="189"/>
      <c r="AL6" s="190"/>
      <c r="AM6" s="3034"/>
      <c r="AN6" s="2387"/>
      <c r="AO6" s="1995"/>
      <c r="AP6" s="1201">
        <f>ROUND(1-1/(1+H6)^F6,3)</f>
        <v>0.93600000000000005</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3" customFormat="1" ht="14.25">
      <c r="A7" s="2297" t="str">
        <f>'数据-汇总表'!C20</f>
        <v>住宅（联排）</v>
      </c>
      <c r="B7" s="2332" t="str">
        <f t="shared" ref="B7:B13" si="1">IF(A7=0,"","经营性")</f>
        <v>经营性</v>
      </c>
      <c r="C7" s="173" t="s">
        <v>923</v>
      </c>
      <c r="D7" s="2303">
        <f>SUMIF(项目基本情况!D$15:I$15,C7,项目基本情况!D$18:I$18)</f>
        <v>70</v>
      </c>
      <c r="E7" s="2304">
        <f>IF(B7="","",SUMIF(项目基本情况!D$15:I$15,C7,项目基本情况!D$17:I$17))</f>
        <v>68894</v>
      </c>
      <c r="F7" s="174">
        <f>SUMIF(项目基本情况!D$15:I$15,C7,项目基本情况!D$19:I$19)</f>
        <v>69.989999999999995</v>
      </c>
      <c r="G7" s="175">
        <f t="shared" ref="G7:G11" si="2">IF(ISERROR(ROUND(POWER(1+H7,D7-F7)*(POWER(1+H7,F7)-1)/(POWER(1+H7,D7)-1),3)),0,ROUND(POWER(1+H7,D7-F7)*(POWER(1+H7,F7)-1)/(POWER(1+H7,D7)-1),3))</f>
        <v>1</v>
      </c>
      <c r="H7" s="3474">
        <v>0.04</v>
      </c>
      <c r="I7" s="3474">
        <v>0.05</v>
      </c>
      <c r="J7" s="176">
        <v>8.5000000000000006E-2</v>
      </c>
      <c r="K7" s="179">
        <f>SUMIF('数据-汇总表'!C$19:C$33,'数据-取费表'!A7,'数据-汇总表'!E$19:E$33)</f>
        <v>40890</v>
      </c>
      <c r="L7" s="3479">
        <v>2800</v>
      </c>
      <c r="M7" s="177">
        <f t="shared" si="0"/>
        <v>11449</v>
      </c>
      <c r="N7" s="3022">
        <v>0</v>
      </c>
      <c r="O7" s="177">
        <f t="shared" ref="O7:O14" si="3">IF($N$5="成新度","——",ROUND(M7*N7,0))</f>
        <v>0</v>
      </c>
      <c r="P7" s="178">
        <f t="shared" ref="P7:P14" si="4">IF($N$5="成新度","——",M7-O7)</f>
        <v>11449</v>
      </c>
      <c r="Q7" s="3471">
        <v>0.15</v>
      </c>
      <c r="R7" s="179">
        <f>SUMIF('数据-汇总表'!C$19:C$33,A7,'数据-汇总表'!R$19:R$33)</f>
        <v>18791.89</v>
      </c>
      <c r="S7" s="132">
        <f>IF('数据-汇总表'!$I$17="按面积比例",SUMIF('数据-汇总表'!C$19:C$33,A7,'数据-汇总表'!K$19:K$33),SUMIF('数据-汇总表'!C$19:C$33,A7,'数据-汇总表'!N$19:N$33))</f>
        <v>5610.62</v>
      </c>
      <c r="T7" s="2229">
        <f t="shared" ref="T7:T13" si="5">IF($T$4="按面积比例",IF(ISERROR(ROUND($M$14*S7/S$16,0)),"0",ROUND($M$14*S7/S$16,0)),"需自行计算录入")</f>
        <v>1122</v>
      </c>
      <c r="U7" s="180"/>
      <c r="V7" s="181"/>
      <c r="W7" s="181"/>
      <c r="X7" s="2316"/>
      <c r="Y7" s="182"/>
      <c r="Z7" s="183"/>
      <c r="AA7" s="176"/>
      <c r="AB7" s="176"/>
      <c r="AC7" s="2319"/>
      <c r="AD7" s="184"/>
      <c r="AE7" s="969">
        <f t="shared" ref="AE7:AE13" ca="1" si="6">IF(AN7="",0,SUMIF(INDIRECT("'"&amp;AN7&amp;"'"&amp;"!E:E"),$AE$5,INDIRECT("'"&amp;AN7&amp;"'"&amp;"!F:F")))</f>
        <v>0</v>
      </c>
      <c r="AF7" s="141"/>
      <c r="AG7" s="1210">
        <f t="shared" ref="AG7:AG13" si="7">IF(AF7="",0,AE7-AF7)</f>
        <v>0</v>
      </c>
      <c r="AH7" s="141"/>
      <c r="AI7" s="187"/>
      <c r="AJ7" s="188"/>
      <c r="AK7" s="189"/>
      <c r="AL7" s="190"/>
      <c r="AM7" s="2385"/>
      <c r="AN7" s="2387"/>
      <c r="AO7" s="1995"/>
      <c r="AP7" s="1201">
        <f t="shared" ref="AP7:AP13" si="8">ROUND(1-1/(1+H7)^F7,3)</f>
        <v>0.93600000000000005</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3" customFormat="1" ht="14.25">
      <c r="A8" s="2297" t="str">
        <f>'数据-汇总表'!C21</f>
        <v>商业</v>
      </c>
      <c r="B8" s="2332" t="str">
        <f t="shared" si="1"/>
        <v>经营性</v>
      </c>
      <c r="C8" s="173" t="s">
        <v>2994</v>
      </c>
      <c r="D8" s="2303">
        <f>SUMIF(项目基本情况!D$15:I$15,C8,项目基本情况!D$18:I$18)</f>
        <v>40</v>
      </c>
      <c r="E8" s="2304">
        <f>IF(B8="","",SUMIF(项目基本情况!D$15:I$15,C8,项目基本情况!D$17:I$17))</f>
        <v>57936</v>
      </c>
      <c r="F8" s="174">
        <f>SUMIF(项目基本情况!D$15:I$15,C8,项目基本情况!D$19:I$19)</f>
        <v>39.97</v>
      </c>
      <c r="G8" s="175">
        <f t="shared" si="2"/>
        <v>1</v>
      </c>
      <c r="H8" s="3021">
        <v>0.05</v>
      </c>
      <c r="I8" s="3021">
        <v>5.5E-2</v>
      </c>
      <c r="J8" s="176">
        <v>8.5000000000000006E-2</v>
      </c>
      <c r="K8" s="179">
        <f>SUMIF('数据-汇总表'!C$19:C$33,'数据-取费表'!A8,'数据-汇总表'!E$19:E$33)</f>
        <v>3738</v>
      </c>
      <c r="L8" s="3479">
        <v>2600</v>
      </c>
      <c r="M8" s="177">
        <f>ROUND(K8*L8/10000,0)</f>
        <v>972</v>
      </c>
      <c r="N8" s="3022">
        <v>0</v>
      </c>
      <c r="O8" s="177">
        <f t="shared" si="3"/>
        <v>0</v>
      </c>
      <c r="P8" s="178">
        <f t="shared" si="4"/>
        <v>972</v>
      </c>
      <c r="Q8" s="3471">
        <v>0.15</v>
      </c>
      <c r="R8" s="179">
        <f>SUMIF('数据-汇总表'!C$19:C$33,A8,'数据-汇总表'!R$19:R$33)</f>
        <v>3428.8799999999997</v>
      </c>
      <c r="S8" s="132">
        <f>IF('数据-汇总表'!$I$17="按面积比例",SUMIF('数据-汇总表'!C$19:C$33,A8,'数据-汇总表'!K$19:K$33),SUMIF('数据-汇总表'!C$19:C$33,A8,'数据-汇总表'!N$19:N$33))</f>
        <v>512.9</v>
      </c>
      <c r="T8" s="2229">
        <f t="shared" si="5"/>
        <v>103</v>
      </c>
      <c r="U8" s="180">
        <v>2.5</v>
      </c>
      <c r="V8" s="3476">
        <v>3.5000000000000003E-2</v>
      </c>
      <c r="W8" s="181">
        <v>0.1</v>
      </c>
      <c r="X8" s="2316"/>
      <c r="Y8" s="182">
        <v>1</v>
      </c>
      <c r="Z8" s="183"/>
      <c r="AA8" s="176"/>
      <c r="AB8" s="176"/>
      <c r="AC8" s="2319"/>
      <c r="AD8" s="184"/>
      <c r="AE8" s="969">
        <f t="shared" ca="1" si="6"/>
        <v>38.47</v>
      </c>
      <c r="AF8" s="141"/>
      <c r="AG8" s="1210">
        <f t="shared" si="7"/>
        <v>0</v>
      </c>
      <c r="AH8" s="141"/>
      <c r="AI8" s="187">
        <v>365</v>
      </c>
      <c r="AJ8" s="188"/>
      <c r="AK8" s="189">
        <v>1.4999999999999999E-2</v>
      </c>
      <c r="AL8" s="190">
        <v>1.5E-3</v>
      </c>
      <c r="AM8" s="2385">
        <v>0.01</v>
      </c>
      <c r="AN8" s="2387" t="s">
        <v>3191</v>
      </c>
      <c r="AO8" s="1995"/>
      <c r="AP8" s="1201">
        <f t="shared" si="8"/>
        <v>0.85799999999999998</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3" customFormat="1" ht="14.25">
      <c r="A9" s="2297" t="str">
        <f>'数据-汇总表'!C22</f>
        <v>车位</v>
      </c>
      <c r="B9" s="2332" t="str">
        <f t="shared" si="1"/>
        <v>经营性</v>
      </c>
      <c r="C9" s="173" t="s">
        <v>2995</v>
      </c>
      <c r="D9" s="2303">
        <f>SUMIF(项目基本情况!D$15:I$15,C9,项目基本情况!D$18:I$18)</f>
        <v>50</v>
      </c>
      <c r="E9" s="2304">
        <f>IF(B9="","",SUMIF(项目基本情况!D$15:I$15,C9,项目基本情况!D$17:I$17))</f>
        <v>61589</v>
      </c>
      <c r="F9" s="174">
        <f>SUMIF(项目基本情况!D$15:I$15,C9,项目基本情况!D$19:I$19)</f>
        <v>49.98</v>
      </c>
      <c r="G9" s="175">
        <f t="shared" si="2"/>
        <v>1</v>
      </c>
      <c r="H9" s="3021">
        <v>4.4999999999999998E-2</v>
      </c>
      <c r="I9" s="3021">
        <v>5.5E-2</v>
      </c>
      <c r="J9" s="176">
        <v>8.5000000000000006E-2</v>
      </c>
      <c r="K9" s="179">
        <f>SUMIF('数据-汇总表'!C$19:C$33,'数据-取费表'!A9,'数据-汇总表'!E$19:E$33)</f>
        <v>28104</v>
      </c>
      <c r="L9" s="3480">
        <v>2000</v>
      </c>
      <c r="M9" s="177">
        <f t="shared" si="0"/>
        <v>5621</v>
      </c>
      <c r="N9" s="3022">
        <v>0</v>
      </c>
      <c r="O9" s="177">
        <f t="shared" si="3"/>
        <v>0</v>
      </c>
      <c r="P9" s="178">
        <f t="shared" si="4"/>
        <v>5621</v>
      </c>
      <c r="Q9" s="192">
        <v>0.03</v>
      </c>
      <c r="R9" s="179">
        <f>SUMIF('数据-汇总表'!C$19:C$33,A9,'数据-汇总表'!R$19:R$33)</f>
        <v>12605.28</v>
      </c>
      <c r="S9" s="132">
        <f>IF('数据-汇总表'!$I$17="按面积比例",SUMIF('数据-汇总表'!C$19:C$33,A9,'数据-汇总表'!K$19:K$33),SUMIF('数据-汇总表'!C$19:C$33,A9,'数据-汇总表'!N$19:N$33))</f>
        <v>3856.22</v>
      </c>
      <c r="T9" s="2229">
        <f t="shared" si="5"/>
        <v>771</v>
      </c>
      <c r="U9" s="180">
        <v>0.8</v>
      </c>
      <c r="V9" s="181">
        <v>0.03</v>
      </c>
      <c r="W9" s="181">
        <v>0.1</v>
      </c>
      <c r="X9" s="2316"/>
      <c r="Y9" s="182">
        <v>1</v>
      </c>
      <c r="Z9" s="183"/>
      <c r="AA9" s="176"/>
      <c r="AB9" s="176"/>
      <c r="AC9" s="2319"/>
      <c r="AD9" s="184"/>
      <c r="AE9" s="969">
        <f t="shared" ca="1" si="6"/>
        <v>48.48</v>
      </c>
      <c r="AF9" s="141"/>
      <c r="AG9" s="1210">
        <f t="shared" si="7"/>
        <v>0</v>
      </c>
      <c r="AH9" s="141"/>
      <c r="AI9" s="187">
        <v>365</v>
      </c>
      <c r="AJ9" s="188"/>
      <c r="AK9" s="189">
        <v>1.4999999999999999E-2</v>
      </c>
      <c r="AL9" s="190">
        <v>1.5E-3</v>
      </c>
      <c r="AM9" s="2385">
        <v>0.01</v>
      </c>
      <c r="AN9" s="2387" t="s">
        <v>3190</v>
      </c>
      <c r="AO9" s="1995"/>
      <c r="AP9" s="1201">
        <f t="shared" si="8"/>
        <v>0.88900000000000001</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3" customFormat="1" ht="14.25">
      <c r="A10" s="2297" t="str">
        <f>'数据-汇总表'!C23</f>
        <v>人才公寓</v>
      </c>
      <c r="B10" s="2332" t="str">
        <f t="shared" si="1"/>
        <v>经营性</v>
      </c>
      <c r="C10" s="173" t="s">
        <v>923</v>
      </c>
      <c r="D10" s="2303">
        <f>SUMIF(项目基本情况!D$15:I$15,C10,项目基本情况!D$18:I$18)</f>
        <v>70</v>
      </c>
      <c r="E10" s="2304">
        <f>IF(B10="","",SUMIF(项目基本情况!D$15:I$15,C10,项目基本情况!D$17:I$17))</f>
        <v>68894</v>
      </c>
      <c r="F10" s="174">
        <f>SUMIF(项目基本情况!D$15:I$15,C10,项目基本情况!D$19:I$19)</f>
        <v>69.989999999999995</v>
      </c>
      <c r="G10" s="175">
        <f t="shared" si="2"/>
        <v>1</v>
      </c>
      <c r="H10" s="3021">
        <v>4.4999999999999998E-2</v>
      </c>
      <c r="I10" s="3021">
        <v>5.5E-2</v>
      </c>
      <c r="J10" s="176">
        <v>8.5000000000000006E-2</v>
      </c>
      <c r="K10" s="179">
        <f>SUMIF('数据-汇总表'!C$19:C$33,'数据-取费表'!A10,'数据-汇总表'!E$19:E$33)</f>
        <v>50129</v>
      </c>
      <c r="L10" s="3480">
        <v>2400</v>
      </c>
      <c r="M10" s="177">
        <f t="shared" si="0"/>
        <v>12031</v>
      </c>
      <c r="N10" s="3022">
        <v>0</v>
      </c>
      <c r="O10" s="177">
        <f t="shared" si="3"/>
        <v>0</v>
      </c>
      <c r="P10" s="178">
        <f t="shared" si="4"/>
        <v>12031</v>
      </c>
      <c r="Q10" s="3475">
        <v>0.03</v>
      </c>
      <c r="R10" s="179">
        <f>SUMIF('数据-汇总表'!C$19:C$33,A10,'数据-汇总表'!R$19:R$33)</f>
        <v>22483.99</v>
      </c>
      <c r="S10" s="132">
        <f>IF('数据-汇总表'!$I$17="按面积比例",SUMIF('数据-汇总表'!C$19:C$33,A10,'数据-汇总表'!K$19:K$33),SUMIF('数据-汇总表'!C$19:C$33,A10,'数据-汇总表'!N$19:N$33))</f>
        <v>6878.32</v>
      </c>
      <c r="T10" s="2229">
        <f t="shared" si="5"/>
        <v>1376</v>
      </c>
      <c r="U10" s="180"/>
      <c r="V10" s="181"/>
      <c r="W10" s="181"/>
      <c r="X10" s="2316"/>
      <c r="Y10" s="182"/>
      <c r="Z10" s="183"/>
      <c r="AA10" s="176"/>
      <c r="AB10" s="176"/>
      <c r="AC10" s="2319"/>
      <c r="AD10" s="184"/>
      <c r="AE10" s="969">
        <f t="shared" ca="1" si="6"/>
        <v>0</v>
      </c>
      <c r="AF10" s="141"/>
      <c r="AG10" s="1210">
        <f t="shared" si="7"/>
        <v>0</v>
      </c>
      <c r="AH10" s="141"/>
      <c r="AI10" s="187"/>
      <c r="AJ10" s="188"/>
      <c r="AK10" s="189"/>
      <c r="AL10" s="190"/>
      <c r="AM10" s="2385"/>
      <c r="AN10" s="2387"/>
      <c r="AO10" s="1995"/>
      <c r="AP10" s="1201">
        <f t="shared" si="8"/>
        <v>0.95399999999999996</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3" customFormat="1" ht="14.25">
      <c r="A11" s="2297">
        <f>'数据-汇总表'!C24</f>
        <v>0</v>
      </c>
      <c r="B11" s="2332" t="str">
        <f t="shared" si="1"/>
        <v/>
      </c>
      <c r="C11" s="173"/>
      <c r="D11" s="2303">
        <f>SUMIF(项目基本情况!D$15:I$15,C11,项目基本情况!D$18:I$18)</f>
        <v>0</v>
      </c>
      <c r="E11" s="230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3022">
        <v>0</v>
      </c>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9">
        <f t="shared" si="5"/>
        <v>0</v>
      </c>
      <c r="U11" s="185"/>
      <c r="V11" s="176"/>
      <c r="W11" s="176"/>
      <c r="X11" s="2319"/>
      <c r="Y11" s="182"/>
      <c r="Z11" s="194"/>
      <c r="AA11" s="176"/>
      <c r="AB11" s="176"/>
      <c r="AC11" s="2319"/>
      <c r="AD11" s="184"/>
      <c r="AE11" s="969">
        <f t="shared" ca="1" si="6"/>
        <v>0</v>
      </c>
      <c r="AF11" s="141"/>
      <c r="AG11" s="1210">
        <f t="shared" si="7"/>
        <v>0</v>
      </c>
      <c r="AH11" s="141"/>
      <c r="AI11" s="187"/>
      <c r="AJ11" s="188"/>
      <c r="AK11" s="195"/>
      <c r="AL11" s="196"/>
      <c r="AM11" s="1812"/>
      <c r="AN11" s="2387"/>
      <c r="AO11" s="1995"/>
      <c r="AP11" s="1201">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3" customFormat="1" ht="14.25">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3022">
        <v>0</v>
      </c>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9">
        <f t="shared" si="5"/>
        <v>0</v>
      </c>
      <c r="U12" s="185"/>
      <c r="V12" s="176"/>
      <c r="W12" s="176"/>
      <c r="X12" s="2319"/>
      <c r="Y12" s="182"/>
      <c r="Z12" s="194"/>
      <c r="AA12" s="176"/>
      <c r="AB12" s="176"/>
      <c r="AC12" s="2319"/>
      <c r="AD12" s="184"/>
      <c r="AE12" s="969">
        <f t="shared" ca="1" si="6"/>
        <v>0</v>
      </c>
      <c r="AF12" s="141"/>
      <c r="AG12" s="1210">
        <f t="shared" si="7"/>
        <v>0</v>
      </c>
      <c r="AH12" s="141"/>
      <c r="AI12" s="187"/>
      <c r="AJ12" s="188"/>
      <c r="AK12" s="195"/>
      <c r="AL12" s="196"/>
      <c r="AM12" s="1812"/>
      <c r="AN12" s="2387"/>
      <c r="AO12" s="1995"/>
      <c r="AP12" s="1201">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3" customFormat="1" ht="14.25">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3022">
        <v>0</v>
      </c>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9">
        <f t="shared" si="5"/>
        <v>0</v>
      </c>
      <c r="U13" s="180"/>
      <c r="V13" s="181"/>
      <c r="W13" s="181"/>
      <c r="X13" s="2316"/>
      <c r="Y13" s="182"/>
      <c r="Z13" s="183"/>
      <c r="AA13" s="176"/>
      <c r="AB13" s="176"/>
      <c r="AC13" s="2319"/>
      <c r="AD13" s="184"/>
      <c r="AE13" s="969">
        <f t="shared" ca="1" si="6"/>
        <v>0</v>
      </c>
      <c r="AF13" s="141"/>
      <c r="AG13" s="1210">
        <f t="shared" si="7"/>
        <v>0</v>
      </c>
      <c r="AH13" s="141"/>
      <c r="AI13" s="187"/>
      <c r="AJ13" s="188"/>
      <c r="AK13" s="189"/>
      <c r="AL13" s="190"/>
      <c r="AM13" s="2385"/>
      <c r="AN13" s="2387"/>
      <c r="AO13" s="1995"/>
      <c r="AP13" s="1201">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3" customFormat="1" ht="14.25">
      <c r="A14" s="2298" t="s">
        <v>2314</v>
      </c>
      <c r="B14" s="2301" t="s">
        <v>1680</v>
      </c>
      <c r="C14" s="2302" t="s">
        <v>2314</v>
      </c>
      <c r="D14" s="2303"/>
      <c r="E14" s="2304"/>
      <c r="F14" s="174"/>
      <c r="G14" s="175"/>
      <c r="H14" s="2305"/>
      <c r="I14" s="2305"/>
      <c r="J14" s="2305"/>
      <c r="K14" s="179">
        <f>SUMIF('数据-汇总表'!C$19:C$33,'数据-取费表'!A14,'数据-汇总表'!E$19:E$33)</f>
        <v>21565</v>
      </c>
      <c r="L14" s="3480">
        <v>2000</v>
      </c>
      <c r="M14" s="177">
        <f t="shared" si="0"/>
        <v>4313</v>
      </c>
      <c r="N14" s="3022">
        <v>0</v>
      </c>
      <c r="O14" s="177">
        <f t="shared" si="3"/>
        <v>0</v>
      </c>
      <c r="P14" s="178">
        <f t="shared" si="4"/>
        <v>4313</v>
      </c>
      <c r="Q14" s="2313"/>
      <c r="R14" s="179"/>
      <c r="S14" s="132"/>
      <c r="T14" s="2312"/>
      <c r="U14" s="971"/>
      <c r="V14" s="2315"/>
      <c r="W14" s="2315"/>
      <c r="X14" s="2316"/>
      <c r="Y14" s="2317"/>
      <c r="Z14" s="136"/>
      <c r="AA14" s="2318"/>
      <c r="AB14" s="2318"/>
      <c r="AC14" s="2319"/>
      <c r="AD14" s="2316"/>
      <c r="AE14" s="969"/>
      <c r="AF14" s="2291"/>
      <c r="AG14" s="1210"/>
      <c r="AH14" s="2291"/>
      <c r="AI14" s="1566"/>
      <c r="AJ14" s="1566"/>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3" customFormat="1" ht="27">
      <c r="A15" s="2307" t="s">
        <v>2316</v>
      </c>
      <c r="B15" s="2301" t="s">
        <v>1680</v>
      </c>
      <c r="C15" s="2302" t="s">
        <v>2315</v>
      </c>
      <c r="D15" s="2303"/>
      <c r="E15" s="2304"/>
      <c r="F15" s="174"/>
      <c r="G15" s="175"/>
      <c r="H15" s="2305"/>
      <c r="I15" s="2305"/>
      <c r="J15" s="2305"/>
      <c r="K15" s="179">
        <f>SUMIF('数据-汇总表'!C$19:C$33,'数据-取费表'!A15,'数据-汇总表'!E$19:E$33)</f>
        <v>2062</v>
      </c>
      <c r="L15" s="2311"/>
      <c r="M15" s="177"/>
      <c r="N15" s="2314"/>
      <c r="O15" s="177"/>
      <c r="P15" s="178"/>
      <c r="Q15" s="2313"/>
      <c r="R15" s="179"/>
      <c r="S15" s="132"/>
      <c r="T15" s="2312"/>
      <c r="U15" s="971"/>
      <c r="V15" s="2315"/>
      <c r="W15" s="2315"/>
      <c r="X15" s="2316"/>
      <c r="Y15" s="2317"/>
      <c r="Z15" s="136"/>
      <c r="AA15" s="2318"/>
      <c r="AB15" s="2318"/>
      <c r="AC15" s="2319"/>
      <c r="AD15" s="2316"/>
      <c r="AE15" s="969"/>
      <c r="AF15" s="2291"/>
      <c r="AG15" s="1210"/>
      <c r="AH15" s="2291"/>
      <c r="AI15" s="1566"/>
      <c r="AJ15" s="1566"/>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3" customFormat="1" ht="15.75" thickBot="1">
      <c r="A16" s="197" t="s">
        <v>262</v>
      </c>
      <c r="B16" s="198"/>
      <c r="C16" s="199"/>
      <c r="D16" s="200"/>
      <c r="E16" s="198"/>
      <c r="F16" s="198"/>
      <c r="G16" s="201">
        <f>ROUND(SUMPRODUCT(G6:G13,K6:K13)/SUMPRODUCT((G6:G13&gt;0)*(K6:K13)),3)</f>
        <v>1</v>
      </c>
      <c r="H16" s="202">
        <f>ROUND(SUMPRODUCT(H6:H13,K6:K13)/SUMPRODUCT((H6:H13&gt;0)*(K6:K13)),3)</f>
        <v>4.2999999999999997E-2</v>
      </c>
      <c r="I16" s="203"/>
      <c r="J16" s="203"/>
      <c r="K16" s="204">
        <f>SUM(K6:K15)</f>
        <v>180792</v>
      </c>
      <c r="L16" s="205">
        <f>ROUND(M16*10000/SUM(K6:K14),0)</f>
        <v>2500</v>
      </c>
      <c r="M16" s="205">
        <f>SUM(M6:M14)</f>
        <v>44677</v>
      </c>
      <c r="N16" s="206">
        <f>ROUND(SUMPRODUCT(M6:M14,N6:N14)/M16,3)</f>
        <v>0</v>
      </c>
      <c r="O16" s="205">
        <f>SUM(O6:O14)</f>
        <v>0</v>
      </c>
      <c r="P16" s="205">
        <f>SUM(P6:P14)</f>
        <v>44677</v>
      </c>
      <c r="Q16" s="207">
        <f>ROUND(SUMPRODUCT(Q6:Q13,K6:K13)/SUMPRODUCT((Q6:Q13&gt;0)*(K6:K13)),2)</f>
        <v>7.0000000000000007E-2</v>
      </c>
      <c r="R16" s="2306">
        <f>SUM(R6:R13)</f>
        <v>73075.19</v>
      </c>
      <c r="S16" s="208">
        <f>SUM(S6:S13)</f>
        <v>21565</v>
      </c>
      <c r="T16" s="209">
        <f>IF(SUMIF(T6:T13,"&lt;9E307")=M14,SUMIF(T6:T13,"&lt;9E307"),"有误，请检查")</f>
        <v>4313</v>
      </c>
      <c r="U16" s="210"/>
      <c r="V16" s="211"/>
      <c r="W16" s="211"/>
      <c r="X16" s="214"/>
      <c r="Y16" s="212"/>
      <c r="Z16" s="213"/>
      <c r="AA16" s="211"/>
      <c r="AB16" s="211"/>
      <c r="AC16" s="214"/>
      <c r="AD16" s="214"/>
      <c r="AE16" s="210"/>
      <c r="AF16" s="211"/>
      <c r="AG16" s="212"/>
      <c r="AH16" s="211"/>
      <c r="AI16" s="213"/>
      <c r="AJ16" s="213"/>
      <c r="AK16" s="211"/>
      <c r="AL16" s="211"/>
      <c r="AM16" s="212"/>
      <c r="AN16" s="1995"/>
      <c r="AO16" s="1995"/>
      <c r="AP16" s="1201">
        <f>ROUND(SUMPRODUCT(AP6:AP13,K6:K13)/SUMPRODUCT((AP6:AP13&gt;0)*(K6:K13)),3)</f>
        <v>0.93100000000000005</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1"/>
      <c r="B17" s="1199"/>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50" t="s">
        <v>263</v>
      </c>
      <c r="B18" s="1201"/>
      <c r="C18" s="1987"/>
      <c r="D18" s="1988"/>
      <c r="E18" s="1987"/>
      <c r="F18" s="1987"/>
      <c r="G18" s="1987"/>
      <c r="H18" s="1987"/>
      <c r="I18" s="1987"/>
      <c r="J18" s="1987"/>
      <c r="K18" s="3339" t="s">
        <v>3178</v>
      </c>
      <c r="L18" s="3583" t="s">
        <v>3179</v>
      </c>
      <c r="M18" s="3583"/>
      <c r="N18" s="3583"/>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6" t="s">
        <v>264</v>
      </c>
      <c r="B19" s="217">
        <v>0</v>
      </c>
      <c r="C19" s="2359" t="s">
        <v>2336</v>
      </c>
      <c r="D19" s="1988"/>
      <c r="E19" s="1987"/>
      <c r="F19" s="1987"/>
      <c r="G19" s="1987"/>
      <c r="H19" s="1987"/>
      <c r="I19" s="1987"/>
      <c r="J19" s="1987"/>
      <c r="K19" s="3340"/>
      <c r="L19" s="3341" t="s">
        <v>3180</v>
      </c>
      <c r="M19" s="3341" t="s">
        <v>3181</v>
      </c>
      <c r="N19" s="3341" t="s">
        <v>3182</v>
      </c>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8" t="s">
        <v>265</v>
      </c>
      <c r="B20" s="219">
        <v>1.5</v>
      </c>
      <c r="C20" s="2359" t="s">
        <v>2335</v>
      </c>
      <c r="D20" s="1988"/>
      <c r="E20" s="1987"/>
      <c r="F20" s="1987"/>
      <c r="G20" s="1987"/>
      <c r="H20" s="1987"/>
      <c r="I20" s="1987"/>
      <c r="J20" s="1987"/>
      <c r="K20" s="3342" t="s">
        <v>3183</v>
      </c>
      <c r="L20" s="3342" t="s">
        <v>3184</v>
      </c>
      <c r="M20" s="3342" t="s">
        <v>3185</v>
      </c>
      <c r="N20" s="3342" t="s">
        <v>3186</v>
      </c>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20" t="s">
        <v>266</v>
      </c>
      <c r="B21" s="219">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8" t="s">
        <v>267</v>
      </c>
      <c r="B22" s="221">
        <f>B19+B20</f>
        <v>1.5</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20" t="s">
        <v>268</v>
      </c>
      <c r="B23" s="221">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2" t="s">
        <v>269</v>
      </c>
      <c r="B24" s="223">
        <f>B20-B21</f>
        <v>1.5</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4"/>
      <c r="B25" s="1201"/>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9" t="s">
        <v>270</v>
      </c>
      <c r="B26" s="224" t="s">
        <v>271</v>
      </c>
      <c r="C26" s="1990" t="s">
        <v>272</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2" customFormat="1" ht="27.75">
      <c r="A27" s="225" t="s">
        <v>2338</v>
      </c>
      <c r="B27" s="226">
        <v>293</v>
      </c>
      <c r="C27" s="2362" t="s">
        <v>2342</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2" customFormat="1" ht="27.75">
      <c r="A28" s="227" t="s">
        <v>2339</v>
      </c>
      <c r="B28" s="228">
        <v>275</v>
      </c>
      <c r="C28" s="2361"/>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2" customFormat="1" ht="28.5" thickBot="1">
      <c r="A29" s="230" t="s">
        <v>2337</v>
      </c>
      <c r="B29" s="231"/>
      <c r="C29" s="1547" t="s">
        <v>2340</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2" customFormat="1" ht="27">
      <c r="A30" s="234" t="s">
        <v>273</v>
      </c>
      <c r="B30" s="975">
        <v>200</v>
      </c>
      <c r="C30" s="2361"/>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2" customFormat="1" ht="27">
      <c r="A31" s="227" t="s">
        <v>274</v>
      </c>
      <c r="B31" s="229">
        <f>B30-B32</f>
        <v>200</v>
      </c>
      <c r="C31" s="2362"/>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2" customFormat="1" ht="27.75" thickBot="1">
      <c r="A32" s="235" t="s">
        <v>275</v>
      </c>
      <c r="B32" s="3472">
        <v>0</v>
      </c>
      <c r="C32" s="2361"/>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2" customFormat="1" ht="14.25">
      <c r="A33" s="225" t="s">
        <v>278</v>
      </c>
      <c r="B33" s="1373">
        <v>0.03</v>
      </c>
      <c r="C33" s="2360" t="s">
        <v>2891</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7" t="s">
        <v>279</v>
      </c>
      <c r="B34" s="232">
        <v>0.02</v>
      </c>
      <c r="C34" s="2360" t="s">
        <v>2892</v>
      </c>
      <c r="D34" s="1988" t="s">
        <v>871</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7" t="s">
        <v>276</v>
      </c>
      <c r="B35" s="228">
        <v>200</v>
      </c>
      <c r="C35" s="2360" t="s">
        <v>2893</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30" t="s">
        <v>277</v>
      </c>
      <c r="B36" s="233">
        <v>1.4999999999999999E-2</v>
      </c>
      <c r="C36" s="2360" t="s">
        <v>2894</v>
      </c>
      <c r="D36" s="1985"/>
      <c r="E36" s="1199"/>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4" t="s">
        <v>280</v>
      </c>
      <c r="B37" s="3473">
        <v>1.4999999999999999E-2</v>
      </c>
      <c r="C37" s="2360" t="s">
        <v>2895</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7" t="s">
        <v>281</v>
      </c>
      <c r="B38" s="232">
        <v>0.01</v>
      </c>
      <c r="C38" s="2360" t="s">
        <v>2895</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484" t="s">
        <v>2456</v>
      </c>
      <c r="B39" s="798">
        <f ca="1">存贷款利率!C4</f>
        <v>1.4999999999999999E-2</v>
      </c>
      <c r="C39" s="2360"/>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484" t="s">
        <v>2457</v>
      </c>
      <c r="B40" s="2476">
        <f ca="1">存贷款利率!E2</f>
        <v>4.7500000000000001E-2</v>
      </c>
      <c r="C40" s="2360" t="s">
        <v>2341</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5" t="s">
        <v>282</v>
      </c>
      <c r="B41" s="236">
        <f>B42+B43</f>
        <v>5.6000000000000001E-2</v>
      </c>
      <c r="C41" s="2362"/>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6" t="s">
        <v>283</v>
      </c>
      <c r="B42" s="238">
        <v>0.05</v>
      </c>
      <c r="C42" s="3095">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6" t="s">
        <v>284</v>
      </c>
      <c r="B43" s="239">
        <f>B42*(B44+B45+B46)+B47</f>
        <v>6.000000000000001E-3</v>
      </c>
      <c r="C43" s="2362"/>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25">
      <c r="A44" s="237" t="s">
        <v>285</v>
      </c>
      <c r="B44" s="240">
        <v>7.0000000000000007E-2</v>
      </c>
      <c r="C44" s="2360" t="s">
        <v>2896</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7" t="s">
        <v>286</v>
      </c>
      <c r="B45" s="238">
        <v>0.03</v>
      </c>
      <c r="C45" s="2362" t="s">
        <v>2897</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7" t="s">
        <v>287</v>
      </c>
      <c r="B46" s="238">
        <v>0.02</v>
      </c>
      <c r="C46" s="2362" t="s">
        <v>2898</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1" t="s">
        <v>288</v>
      </c>
      <c r="B47" s="242">
        <v>0</v>
      </c>
      <c r="C47" s="3069" t="s">
        <v>2899</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3" t="s">
        <v>289</v>
      </c>
      <c r="B48" s="244">
        <v>0.04</v>
      </c>
      <c r="C48" s="3070" t="s">
        <v>2900</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5" t="s">
        <v>290</v>
      </c>
      <c r="B49" s="238">
        <v>5.0000000000000001E-4</v>
      </c>
      <c r="C49" s="3070" t="s">
        <v>2901</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5" t="s">
        <v>291</v>
      </c>
      <c r="B50" s="246">
        <v>1.2E-2</v>
      </c>
      <c r="C50" s="2361"/>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30" t="s">
        <v>292</v>
      </c>
      <c r="B51" s="247">
        <v>0.12</v>
      </c>
      <c r="C51" s="2361"/>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5" t="s">
        <v>293</v>
      </c>
      <c r="B52" s="248">
        <f>SUMIF(A54:A63,B53,B54:B63)</f>
        <v>7</v>
      </c>
      <c r="C52" s="2361"/>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7" t="s">
        <v>294</v>
      </c>
      <c r="B53" s="249" t="s">
        <v>1097</v>
      </c>
      <c r="C53" s="3071" t="s">
        <v>2902</v>
      </c>
      <c r="D53" s="3072" t="s">
        <v>2903</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74" t="s">
        <v>2904</v>
      </c>
      <c r="B54" s="186">
        <v>7</v>
      </c>
      <c r="C54" s="1989">
        <v>30</v>
      </c>
      <c r="D54" s="3073"/>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74" t="s">
        <v>2905</v>
      </c>
      <c r="B55" s="186"/>
      <c r="C55" s="1989">
        <v>24</v>
      </c>
      <c r="D55" s="3073"/>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74" t="s">
        <v>2906</v>
      </c>
      <c r="B56" s="186"/>
      <c r="C56" s="1989">
        <v>18</v>
      </c>
      <c r="D56" s="3073"/>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74" t="s">
        <v>2907</v>
      </c>
      <c r="B57" s="186"/>
      <c r="C57" s="1989">
        <v>12</v>
      </c>
      <c r="D57" s="3073"/>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74" t="s">
        <v>2908</v>
      </c>
      <c r="B58" s="186"/>
      <c r="C58" s="1989">
        <v>3</v>
      </c>
      <c r="D58" s="3073"/>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74" t="s">
        <v>2909</v>
      </c>
      <c r="B59" s="186"/>
      <c r="C59" s="1989">
        <v>1.5</v>
      </c>
      <c r="D59" s="3073"/>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74" t="s">
        <v>2910</v>
      </c>
      <c r="B60" s="186"/>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74" t="s">
        <v>2911</v>
      </c>
      <c r="B61" s="186"/>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74" t="s">
        <v>2912</v>
      </c>
      <c r="B62" s="186"/>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75" t="s">
        <v>2913</v>
      </c>
      <c r="B63" s="250"/>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1"/>
      <c r="D64" s="1994"/>
      <c r="K64" s="57"/>
      <c r="L64" s="57"/>
    </row>
    <row r="65" spans="1:12" s="1993" customFormat="1">
      <c r="A65" s="251"/>
      <c r="D65" s="1994"/>
      <c r="K65" s="57"/>
      <c r="L65" s="57"/>
    </row>
    <row r="66" spans="1:12" s="1993" customFormat="1">
      <c r="A66" s="251"/>
      <c r="D66" s="1994"/>
      <c r="K66" s="57"/>
      <c r="L66" s="57"/>
    </row>
    <row r="67" spans="1:12" s="1993" customFormat="1">
      <c r="A67" s="251"/>
      <c r="D67" s="1994"/>
      <c r="K67" s="57"/>
      <c r="L67" s="57"/>
    </row>
    <row r="68" spans="1:12" s="1993" customFormat="1">
      <c r="A68" s="251"/>
      <c r="D68" s="1994"/>
      <c r="K68" s="57"/>
      <c r="L68" s="57"/>
    </row>
    <row r="69" spans="1:12" s="1993" customFormat="1">
      <c r="A69" s="251"/>
      <c r="D69" s="1994"/>
      <c r="K69" s="57"/>
      <c r="L69" s="57"/>
    </row>
    <row r="70" spans="1:12" s="1993" customFormat="1">
      <c r="A70" s="251"/>
      <c r="D70" s="1994"/>
      <c r="K70" s="57"/>
      <c r="L70" s="57"/>
    </row>
    <row r="71" spans="1:12" s="1993" customFormat="1">
      <c r="A71" s="251"/>
      <c r="D71" s="1994"/>
      <c r="K71" s="57"/>
      <c r="L71" s="57"/>
    </row>
    <row r="72" spans="1:12" s="1993" customFormat="1">
      <c r="A72" s="251"/>
      <c r="D72" s="1994"/>
      <c r="K72" s="57"/>
      <c r="L72" s="57"/>
    </row>
    <row r="73" spans="1:12" s="1993" customFormat="1">
      <c r="A73" s="251"/>
      <c r="D73" s="1994"/>
      <c r="K73" s="57"/>
      <c r="L73" s="57"/>
    </row>
    <row r="74" spans="1:12" s="1993" customFormat="1">
      <c r="A74" s="251"/>
      <c r="D74" s="1994"/>
      <c r="K74" s="57"/>
      <c r="L74" s="57"/>
    </row>
    <row r="75" spans="1:12" s="1993" customFormat="1">
      <c r="A75" s="251"/>
      <c r="D75" s="1994"/>
      <c r="K75" s="57"/>
      <c r="L75" s="57"/>
    </row>
    <row r="76" spans="1:12" s="1993" customFormat="1">
      <c r="A76" s="251"/>
      <c r="D76" s="1994"/>
      <c r="K76" s="57"/>
      <c r="L76" s="57"/>
    </row>
    <row r="77" spans="1:12" s="1993" customFormat="1">
      <c r="A77" s="251"/>
      <c r="D77" s="1994"/>
      <c r="K77" s="57"/>
      <c r="L77" s="57"/>
    </row>
    <row r="78" spans="1:12" s="1993" customFormat="1">
      <c r="A78" s="251"/>
      <c r="D78" s="1994"/>
      <c r="K78" s="57"/>
      <c r="L78" s="57"/>
    </row>
    <row r="79" spans="1:12" s="1993" customFormat="1">
      <c r="A79" s="251"/>
      <c r="D79" s="1994"/>
      <c r="K79" s="57"/>
      <c r="L79" s="57"/>
    </row>
    <row r="80" spans="1:12" s="1993" customFormat="1">
      <c r="A80" s="251"/>
      <c r="D80" s="1994"/>
      <c r="K80" s="57"/>
      <c r="L80" s="57"/>
    </row>
    <row r="81" spans="1:12" s="1993" customFormat="1">
      <c r="A81" s="251"/>
      <c r="D81" s="1994"/>
      <c r="K81" s="57"/>
      <c r="L81" s="57"/>
    </row>
    <row r="82" spans="1:12" s="1993" customFormat="1">
      <c r="A82" s="251"/>
      <c r="D82" s="1994"/>
      <c r="K82" s="57"/>
      <c r="L82" s="57"/>
    </row>
    <row r="83" spans="1:12" s="1993" customFormat="1">
      <c r="A83" s="251"/>
      <c r="D83" s="1994"/>
      <c r="K83" s="57"/>
      <c r="L83" s="57"/>
    </row>
    <row r="84" spans="1:12" s="1993" customFormat="1">
      <c r="A84" s="251"/>
      <c r="D84" s="1994"/>
      <c r="K84" s="57"/>
      <c r="L84" s="57"/>
    </row>
    <row r="85" spans="1:12" s="1993" customFormat="1">
      <c r="A85" s="251"/>
      <c r="D85" s="1994"/>
      <c r="K85" s="57"/>
      <c r="L85" s="57"/>
    </row>
    <row r="86" spans="1:12" s="1993" customFormat="1">
      <c r="A86" s="251"/>
      <c r="D86" s="1994"/>
      <c r="K86" s="57"/>
      <c r="L86" s="57"/>
    </row>
    <row r="87" spans="1:12" s="1993" customFormat="1">
      <c r="A87" s="251"/>
      <c r="D87" s="1994"/>
      <c r="K87" s="57"/>
      <c r="L87" s="57"/>
    </row>
    <row r="88" spans="1:12" s="1993" customFormat="1">
      <c r="A88" s="251"/>
      <c r="D88" s="1994"/>
      <c r="K88" s="57"/>
      <c r="L88" s="57"/>
    </row>
    <row r="89" spans="1:12" s="1993" customFormat="1">
      <c r="A89" s="251"/>
      <c r="D89" s="1994"/>
      <c r="K89" s="57"/>
      <c r="L89" s="57"/>
    </row>
    <row r="90" spans="1:12" s="1993" customFormat="1">
      <c r="A90" s="251"/>
      <c r="D90" s="1994"/>
      <c r="K90" s="57"/>
      <c r="L90" s="57"/>
    </row>
    <row r="91" spans="1:12" s="1993" customFormat="1">
      <c r="A91" s="251"/>
      <c r="D91" s="1994"/>
      <c r="K91" s="57"/>
      <c r="L91" s="57"/>
    </row>
    <row r="92" spans="1:12" s="1993" customFormat="1">
      <c r="A92" s="251"/>
      <c r="D92" s="1994"/>
      <c r="K92" s="57"/>
      <c r="L92" s="57"/>
    </row>
    <row r="93" spans="1:12" s="1993" customFormat="1">
      <c r="A93" s="251"/>
      <c r="D93" s="1994"/>
      <c r="K93" s="57"/>
      <c r="L93" s="57"/>
    </row>
    <row r="94" spans="1:12" s="1993" customFormat="1">
      <c r="A94" s="251"/>
      <c r="D94" s="1994"/>
      <c r="K94" s="57"/>
      <c r="L94" s="57"/>
    </row>
    <row r="95" spans="1:12" s="1993" customFormat="1">
      <c r="A95" s="251"/>
      <c r="D95" s="1994"/>
      <c r="K95" s="57"/>
      <c r="L95" s="57"/>
    </row>
    <row r="96" spans="1:12" s="1993" customFormat="1">
      <c r="A96" s="251"/>
      <c r="D96" s="1994"/>
      <c r="K96" s="57"/>
      <c r="L96" s="57"/>
    </row>
    <row r="97" spans="1:12" s="1993" customFormat="1">
      <c r="A97" s="251"/>
      <c r="D97" s="1994"/>
      <c r="K97" s="57"/>
      <c r="L97" s="57"/>
    </row>
    <row r="98" spans="1:12" s="1993" customFormat="1">
      <c r="A98" s="251"/>
      <c r="D98" s="1994"/>
      <c r="K98" s="57"/>
      <c r="L98" s="57"/>
    </row>
    <row r="99" spans="1:12" s="1993" customFormat="1">
      <c r="A99" s="251"/>
      <c r="D99" s="1994"/>
      <c r="K99" s="57"/>
      <c r="L99" s="57"/>
    </row>
    <row r="100" spans="1:12" s="1993" customFormat="1">
      <c r="A100" s="251"/>
      <c r="D100" s="1994"/>
      <c r="K100" s="57"/>
      <c r="L100" s="57"/>
    </row>
    <row r="101" spans="1:12" s="1993" customFormat="1">
      <c r="A101" s="251"/>
      <c r="D101" s="1994"/>
      <c r="K101" s="57"/>
      <c r="L101" s="57"/>
    </row>
    <row r="102" spans="1:12" s="1993" customFormat="1">
      <c r="A102" s="251"/>
      <c r="D102" s="1994"/>
      <c r="K102" s="57"/>
      <c r="L102" s="57"/>
    </row>
    <row r="103" spans="1:12" s="1993" customFormat="1">
      <c r="A103" s="251"/>
      <c r="D103" s="1994"/>
      <c r="K103" s="57"/>
      <c r="L103" s="57"/>
    </row>
    <row r="104" spans="1:12" s="1993" customFormat="1">
      <c r="A104" s="251"/>
      <c r="D104" s="1994"/>
      <c r="K104" s="57"/>
      <c r="L104" s="57"/>
    </row>
    <row r="105" spans="1:12" s="1993" customFormat="1">
      <c r="A105" s="251"/>
      <c r="D105" s="1994"/>
      <c r="K105" s="57"/>
      <c r="L105" s="57"/>
    </row>
    <row r="106" spans="1:12" s="1993" customFormat="1">
      <c r="A106" s="251"/>
      <c r="D106" s="1994"/>
      <c r="K106" s="57"/>
      <c r="L106" s="57"/>
    </row>
    <row r="107" spans="1:12" s="1993" customFormat="1">
      <c r="A107" s="251"/>
      <c r="D107" s="1994"/>
      <c r="K107" s="57"/>
      <c r="L107" s="57"/>
    </row>
    <row r="108" spans="1:12" s="1993" customFormat="1">
      <c r="A108" s="251"/>
      <c r="D108" s="1994"/>
      <c r="K108" s="57"/>
      <c r="L108" s="57"/>
    </row>
    <row r="109" spans="1:12" s="1993" customFormat="1">
      <c r="A109" s="251"/>
      <c r="D109" s="1994"/>
      <c r="K109" s="57"/>
      <c r="L109" s="57"/>
    </row>
    <row r="110" spans="1:12" s="1993" customFormat="1">
      <c r="A110" s="251"/>
      <c r="D110" s="1994"/>
      <c r="K110" s="57"/>
      <c r="L110" s="57"/>
    </row>
    <row r="111" spans="1:12" s="1993" customFormat="1">
      <c r="A111" s="251"/>
      <c r="D111" s="1994"/>
      <c r="K111" s="57"/>
      <c r="L111" s="57"/>
    </row>
    <row r="112" spans="1:12" s="1993" customFormat="1">
      <c r="A112" s="251"/>
      <c r="D112" s="1994"/>
      <c r="K112" s="57"/>
      <c r="L112" s="57"/>
    </row>
    <row r="113" spans="1:12" s="1993" customFormat="1">
      <c r="A113" s="251"/>
      <c r="D113" s="1994"/>
      <c r="K113" s="57"/>
      <c r="L113" s="57"/>
    </row>
    <row r="114" spans="1:12" s="1993" customFormat="1">
      <c r="A114" s="251"/>
      <c r="D114" s="1994"/>
      <c r="K114" s="57"/>
      <c r="L114" s="57"/>
    </row>
    <row r="115" spans="1:12" s="1993" customFormat="1">
      <c r="A115" s="251"/>
      <c r="D115" s="1994"/>
      <c r="K115" s="57"/>
      <c r="L115" s="57"/>
    </row>
    <row r="116" spans="1:12" s="1993" customFormat="1">
      <c r="A116" s="251"/>
      <c r="D116" s="1994"/>
      <c r="K116" s="57"/>
      <c r="L116" s="57"/>
    </row>
    <row r="117" spans="1:12" s="1993" customFormat="1">
      <c r="A117" s="251"/>
      <c r="D117" s="1994"/>
      <c r="K117" s="57"/>
      <c r="L117" s="57"/>
    </row>
    <row r="118" spans="1:12" s="1993" customFormat="1">
      <c r="A118" s="251"/>
      <c r="D118" s="1994"/>
      <c r="K118" s="57"/>
      <c r="L118" s="57"/>
    </row>
    <row r="119" spans="1:12" s="1993" customFormat="1">
      <c r="A119" s="251"/>
      <c r="D119" s="1994"/>
      <c r="K119" s="57"/>
      <c r="L119" s="57"/>
    </row>
    <row r="120" spans="1:12" s="1993" customFormat="1">
      <c r="A120" s="251"/>
      <c r="D120" s="1994"/>
      <c r="K120" s="57"/>
      <c r="L120" s="57"/>
    </row>
    <row r="121" spans="1:12" s="1993" customFormat="1">
      <c r="A121" s="251"/>
      <c r="D121" s="1994"/>
      <c r="K121" s="57"/>
      <c r="L121" s="57"/>
    </row>
    <row r="122" spans="1:12" s="1993" customFormat="1">
      <c r="A122" s="251"/>
      <c r="D122" s="1994"/>
      <c r="K122" s="57"/>
      <c r="L122" s="57"/>
    </row>
    <row r="123" spans="1:12" s="1993" customFormat="1">
      <c r="A123" s="251"/>
      <c r="D123" s="1994"/>
      <c r="K123" s="57"/>
      <c r="L123" s="57"/>
    </row>
    <row r="124" spans="1:12" s="1993" customFormat="1">
      <c r="A124" s="251"/>
      <c r="D124" s="1994"/>
      <c r="K124" s="57"/>
      <c r="L124" s="57"/>
    </row>
    <row r="125" spans="1:12" s="1993" customFormat="1">
      <c r="A125" s="251"/>
      <c r="D125" s="1994"/>
      <c r="K125" s="57"/>
      <c r="L125" s="57"/>
    </row>
    <row r="126" spans="1:12" s="1993" customFormat="1">
      <c r="A126" s="251"/>
      <c r="D126" s="1994"/>
      <c r="K126" s="57"/>
      <c r="L126" s="57"/>
    </row>
    <row r="127" spans="1:12" s="1993" customFormat="1">
      <c r="A127" s="251"/>
      <c r="D127" s="1994"/>
      <c r="K127" s="57"/>
      <c r="L127" s="57"/>
    </row>
    <row r="128" spans="1:12" s="1993" customFormat="1">
      <c r="A128" s="251"/>
      <c r="D128" s="1994"/>
      <c r="K128" s="57"/>
      <c r="L128" s="57"/>
    </row>
    <row r="129" spans="1:12" s="1993" customFormat="1">
      <c r="A129" s="251"/>
      <c r="D129" s="1994"/>
      <c r="K129" s="57"/>
      <c r="L129" s="57"/>
    </row>
    <row r="130" spans="1:12" s="1993" customFormat="1">
      <c r="A130" s="251"/>
      <c r="D130" s="1994"/>
      <c r="K130" s="57"/>
      <c r="L130" s="57"/>
    </row>
    <row r="131" spans="1:12" s="1993" customFormat="1">
      <c r="A131" s="251"/>
      <c r="D131" s="1994"/>
      <c r="K131" s="57"/>
      <c r="L131" s="57"/>
    </row>
    <row r="132" spans="1:12" s="1993" customFormat="1">
      <c r="A132" s="251"/>
      <c r="D132" s="1994"/>
      <c r="K132" s="57"/>
      <c r="L132" s="57"/>
    </row>
    <row r="133" spans="1:12" s="1993" customFormat="1">
      <c r="A133" s="251"/>
      <c r="D133" s="1994"/>
      <c r="K133" s="57"/>
      <c r="L133" s="57"/>
    </row>
    <row r="134" spans="1:12" s="1993" customFormat="1">
      <c r="A134" s="251"/>
      <c r="D134" s="1994"/>
      <c r="K134" s="57"/>
      <c r="L134" s="57"/>
    </row>
    <row r="135" spans="1:12" s="1993" customFormat="1">
      <c r="A135" s="251"/>
      <c r="D135" s="1994"/>
      <c r="K135" s="57"/>
      <c r="L135" s="57"/>
    </row>
    <row r="136" spans="1:12" s="1993" customFormat="1">
      <c r="A136" s="251"/>
      <c r="D136" s="1994"/>
      <c r="K136" s="57"/>
      <c r="L136" s="57"/>
    </row>
    <row r="137" spans="1:12" s="1993" customFormat="1">
      <c r="A137" s="251"/>
      <c r="D137" s="1994"/>
      <c r="K137" s="57"/>
      <c r="L137" s="57"/>
    </row>
    <row r="138" spans="1:12" s="1993" customFormat="1">
      <c r="A138" s="251"/>
      <c r="D138" s="1994"/>
      <c r="K138" s="57"/>
      <c r="L138" s="57"/>
    </row>
    <row r="139" spans="1:12" s="1993" customFormat="1">
      <c r="A139" s="251"/>
      <c r="D139" s="1994"/>
      <c r="K139" s="57"/>
      <c r="L139" s="57"/>
    </row>
    <row r="140" spans="1:12" s="1993" customFormat="1">
      <c r="A140" s="251"/>
      <c r="D140" s="1994"/>
      <c r="K140" s="57"/>
      <c r="L140" s="57"/>
    </row>
    <row r="141" spans="1:12" s="1993" customFormat="1">
      <c r="A141" s="251"/>
      <c r="D141" s="1994"/>
      <c r="K141" s="57"/>
      <c r="L141" s="57"/>
    </row>
    <row r="142" spans="1:12" s="1993" customFormat="1">
      <c r="A142" s="251"/>
      <c r="D142" s="1994"/>
      <c r="K142" s="57"/>
      <c r="L142" s="57"/>
    </row>
    <row r="143" spans="1:12" s="1993" customFormat="1">
      <c r="A143" s="251"/>
      <c r="D143" s="1994"/>
      <c r="K143" s="57"/>
      <c r="L143" s="57"/>
    </row>
    <row r="144" spans="1:12" s="1993" customFormat="1">
      <c r="A144" s="251"/>
      <c r="D144" s="1994"/>
      <c r="K144" s="57"/>
      <c r="L144" s="57"/>
    </row>
    <row r="145" spans="1:12" s="1993" customFormat="1">
      <c r="A145" s="251"/>
      <c r="D145" s="1994"/>
      <c r="K145" s="57"/>
      <c r="L145" s="57"/>
    </row>
    <row r="146" spans="1:12" s="1993" customFormat="1">
      <c r="A146" s="251"/>
      <c r="D146" s="1994"/>
      <c r="K146" s="57"/>
      <c r="L146" s="57"/>
    </row>
    <row r="147" spans="1:12" s="1993" customFormat="1">
      <c r="A147" s="251"/>
      <c r="D147" s="1994"/>
      <c r="K147" s="57"/>
      <c r="L147" s="57"/>
    </row>
    <row r="148" spans="1:12" s="1993" customFormat="1">
      <c r="A148" s="251"/>
      <c r="D148" s="1994"/>
      <c r="K148" s="57"/>
      <c r="L148" s="57"/>
    </row>
    <row r="149" spans="1:12" s="1993" customFormat="1">
      <c r="A149" s="251"/>
      <c r="D149" s="1994"/>
      <c r="K149" s="57"/>
      <c r="L149" s="57"/>
    </row>
    <row r="150" spans="1:12" s="1993" customFormat="1">
      <c r="A150" s="251"/>
      <c r="D150" s="1994"/>
      <c r="K150" s="57"/>
      <c r="L150" s="57"/>
    </row>
    <row r="151" spans="1:12" s="1993" customFormat="1">
      <c r="A151" s="251"/>
      <c r="D151" s="1994"/>
      <c r="K151" s="57"/>
      <c r="L151" s="57"/>
    </row>
    <row r="152" spans="1:12" s="1993" customFormat="1">
      <c r="A152" s="251"/>
      <c r="D152" s="1994"/>
      <c r="K152" s="57"/>
      <c r="L152" s="57"/>
    </row>
    <row r="153" spans="1:12" s="1993" customFormat="1">
      <c r="A153" s="251"/>
      <c r="D153" s="1994"/>
      <c r="K153" s="57"/>
      <c r="L153" s="57"/>
    </row>
    <row r="154" spans="1:12" s="1993" customFormat="1">
      <c r="A154" s="251"/>
      <c r="D154" s="1994"/>
      <c r="K154" s="57"/>
      <c r="L154" s="57"/>
    </row>
    <row r="155" spans="1:12" s="1993" customFormat="1">
      <c r="A155" s="251"/>
      <c r="D155" s="1994"/>
      <c r="K155" s="57"/>
      <c r="L155" s="57"/>
    </row>
    <row r="156" spans="1:12" s="1993" customFormat="1">
      <c r="A156" s="251"/>
      <c r="D156" s="1994"/>
      <c r="K156" s="57"/>
      <c r="L156" s="57"/>
    </row>
    <row r="157" spans="1:12" s="1993" customFormat="1">
      <c r="A157" s="251"/>
      <c r="D157" s="1994"/>
      <c r="K157" s="57"/>
      <c r="L157" s="57"/>
    </row>
    <row r="158" spans="1:12" s="1993" customFormat="1">
      <c r="A158" s="251"/>
      <c r="D158" s="1994"/>
      <c r="K158" s="57"/>
      <c r="L158" s="57"/>
    </row>
    <row r="159" spans="1:12" s="1993" customFormat="1">
      <c r="A159" s="251"/>
      <c r="D159" s="1994"/>
      <c r="K159" s="57"/>
      <c r="L159" s="57"/>
    </row>
    <row r="160" spans="1:12" s="1993" customFormat="1">
      <c r="A160" s="251"/>
      <c r="D160" s="1994"/>
      <c r="K160" s="57"/>
      <c r="L160" s="57"/>
    </row>
    <row r="161" spans="1:12" s="1993" customFormat="1">
      <c r="A161" s="251"/>
      <c r="D161" s="1994"/>
      <c r="K161" s="57"/>
      <c r="L161" s="57"/>
    </row>
    <row r="162" spans="1:12" s="1993" customFormat="1">
      <c r="A162" s="251"/>
      <c r="D162" s="1994"/>
      <c r="K162" s="57"/>
      <c r="L162" s="57"/>
    </row>
    <row r="163" spans="1:12" s="1993" customFormat="1">
      <c r="A163" s="251"/>
      <c r="D163" s="1994"/>
      <c r="K163" s="57"/>
      <c r="L163" s="57"/>
    </row>
    <row r="164" spans="1:12" s="1993" customFormat="1">
      <c r="A164" s="251"/>
      <c r="D164" s="1994"/>
      <c r="K164" s="57"/>
      <c r="L164" s="57"/>
    </row>
    <row r="165" spans="1:12" s="1993" customFormat="1">
      <c r="A165" s="251"/>
      <c r="D165" s="1994"/>
      <c r="K165" s="57"/>
      <c r="L165" s="57"/>
    </row>
    <row r="166" spans="1:12" s="1993" customFormat="1">
      <c r="A166" s="251"/>
      <c r="D166" s="1994"/>
      <c r="K166" s="57"/>
      <c r="L166" s="57"/>
    </row>
    <row r="167" spans="1:12" s="1993" customFormat="1">
      <c r="A167" s="251"/>
      <c r="D167" s="1994"/>
      <c r="K167" s="57"/>
      <c r="L167" s="57"/>
    </row>
    <row r="168" spans="1:12" s="1993" customFormat="1">
      <c r="A168" s="251"/>
      <c r="D168" s="1994"/>
      <c r="K168" s="57"/>
      <c r="L168" s="57"/>
    </row>
    <row r="169" spans="1:12" s="1993" customFormat="1">
      <c r="A169" s="251"/>
      <c r="D169" s="1994"/>
      <c r="K169" s="57"/>
      <c r="L169" s="57"/>
    </row>
    <row r="170" spans="1:12" s="1993" customFormat="1">
      <c r="A170" s="251"/>
      <c r="D170" s="1994"/>
      <c r="K170" s="57"/>
      <c r="L170" s="57"/>
    </row>
    <row r="171" spans="1:12" s="1993" customFormat="1">
      <c r="A171" s="251"/>
      <c r="D171" s="1994"/>
      <c r="K171" s="57"/>
      <c r="L171" s="57"/>
    </row>
    <row r="172" spans="1:12" s="1993" customFormat="1">
      <c r="A172" s="251"/>
      <c r="D172" s="1994"/>
      <c r="K172" s="57"/>
      <c r="L172" s="57"/>
    </row>
    <row r="173" spans="1:12" s="1993" customFormat="1">
      <c r="A173" s="251"/>
      <c r="D173" s="1994"/>
      <c r="K173" s="57"/>
      <c r="L173" s="57"/>
    </row>
    <row r="174" spans="1:12" s="1993" customFormat="1">
      <c r="A174" s="251"/>
      <c r="D174" s="1994"/>
      <c r="K174" s="57"/>
      <c r="L174" s="57"/>
    </row>
    <row r="175" spans="1:12" s="1993" customFormat="1">
      <c r="A175" s="251"/>
      <c r="D175" s="1994"/>
      <c r="K175" s="57"/>
      <c r="L175" s="57"/>
    </row>
    <row r="176" spans="1:12" s="1993" customFormat="1">
      <c r="A176" s="251"/>
      <c r="D176" s="1994"/>
      <c r="K176" s="57"/>
      <c r="L176" s="57"/>
    </row>
    <row r="177" spans="1:12" s="1993" customFormat="1">
      <c r="A177" s="251"/>
      <c r="D177" s="1994"/>
      <c r="K177" s="57"/>
      <c r="L177" s="57"/>
    </row>
    <row r="178" spans="1:12" s="1993" customFormat="1">
      <c r="A178" s="251"/>
      <c r="D178" s="1994"/>
      <c r="K178" s="57"/>
      <c r="L178" s="57"/>
    </row>
    <row r="179" spans="1:12" s="1993" customFormat="1">
      <c r="A179" s="251"/>
      <c r="D179" s="1994"/>
      <c r="K179" s="57"/>
      <c r="L179" s="57"/>
    </row>
    <row r="180" spans="1:12" s="1993" customFormat="1">
      <c r="A180" s="251"/>
      <c r="D180" s="1994"/>
      <c r="K180" s="57"/>
      <c r="L180" s="57"/>
    </row>
    <row r="181" spans="1:12" s="1993" customFormat="1">
      <c r="A181" s="251"/>
      <c r="D181" s="1994"/>
      <c r="K181" s="57"/>
      <c r="L181" s="57"/>
    </row>
    <row r="182" spans="1:12" s="1993" customFormat="1">
      <c r="A182" s="251"/>
      <c r="D182" s="1994"/>
      <c r="K182" s="57"/>
      <c r="L182" s="57"/>
    </row>
    <row r="183" spans="1:12" s="1993" customFormat="1">
      <c r="A183" s="251"/>
      <c r="D183" s="1994"/>
      <c r="K183" s="57"/>
      <c r="L183" s="57"/>
    </row>
    <row r="184" spans="1:12" s="1993" customFormat="1">
      <c r="A184" s="251"/>
      <c r="D184" s="1994"/>
      <c r="K184" s="57"/>
      <c r="L184" s="57"/>
    </row>
    <row r="185" spans="1:12" s="1993" customFormat="1">
      <c r="A185" s="251"/>
      <c r="D185" s="1994"/>
      <c r="K185" s="57"/>
      <c r="L185" s="57"/>
    </row>
    <row r="186" spans="1:12" s="1993" customFormat="1">
      <c r="A186" s="251"/>
      <c r="D186" s="1994"/>
      <c r="K186" s="57"/>
      <c r="L186" s="57"/>
    </row>
    <row r="187" spans="1:12" s="1993" customFormat="1">
      <c r="A187" s="251"/>
      <c r="D187" s="1994"/>
      <c r="K187" s="57"/>
      <c r="L187" s="57"/>
    </row>
    <row r="188" spans="1:12" s="1993" customFormat="1">
      <c r="A188" s="251"/>
      <c r="D188" s="1994"/>
      <c r="K188" s="57"/>
      <c r="L188" s="57"/>
    </row>
    <row r="189" spans="1:12" s="1993" customFormat="1">
      <c r="A189" s="251"/>
      <c r="D189" s="1994"/>
      <c r="K189" s="57"/>
      <c r="L189" s="57"/>
    </row>
    <row r="190" spans="1:12" s="1993" customFormat="1">
      <c r="A190" s="251"/>
      <c r="D190" s="1994"/>
      <c r="K190" s="57"/>
      <c r="L190" s="57"/>
    </row>
    <row r="191" spans="1:12" s="1993" customFormat="1">
      <c r="A191" s="251"/>
      <c r="D191" s="1994"/>
      <c r="K191" s="57"/>
      <c r="L191" s="57"/>
    </row>
    <row r="192" spans="1:12" s="1993" customFormat="1">
      <c r="A192" s="251"/>
      <c r="D192" s="1994"/>
      <c r="K192" s="57"/>
      <c r="L192" s="57"/>
    </row>
  </sheetData>
  <sheetProtection password="C66D" sheet="1" objects="1" scenarios="1" formatCells="0" formatColumns="0" formatRows="0"/>
  <dataConsolidate/>
  <mergeCells count="1">
    <mergeCell ref="L18:N18"/>
  </mergeCells>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37',20);"/>
  </hyperlinks>
  <pageMargins left="0.7" right="0.7" top="0.75" bottom="0.75" header="0.3" footer="0.3"/>
  <pageSetup paperSize="9" scale="24" fitToHeight="0"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S120"/>
  <sheetViews>
    <sheetView zoomScale="115" zoomScaleNormal="115" workbookViewId="0">
      <pane xSplit="7" ySplit="5" topLeftCell="H86" activePane="bottomRight" state="frozen"/>
      <selection activeCell="K10" sqref="K10"/>
      <selection pane="topRight" activeCell="K10" sqref="K10"/>
      <selection pane="bottomLeft" activeCell="K10" sqref="K10"/>
      <selection pane="bottomRight" activeCell="G119" sqref="G119"/>
    </sheetView>
  </sheetViews>
  <sheetFormatPr defaultRowHeight="15" customHeight="1"/>
  <cols>
    <col min="1" max="1" width="5.25" style="3236" customWidth="1"/>
    <col min="2" max="2" width="20.25" style="3236" customWidth="1"/>
    <col min="3" max="3" width="11" style="3236" customWidth="1"/>
    <col min="4" max="4" width="9.625" style="3236" customWidth="1"/>
    <col min="5" max="5" width="10.625" style="3236" customWidth="1"/>
    <col min="6" max="6" width="9.625" style="3236" customWidth="1"/>
    <col min="7" max="7" width="11.125" style="3236" customWidth="1"/>
    <col min="8" max="10" width="10.75" style="3236" customWidth="1"/>
    <col min="11" max="11" width="10.25" style="3236" customWidth="1"/>
    <col min="12" max="16384" width="9" style="3236"/>
  </cols>
  <sheetData>
    <row r="1" spans="1:19" ht="21.75" customHeight="1">
      <c r="A1" s="3235" t="s">
        <v>3038</v>
      </c>
      <c r="B1" s="3235"/>
      <c r="C1" s="3235"/>
      <c r="D1" s="3235"/>
      <c r="E1" s="3235"/>
      <c r="F1" s="3235"/>
      <c r="G1" s="3235"/>
      <c r="H1" s="3235"/>
      <c r="I1" s="3235"/>
      <c r="J1" s="3235"/>
    </row>
    <row r="2" spans="1:19" ht="15" customHeight="1" thickBot="1">
      <c r="A2" s="3237"/>
      <c r="B2" s="3237"/>
      <c r="C2" s="3237"/>
      <c r="D2" s="3237"/>
      <c r="E2" s="3237"/>
      <c r="F2" s="3237"/>
      <c r="G2" s="3238"/>
      <c r="H2" s="3239" t="s">
        <v>3039</v>
      </c>
      <c r="I2" s="3240">
        <f>[2]经济指标!F30</f>
        <v>0</v>
      </c>
      <c r="J2" s="3240">
        <f>[2]经济指标!G30</f>
        <v>1</v>
      </c>
      <c r="K2" s="3241">
        <f>J4+J50+J103</f>
        <v>148411.4754524162</v>
      </c>
      <c r="L2" s="3236">
        <f>[3]项目总投资!$C$15</f>
        <v>124321.003360052</v>
      </c>
      <c r="M2" s="3241">
        <f>L2-H4</f>
        <v>69381.416760052001</v>
      </c>
    </row>
    <row r="3" spans="1:19" ht="24.75" thickBot="1">
      <c r="A3" s="3242" t="s">
        <v>2375</v>
      </c>
      <c r="B3" s="3243" t="s">
        <v>3040</v>
      </c>
      <c r="C3" s="3243" t="s">
        <v>3041</v>
      </c>
      <c r="D3" s="3243" t="s">
        <v>3042</v>
      </c>
      <c r="E3" s="3243" t="s">
        <v>3043</v>
      </c>
      <c r="F3" s="3243" t="s">
        <v>3044</v>
      </c>
      <c r="G3" s="3243" t="s">
        <v>3045</v>
      </c>
      <c r="H3" s="3244" t="s">
        <v>24</v>
      </c>
      <c r="I3" s="3244" t="s">
        <v>3046</v>
      </c>
      <c r="J3" s="3244" t="s">
        <v>3047</v>
      </c>
    </row>
    <row r="4" spans="1:19" ht="15" customHeight="1">
      <c r="A4" s="3245">
        <v>1</v>
      </c>
      <c r="B4" s="3246" t="s">
        <v>3048</v>
      </c>
      <c r="C4" s="3247"/>
      <c r="D4" s="3248"/>
      <c r="E4" s="3248"/>
      <c r="F4" s="3248"/>
      <c r="G4" s="3247"/>
      <c r="H4" s="3249">
        <f>H5+H22+H29+H46</f>
        <v>54939.586600000002</v>
      </c>
      <c r="I4" s="3249">
        <f>I5+I22+I29+I46</f>
        <v>0</v>
      </c>
      <c r="J4" s="3249">
        <f>J5+J22+J29+J46</f>
        <v>54939.586600000002</v>
      </c>
      <c r="L4" s="3250"/>
      <c r="M4" s="3250"/>
      <c r="N4" s="3250"/>
      <c r="O4" s="3250"/>
      <c r="P4" s="3250"/>
      <c r="Q4" s="3250"/>
      <c r="R4" s="3250"/>
      <c r="S4" s="3250"/>
    </row>
    <row r="5" spans="1:19" ht="15" customHeight="1">
      <c r="A5" s="3251">
        <v>1.1000000000000001</v>
      </c>
      <c r="B5" s="3252" t="s">
        <v>3049</v>
      </c>
      <c r="C5" s="3253"/>
      <c r="D5" s="3254"/>
      <c r="E5" s="3254">
        <f>E6</f>
        <v>48449.508000000002</v>
      </c>
      <c r="F5" s="3254"/>
      <c r="G5" s="3254"/>
      <c r="H5" s="3255">
        <f>SUM(E5:G5)</f>
        <v>48449.508000000002</v>
      </c>
      <c r="I5" s="3255">
        <f>SUM(I6:I21)</f>
        <v>0</v>
      </c>
      <c r="J5" s="3255">
        <f>SUM(J6:J21)</f>
        <v>48449.508000000002</v>
      </c>
      <c r="K5" s="3256"/>
      <c r="L5" s="3257"/>
      <c r="M5" s="3257"/>
      <c r="N5" s="3258"/>
      <c r="O5" s="3257"/>
      <c r="P5" s="3257"/>
      <c r="Q5" s="3259"/>
      <c r="R5" s="3259"/>
      <c r="S5" s="3259"/>
    </row>
    <row r="6" spans="1:19" ht="15" customHeight="1">
      <c r="A6" s="3260"/>
      <c r="B6" s="3261" t="s">
        <v>3050</v>
      </c>
      <c r="C6" s="3262"/>
      <c r="D6" s="3263"/>
      <c r="E6" s="3264">
        <f>SUM(E7:E21)</f>
        <v>48449.508000000002</v>
      </c>
      <c r="F6" s="3264"/>
      <c r="G6" s="3265"/>
      <c r="H6" s="3266"/>
      <c r="I6" s="3266"/>
      <c r="J6" s="3266"/>
      <c r="L6" s="3257"/>
      <c r="M6" s="3267"/>
      <c r="N6" s="3258"/>
      <c r="O6" s="3268"/>
      <c r="P6" s="3257"/>
      <c r="Q6" s="3268"/>
      <c r="R6" s="3268"/>
      <c r="S6" s="3268"/>
    </row>
    <row r="7" spans="1:19" ht="15" customHeight="1">
      <c r="A7" s="3260"/>
      <c r="B7" s="3269" t="s">
        <v>3051</v>
      </c>
      <c r="C7" s="3270">
        <f>[2]经济指标!D18*4</f>
        <v>198676</v>
      </c>
      <c r="D7" s="3263">
        <v>30</v>
      </c>
      <c r="E7" s="3263">
        <f>D7*C7/10000</f>
        <v>596.02800000000002</v>
      </c>
      <c r="F7" s="3264"/>
      <c r="G7" s="3265"/>
      <c r="H7" s="3266"/>
      <c r="I7" s="3266"/>
      <c r="J7" s="3266">
        <f>E7</f>
        <v>596.02800000000002</v>
      </c>
      <c r="L7" s="3257"/>
      <c r="M7" s="3267"/>
      <c r="N7" s="3258"/>
      <c r="O7" s="3268"/>
      <c r="P7" s="3257"/>
      <c r="Q7" s="3268"/>
      <c r="R7" s="3268"/>
      <c r="S7" s="3268"/>
    </row>
    <row r="8" spans="1:19" ht="15" customHeight="1">
      <c r="A8" s="3271"/>
      <c r="B8" s="3272" t="str">
        <f>[2]经济指标!C6</f>
        <v>高层</v>
      </c>
      <c r="C8" s="3273">
        <f>[2]经济指标!D6</f>
        <v>34304</v>
      </c>
      <c r="D8" s="3273">
        <v>2600</v>
      </c>
      <c r="E8" s="3263">
        <f t="shared" ref="E8:E19" si="0">C8*D8/10000</f>
        <v>8919.0400000000009</v>
      </c>
      <c r="F8" s="3263"/>
      <c r="G8" s="3265"/>
      <c r="H8" s="3274"/>
      <c r="I8" s="3274"/>
      <c r="J8" s="3266">
        <f t="shared" ref="J8:J19" si="1">E8</f>
        <v>8919.0400000000009</v>
      </c>
      <c r="L8" s="3257"/>
      <c r="M8" s="3267"/>
      <c r="N8" s="3258"/>
      <c r="O8" s="3268"/>
      <c r="P8" s="3257"/>
      <c r="Q8" s="3268"/>
      <c r="R8" s="3268"/>
      <c r="S8" s="3268"/>
    </row>
    <row r="9" spans="1:19" ht="15" customHeight="1">
      <c r="A9" s="3271"/>
      <c r="B9" s="3272" t="str">
        <f>[2]经济指标!C7</f>
        <v>人才公寓</v>
      </c>
      <c r="C9" s="3273">
        <f>[2]经济指标!D7</f>
        <v>50129</v>
      </c>
      <c r="D9" s="3273">
        <v>2400</v>
      </c>
      <c r="E9" s="3263">
        <f t="shared" si="0"/>
        <v>12030.96</v>
      </c>
      <c r="F9" s="3263"/>
      <c r="G9" s="3265"/>
      <c r="H9" s="3274"/>
      <c r="I9" s="3274"/>
      <c r="J9" s="3266">
        <f t="shared" si="1"/>
        <v>12030.96</v>
      </c>
      <c r="L9" s="3257"/>
      <c r="M9" s="3267"/>
      <c r="N9" s="3258"/>
      <c r="O9" s="3268"/>
      <c r="P9" s="3257"/>
      <c r="Q9" s="3268"/>
      <c r="R9" s="3268"/>
      <c r="S9" s="3268"/>
    </row>
    <row r="10" spans="1:19" ht="15" customHeight="1">
      <c r="A10" s="3271"/>
      <c r="B10" s="3272" t="str">
        <f>[2]经济指标!C8</f>
        <v>联排别墅</v>
      </c>
      <c r="C10" s="3273">
        <f>[2]经济指标!D8</f>
        <v>40890</v>
      </c>
      <c r="D10" s="3273">
        <v>2600</v>
      </c>
      <c r="E10" s="3263">
        <f t="shared" si="0"/>
        <v>10631.4</v>
      </c>
      <c r="F10" s="3263"/>
      <c r="G10" s="3265"/>
      <c r="H10" s="3274"/>
      <c r="I10" s="3274"/>
      <c r="J10" s="3266">
        <f t="shared" si="1"/>
        <v>10631.4</v>
      </c>
      <c r="L10" s="3257"/>
      <c r="M10" s="3267"/>
      <c r="N10" s="3258"/>
      <c r="O10" s="3268"/>
      <c r="P10" s="3257"/>
      <c r="Q10" s="3268"/>
      <c r="R10" s="3268"/>
      <c r="S10" s="3268"/>
    </row>
    <row r="11" spans="1:19" ht="15" customHeight="1">
      <c r="A11" s="3271"/>
      <c r="B11" s="3272" t="str">
        <f>[2]经济指标!C9</f>
        <v>商业</v>
      </c>
      <c r="C11" s="3273">
        <f>[2]经济指标!D9</f>
        <v>3738</v>
      </c>
      <c r="D11" s="3273">
        <v>2400</v>
      </c>
      <c r="E11" s="3263">
        <f t="shared" si="0"/>
        <v>897.12</v>
      </c>
      <c r="F11" s="3263"/>
      <c r="G11" s="3265"/>
      <c r="H11" s="3274"/>
      <c r="I11" s="3274"/>
      <c r="J11" s="3266">
        <f t="shared" si="1"/>
        <v>897.12</v>
      </c>
      <c r="L11" s="3257"/>
      <c r="M11" s="3267"/>
      <c r="N11" s="3258"/>
      <c r="O11" s="3268"/>
      <c r="P11" s="3257"/>
      <c r="Q11" s="3268"/>
      <c r="R11" s="3268"/>
      <c r="S11" s="3268"/>
    </row>
    <row r="12" spans="1:19" ht="15" customHeight="1">
      <c r="A12" s="3271"/>
      <c r="B12" s="3272" t="str">
        <f>[2]经济指标!C10</f>
        <v>公建配套</v>
      </c>
      <c r="C12" s="3273">
        <f>[2]经济指标!D10</f>
        <v>2062</v>
      </c>
      <c r="D12" s="3273">
        <v>2300</v>
      </c>
      <c r="E12" s="3263">
        <f t="shared" si="0"/>
        <v>474.26</v>
      </c>
      <c r="F12" s="3263"/>
      <c r="G12" s="3265"/>
      <c r="H12" s="3274"/>
      <c r="I12" s="3274"/>
      <c r="J12" s="3266">
        <f t="shared" si="1"/>
        <v>474.26</v>
      </c>
      <c r="L12" s="3257"/>
      <c r="M12" s="3267"/>
      <c r="N12" s="3258"/>
      <c r="O12" s="3268"/>
      <c r="P12" s="3257"/>
      <c r="Q12" s="3268"/>
      <c r="R12" s="3268"/>
      <c r="S12" s="3268"/>
    </row>
    <row r="13" spans="1:19" ht="15" hidden="1" customHeight="1">
      <c r="A13" s="3271"/>
      <c r="B13" s="3272">
        <f>[2]经济指标!C11</f>
        <v>0</v>
      </c>
      <c r="C13" s="3273">
        <f>[2]经济指标!D11</f>
        <v>0</v>
      </c>
      <c r="D13" s="3273"/>
      <c r="E13" s="3263">
        <f t="shared" si="0"/>
        <v>0</v>
      </c>
      <c r="F13" s="3263"/>
      <c r="G13" s="3265"/>
      <c r="H13" s="3274"/>
      <c r="I13" s="3274"/>
      <c r="J13" s="3266">
        <f t="shared" si="1"/>
        <v>0</v>
      </c>
      <c r="L13" s="3257"/>
      <c r="M13" s="3267"/>
      <c r="N13" s="3258"/>
      <c r="O13" s="3268"/>
      <c r="P13" s="3257"/>
      <c r="Q13" s="3268"/>
      <c r="R13" s="3268"/>
      <c r="S13" s="3268"/>
    </row>
    <row r="14" spans="1:19" ht="16.5" hidden="1" customHeight="1">
      <c r="A14" s="3271"/>
      <c r="B14" s="3272">
        <f>[2]经济指标!C12</f>
        <v>0</v>
      </c>
      <c r="C14" s="3273">
        <f>[2]经济指标!D12</f>
        <v>0</v>
      </c>
      <c r="D14" s="3273"/>
      <c r="E14" s="3263">
        <f t="shared" si="0"/>
        <v>0</v>
      </c>
      <c r="F14" s="3263"/>
      <c r="G14" s="3265"/>
      <c r="H14" s="3274"/>
      <c r="I14" s="3274"/>
      <c r="J14" s="3266">
        <f t="shared" si="1"/>
        <v>0</v>
      </c>
      <c r="L14" s="3250"/>
      <c r="M14" s="3250"/>
      <c r="N14" s="3250"/>
      <c r="O14" s="3250"/>
      <c r="P14" s="3250"/>
      <c r="Q14" s="3250"/>
      <c r="R14" s="3250"/>
      <c r="S14" s="3250"/>
    </row>
    <row r="15" spans="1:19" ht="16.5" hidden="1" customHeight="1">
      <c r="A15" s="3271"/>
      <c r="B15" s="3272">
        <f>[2]经济指标!C13</f>
        <v>0</v>
      </c>
      <c r="C15" s="3273">
        <f>[2]经济指标!D13</f>
        <v>0</v>
      </c>
      <c r="D15" s="3273"/>
      <c r="E15" s="3263">
        <f t="shared" si="0"/>
        <v>0</v>
      </c>
      <c r="F15" s="3263"/>
      <c r="G15" s="3265"/>
      <c r="H15" s="3274"/>
      <c r="I15" s="3274">
        <f t="shared" ref="I15:I16" si="2">E15</f>
        <v>0</v>
      </c>
      <c r="J15" s="3266"/>
      <c r="L15" s="3250"/>
      <c r="M15" s="3250"/>
      <c r="N15" s="3250"/>
      <c r="O15" s="3250"/>
      <c r="P15" s="3250"/>
      <c r="Q15" s="3250"/>
      <c r="R15" s="3250"/>
      <c r="S15" s="3250"/>
    </row>
    <row r="16" spans="1:19" ht="16.5" hidden="1" customHeight="1">
      <c r="A16" s="3271"/>
      <c r="B16" s="3272">
        <f>[2]经济指标!C14</f>
        <v>0</v>
      </c>
      <c r="C16" s="3273">
        <f>[2]经济指标!D14</f>
        <v>0</v>
      </c>
      <c r="D16" s="3273"/>
      <c r="E16" s="3263">
        <f t="shared" si="0"/>
        <v>0</v>
      </c>
      <c r="F16" s="3263"/>
      <c r="G16" s="3265"/>
      <c r="H16" s="3274"/>
      <c r="I16" s="3274">
        <f t="shared" si="2"/>
        <v>0</v>
      </c>
      <c r="J16" s="3266"/>
      <c r="L16" s="3250"/>
      <c r="M16" s="3250"/>
      <c r="N16" s="3250"/>
      <c r="O16" s="3250"/>
      <c r="P16" s="3250"/>
      <c r="Q16" s="3250"/>
      <c r="R16" s="3250"/>
      <c r="S16" s="3250"/>
    </row>
    <row r="17" spans="1:19" ht="16.5" hidden="1" customHeight="1">
      <c r="A17" s="3271"/>
      <c r="B17" s="3272">
        <f>[2]经济指标!C15</f>
        <v>0</v>
      </c>
      <c r="C17" s="3273">
        <f>[2]经济指标!D15</f>
        <v>0</v>
      </c>
      <c r="D17" s="3273"/>
      <c r="E17" s="3263">
        <f t="shared" si="0"/>
        <v>0</v>
      </c>
      <c r="F17" s="3263"/>
      <c r="G17" s="3265"/>
      <c r="H17" s="3274"/>
      <c r="I17" s="3274"/>
      <c r="J17" s="3266">
        <f t="shared" si="1"/>
        <v>0</v>
      </c>
      <c r="L17" s="3250"/>
      <c r="M17" s="3250"/>
      <c r="N17" s="3250"/>
      <c r="O17" s="3250"/>
      <c r="P17" s="3250"/>
      <c r="Q17" s="3250"/>
      <c r="R17" s="3250"/>
      <c r="S17" s="3250"/>
    </row>
    <row r="18" spans="1:19" ht="16.5" hidden="1" customHeight="1">
      <c r="A18" s="3271"/>
      <c r="B18" s="3272">
        <f>[2]经济指标!C16</f>
        <v>0</v>
      </c>
      <c r="C18" s="3273">
        <f>[2]经济指标!D16</f>
        <v>0</v>
      </c>
      <c r="D18" s="3273"/>
      <c r="E18" s="3263">
        <f t="shared" si="0"/>
        <v>0</v>
      </c>
      <c r="F18" s="3263"/>
      <c r="G18" s="3265"/>
      <c r="H18" s="3274"/>
      <c r="I18" s="3274"/>
      <c r="J18" s="3266">
        <f t="shared" si="1"/>
        <v>0</v>
      </c>
      <c r="L18" s="3250"/>
      <c r="M18" s="3250"/>
      <c r="N18" s="3250"/>
      <c r="O18" s="3250"/>
      <c r="P18" s="3250"/>
      <c r="Q18" s="3250"/>
      <c r="R18" s="3250"/>
      <c r="S18" s="3250"/>
    </row>
    <row r="19" spans="1:19" ht="15" customHeight="1">
      <c r="A19" s="3271"/>
      <c r="B19" s="3272" t="s">
        <v>3052</v>
      </c>
      <c r="C19" s="3273">
        <f>[2]经济指标!D18</f>
        <v>49669</v>
      </c>
      <c r="D19" s="3273">
        <v>3000</v>
      </c>
      <c r="E19" s="3263">
        <f t="shared" si="0"/>
        <v>14900.7</v>
      </c>
      <c r="F19" s="3263"/>
      <c r="G19" s="3265"/>
      <c r="H19" s="3274"/>
      <c r="I19" s="3274"/>
      <c r="J19" s="3266">
        <f t="shared" si="1"/>
        <v>14900.7</v>
      </c>
      <c r="L19" s="3250"/>
      <c r="M19" s="3250"/>
      <c r="N19" s="3250"/>
      <c r="O19" s="3250"/>
      <c r="P19" s="3250"/>
      <c r="Q19" s="3250"/>
      <c r="R19" s="3250"/>
      <c r="S19" s="3250"/>
    </row>
    <row r="20" spans="1:19" ht="15" customHeight="1">
      <c r="A20" s="3271"/>
      <c r="B20" s="3272"/>
      <c r="C20" s="3273"/>
      <c r="D20" s="3273"/>
      <c r="E20" s="3263"/>
      <c r="F20" s="3263"/>
      <c r="G20" s="3265"/>
      <c r="H20" s="3274"/>
      <c r="I20" s="3274"/>
      <c r="J20" s="3274"/>
      <c r="L20" s="3250"/>
      <c r="M20" s="3250"/>
      <c r="N20" s="3250"/>
      <c r="O20" s="3250"/>
      <c r="P20" s="3250"/>
      <c r="Q20" s="3250"/>
      <c r="R20" s="3250"/>
      <c r="S20" s="3250"/>
    </row>
    <row r="21" spans="1:19" ht="15" customHeight="1">
      <c r="A21" s="3271"/>
      <c r="B21" s="3272"/>
      <c r="C21" s="3273"/>
      <c r="D21" s="3273"/>
      <c r="E21" s="3263"/>
      <c r="F21" s="3263"/>
      <c r="G21" s="3265"/>
      <c r="H21" s="3274"/>
      <c r="I21" s="3274"/>
      <c r="J21" s="3274"/>
      <c r="L21" s="3250"/>
      <c r="M21" s="3250"/>
      <c r="N21" s="3250"/>
      <c r="O21" s="3250"/>
      <c r="P21" s="3250"/>
      <c r="Q21" s="3250"/>
      <c r="R21" s="3250"/>
      <c r="S21" s="3250"/>
    </row>
    <row r="22" spans="1:19" ht="15" customHeight="1">
      <c r="A22" s="3251">
        <v>1.2</v>
      </c>
      <c r="B22" s="3252" t="s">
        <v>3053</v>
      </c>
      <c r="C22" s="3253"/>
      <c r="D22" s="3254"/>
      <c r="E22" s="3254">
        <f>SUM(E23:E27)</f>
        <v>0</v>
      </c>
      <c r="F22" s="3254"/>
      <c r="G22" s="3254"/>
      <c r="H22" s="3255">
        <f>SUM(E22:G22)</f>
        <v>0</v>
      </c>
      <c r="I22" s="3255"/>
      <c r="J22" s="3255"/>
      <c r="L22" s="3250"/>
      <c r="M22" s="3250"/>
      <c r="N22" s="3250"/>
      <c r="O22" s="3250"/>
      <c r="P22" s="3250"/>
      <c r="Q22" s="3250"/>
      <c r="R22" s="3250"/>
      <c r="S22" s="3250"/>
    </row>
    <row r="23" spans="1:19" ht="15" customHeight="1">
      <c r="A23" s="3260"/>
      <c r="B23" s="3272" t="s">
        <v>3054</v>
      </c>
      <c r="C23" s="3273"/>
      <c r="D23" s="3273"/>
      <c r="E23" s="3263">
        <f>C23*D23/10000</f>
        <v>0</v>
      </c>
      <c r="F23" s="3263"/>
      <c r="G23" s="3265"/>
      <c r="H23" s="3274"/>
      <c r="I23" s="3274"/>
      <c r="J23" s="3274"/>
      <c r="L23" s="3250"/>
      <c r="M23" s="3250"/>
      <c r="N23" s="3250"/>
      <c r="O23" s="3250"/>
      <c r="P23" s="3250"/>
      <c r="Q23" s="3250"/>
      <c r="R23" s="3250"/>
      <c r="S23" s="3250"/>
    </row>
    <row r="24" spans="1:19" ht="15" customHeight="1">
      <c r="A24" s="3260"/>
      <c r="B24" s="3272" t="s">
        <v>3055</v>
      </c>
      <c r="C24" s="3273"/>
      <c r="D24" s="3273"/>
      <c r="E24" s="3263">
        <f>C24*D24/10000</f>
        <v>0</v>
      </c>
      <c r="F24" s="3263"/>
      <c r="G24" s="3265"/>
      <c r="H24" s="3274"/>
      <c r="I24" s="3274"/>
      <c r="J24" s="3274"/>
    </row>
    <row r="25" spans="1:19" ht="15" customHeight="1">
      <c r="A25" s="3260"/>
      <c r="B25" s="3272" t="s">
        <v>3056</v>
      </c>
      <c r="C25" s="3273"/>
      <c r="D25" s="3273"/>
      <c r="E25" s="3263">
        <f>C25*D25/10000</f>
        <v>0</v>
      </c>
      <c r="F25" s="3263"/>
      <c r="G25" s="3265"/>
      <c r="H25" s="3274"/>
      <c r="I25" s="3274"/>
      <c r="J25" s="3274"/>
    </row>
    <row r="26" spans="1:19" ht="15" customHeight="1">
      <c r="A26" s="3260"/>
      <c r="B26" s="3272" t="s">
        <v>3057</v>
      </c>
      <c r="C26" s="3273"/>
      <c r="D26" s="3273"/>
      <c r="E26" s="3263">
        <f>C26*D26/10000</f>
        <v>0</v>
      </c>
      <c r="F26" s="3263"/>
      <c r="G26" s="3265"/>
      <c r="H26" s="3274"/>
      <c r="I26" s="3274"/>
      <c r="J26" s="3274"/>
    </row>
    <row r="27" spans="1:19" ht="15" customHeight="1">
      <c r="A27" s="3260"/>
      <c r="B27" s="3272" t="s">
        <v>3058</v>
      </c>
      <c r="C27" s="3273"/>
      <c r="D27" s="3273"/>
      <c r="E27" s="3263">
        <f>C27*D27/10000</f>
        <v>0</v>
      </c>
      <c r="F27" s="3263"/>
      <c r="G27" s="3265"/>
      <c r="H27" s="3274"/>
      <c r="I27" s="3274"/>
      <c r="J27" s="3274"/>
    </row>
    <row r="28" spans="1:19" ht="15" customHeight="1">
      <c r="A28" s="3260"/>
      <c r="B28" s="3272"/>
      <c r="C28" s="3273"/>
      <c r="D28" s="3273"/>
      <c r="E28" s="3263"/>
      <c r="F28" s="3263"/>
      <c r="G28" s="3265"/>
      <c r="H28" s="3274"/>
      <c r="I28" s="3274"/>
      <c r="J28" s="3274"/>
    </row>
    <row r="29" spans="1:19" ht="15" customHeight="1">
      <c r="A29" s="3251">
        <v>1.3</v>
      </c>
      <c r="B29" s="3252" t="s">
        <v>3059</v>
      </c>
      <c r="C29" s="3253"/>
      <c r="D29" s="3254"/>
      <c r="E29" s="3254"/>
      <c r="F29" s="3254"/>
      <c r="G29" s="3254">
        <f>G30+G38</f>
        <v>3790.0786000000003</v>
      </c>
      <c r="H29" s="3255">
        <f>SUM(E29:G29)</f>
        <v>3790.0786000000003</v>
      </c>
      <c r="I29" s="3255">
        <f>I30+I38</f>
        <v>0</v>
      </c>
      <c r="J29" s="3255">
        <f>J30+J38</f>
        <v>3790.0786000000003</v>
      </c>
      <c r="K29" s="3256"/>
    </row>
    <row r="30" spans="1:19" ht="15" customHeight="1">
      <c r="A30" s="3260" t="s">
        <v>3060</v>
      </c>
      <c r="B30" s="3261" t="s">
        <v>3061</v>
      </c>
      <c r="C30" s="3264"/>
      <c r="D30" s="3264"/>
      <c r="E30" s="3264"/>
      <c r="F30" s="3264"/>
      <c r="G30" s="3275">
        <f>SUM(G31:G37)</f>
        <v>3243.7366000000002</v>
      </c>
      <c r="H30" s="3266"/>
      <c r="I30" s="3266">
        <f>SUM(I31:I37)</f>
        <v>0</v>
      </c>
      <c r="J30" s="3266">
        <f>SUM(J31:J37)</f>
        <v>3243.7366000000002</v>
      </c>
    </row>
    <row r="31" spans="1:19" ht="15" customHeight="1">
      <c r="A31" s="3271"/>
      <c r="B31" s="3272" t="s">
        <v>3062</v>
      </c>
      <c r="C31" s="3273">
        <f>C61</f>
        <v>180792</v>
      </c>
      <c r="D31" s="3273">
        <v>95</v>
      </c>
      <c r="E31" s="3263"/>
      <c r="F31" s="3263"/>
      <c r="G31" s="3265">
        <f t="shared" ref="G31:G37" si="3">C31*D31/10000</f>
        <v>1717.5239999999999</v>
      </c>
      <c r="H31" s="3274"/>
      <c r="I31" s="3274">
        <f>G31*$I$2</f>
        <v>0</v>
      </c>
      <c r="J31" s="3274">
        <f>G31*$J$2</f>
        <v>1717.5239999999999</v>
      </c>
      <c r="K31" s="3236" t="s">
        <v>3063</v>
      </c>
    </row>
    <row r="32" spans="1:19" ht="15" customHeight="1">
      <c r="A32" s="3260"/>
      <c r="B32" s="3272" t="s">
        <v>3064</v>
      </c>
      <c r="C32" s="3263">
        <f>C61</f>
        <v>180792</v>
      </c>
      <c r="D32" s="3273">
        <v>18</v>
      </c>
      <c r="E32" s="3263"/>
      <c r="F32" s="3263"/>
      <c r="G32" s="3265">
        <f t="shared" si="3"/>
        <v>325.42559999999997</v>
      </c>
      <c r="H32" s="3274"/>
      <c r="I32" s="3274">
        <f t="shared" ref="I32:I40" si="4">G32*$I$2</f>
        <v>0</v>
      </c>
      <c r="J32" s="3274">
        <f t="shared" ref="J32:J40" si="5">G32*$J$2</f>
        <v>325.42559999999997</v>
      </c>
      <c r="K32" s="3236" t="s">
        <v>3065</v>
      </c>
    </row>
    <row r="33" spans="1:19" ht="15" customHeight="1">
      <c r="A33" s="3271"/>
      <c r="B33" s="3272" t="s">
        <v>3066</v>
      </c>
      <c r="C33" s="3273">
        <f>[2]经济指标!D29</f>
        <v>1009</v>
      </c>
      <c r="D33" s="3273">
        <v>1150</v>
      </c>
      <c r="E33" s="3263"/>
      <c r="F33" s="3263"/>
      <c r="G33" s="3265">
        <f t="shared" si="3"/>
        <v>116.035</v>
      </c>
      <c r="H33" s="3274"/>
      <c r="I33" s="3274">
        <f t="shared" si="4"/>
        <v>0</v>
      </c>
      <c r="J33" s="3274">
        <f t="shared" si="5"/>
        <v>116.035</v>
      </c>
      <c r="K33" s="3236" t="s">
        <v>3067</v>
      </c>
    </row>
    <row r="34" spans="1:19" ht="15" customHeight="1">
      <c r="A34" s="3271"/>
      <c r="B34" s="3272" t="s">
        <v>3068</v>
      </c>
      <c r="C34" s="3273">
        <f>C61</f>
        <v>180792</v>
      </c>
      <c r="D34" s="3273">
        <v>30</v>
      </c>
      <c r="E34" s="3263"/>
      <c r="F34" s="3263"/>
      <c r="G34" s="3265">
        <f t="shared" si="3"/>
        <v>542.37599999999998</v>
      </c>
      <c r="H34" s="3274"/>
      <c r="I34" s="3274">
        <f t="shared" si="4"/>
        <v>0</v>
      </c>
      <c r="J34" s="3274">
        <f t="shared" si="5"/>
        <v>542.37599999999998</v>
      </c>
    </row>
    <row r="35" spans="1:19" ht="15" customHeight="1">
      <c r="A35" s="3271"/>
      <c r="B35" s="3272" t="s">
        <v>3069</v>
      </c>
      <c r="C35" s="3273">
        <f>C61</f>
        <v>180792</v>
      </c>
      <c r="D35" s="3273">
        <v>15</v>
      </c>
      <c r="E35" s="3263"/>
      <c r="F35" s="3263"/>
      <c r="G35" s="3265">
        <f t="shared" si="3"/>
        <v>271.18799999999999</v>
      </c>
      <c r="H35" s="3274"/>
      <c r="I35" s="3274">
        <f t="shared" si="4"/>
        <v>0</v>
      </c>
      <c r="J35" s="3274">
        <f t="shared" si="5"/>
        <v>271.18799999999999</v>
      </c>
    </row>
    <row r="36" spans="1:19" ht="15" customHeight="1">
      <c r="A36" s="3271"/>
      <c r="B36" s="3276" t="s">
        <v>3070</v>
      </c>
      <c r="C36" s="3273">
        <f>C61</f>
        <v>180792</v>
      </c>
      <c r="D36" s="3273">
        <v>10</v>
      </c>
      <c r="E36" s="3263"/>
      <c r="F36" s="3263"/>
      <c r="G36" s="3265">
        <f t="shared" si="3"/>
        <v>180.792</v>
      </c>
      <c r="H36" s="3274"/>
      <c r="I36" s="3274">
        <f t="shared" si="4"/>
        <v>0</v>
      </c>
      <c r="J36" s="3274">
        <f t="shared" si="5"/>
        <v>180.792</v>
      </c>
    </row>
    <row r="37" spans="1:19" ht="15" customHeight="1">
      <c r="A37" s="3271"/>
      <c r="B37" s="3272" t="s">
        <v>3071</v>
      </c>
      <c r="C37" s="3273">
        <f>C31</f>
        <v>180792</v>
      </c>
      <c r="D37" s="3273">
        <v>5</v>
      </c>
      <c r="E37" s="3263"/>
      <c r="F37" s="3263"/>
      <c r="G37" s="3265">
        <f t="shared" si="3"/>
        <v>90.396000000000001</v>
      </c>
      <c r="H37" s="3274"/>
      <c r="I37" s="3274">
        <f t="shared" si="4"/>
        <v>0</v>
      </c>
      <c r="J37" s="3274">
        <f t="shared" si="5"/>
        <v>90.396000000000001</v>
      </c>
    </row>
    <row r="38" spans="1:19" ht="15" customHeight="1">
      <c r="A38" s="3260" t="s">
        <v>3072</v>
      </c>
      <c r="B38" s="3261" t="s">
        <v>3073</v>
      </c>
      <c r="C38" s="3277"/>
      <c r="D38" s="3278"/>
      <c r="E38" s="3264"/>
      <c r="F38" s="3264"/>
      <c r="G38" s="3275">
        <f>SUM(G39:G45)</f>
        <v>546.34199999999998</v>
      </c>
      <c r="H38" s="3266"/>
      <c r="I38" s="3266">
        <f>SUM(I39:I40)</f>
        <v>0</v>
      </c>
      <c r="J38" s="3266">
        <f>SUM(J39:J40)</f>
        <v>546.34199999999998</v>
      </c>
    </row>
    <row r="39" spans="1:19" ht="15" customHeight="1">
      <c r="A39" s="3271"/>
      <c r="B39" s="3272" t="s">
        <v>3074</v>
      </c>
      <c r="C39" s="3273">
        <f>[2]经济指标!D3*(1-[2]经济指标!D26-[2]经济指标!D27)</f>
        <v>32780.199999999997</v>
      </c>
      <c r="D39" s="3273">
        <v>100</v>
      </c>
      <c r="E39" s="3263"/>
      <c r="F39" s="3263"/>
      <c r="G39" s="3265">
        <f t="shared" ref="G39:G45" si="6">C39*D39/10000</f>
        <v>327.80199999999996</v>
      </c>
      <c r="H39" s="3274"/>
      <c r="I39" s="3274">
        <f t="shared" si="4"/>
        <v>0</v>
      </c>
      <c r="J39" s="3274">
        <f t="shared" si="5"/>
        <v>327.80199999999996</v>
      </c>
    </row>
    <row r="40" spans="1:19" ht="15" customHeight="1">
      <c r="A40" s="3271"/>
      <c r="B40" s="3272" t="s">
        <v>3075</v>
      </c>
      <c r="C40" s="3273">
        <f>[2]经济指标!D27*[2]经济指标!D3</f>
        <v>21854.000000000004</v>
      </c>
      <c r="D40" s="3273">
        <v>100</v>
      </c>
      <c r="E40" s="3263"/>
      <c r="F40" s="3263"/>
      <c r="G40" s="3265">
        <f t="shared" si="6"/>
        <v>218.54000000000005</v>
      </c>
      <c r="H40" s="3274"/>
      <c r="I40" s="3274">
        <f t="shared" si="4"/>
        <v>0</v>
      </c>
      <c r="J40" s="3274">
        <f t="shared" si="5"/>
        <v>218.54000000000005</v>
      </c>
    </row>
    <row r="41" spans="1:19" ht="15" customHeight="1">
      <c r="A41" s="3271"/>
      <c r="B41" s="3272" t="s">
        <v>3076</v>
      </c>
      <c r="C41" s="3273"/>
      <c r="D41" s="3273"/>
      <c r="E41" s="3263"/>
      <c r="F41" s="3263"/>
      <c r="G41" s="3265">
        <f t="shared" si="6"/>
        <v>0</v>
      </c>
      <c r="H41" s="3274"/>
      <c r="I41" s="3274"/>
      <c r="J41" s="3274"/>
    </row>
    <row r="42" spans="1:19" ht="15" customHeight="1">
      <c r="A42" s="3271"/>
      <c r="B42" s="3272" t="s">
        <v>3077</v>
      </c>
      <c r="C42" s="3273"/>
      <c r="D42" s="3273"/>
      <c r="E42" s="3263"/>
      <c r="F42" s="3263"/>
      <c r="G42" s="3265">
        <f t="shared" si="6"/>
        <v>0</v>
      </c>
      <c r="H42" s="3274"/>
      <c r="I42" s="3274"/>
      <c r="J42" s="3274"/>
    </row>
    <row r="43" spans="1:19" ht="15" customHeight="1">
      <c r="A43" s="3271"/>
      <c r="B43" s="3272" t="s">
        <v>3078</v>
      </c>
      <c r="C43" s="3273"/>
      <c r="D43" s="3273"/>
      <c r="E43" s="3263"/>
      <c r="F43" s="3263"/>
      <c r="G43" s="3265">
        <f t="shared" si="6"/>
        <v>0</v>
      </c>
      <c r="H43" s="3274"/>
      <c r="I43" s="3274"/>
      <c r="J43" s="3274"/>
    </row>
    <row r="44" spans="1:19" ht="15" customHeight="1">
      <c r="A44" s="3271"/>
      <c r="B44" s="3272" t="s">
        <v>3079</v>
      </c>
      <c r="C44" s="3273"/>
      <c r="D44" s="3273"/>
      <c r="E44" s="3263"/>
      <c r="F44" s="3263"/>
      <c r="G44" s="3265">
        <f t="shared" si="6"/>
        <v>0</v>
      </c>
      <c r="H44" s="3274"/>
      <c r="I44" s="3274"/>
      <c r="J44" s="3274"/>
    </row>
    <row r="45" spans="1:19" ht="15" customHeight="1">
      <c r="A45" s="3271"/>
      <c r="B45" s="3272" t="s">
        <v>3080</v>
      </c>
      <c r="C45" s="3273"/>
      <c r="D45" s="3273"/>
      <c r="E45" s="3263"/>
      <c r="F45" s="3263"/>
      <c r="G45" s="3265">
        <f t="shared" si="6"/>
        <v>0</v>
      </c>
      <c r="H45" s="3274"/>
      <c r="I45" s="3274"/>
      <c r="J45" s="3274"/>
    </row>
    <row r="46" spans="1:19" ht="15" customHeight="1">
      <c r="A46" s="3251">
        <v>1.4</v>
      </c>
      <c r="B46" s="3252" t="s">
        <v>3081</v>
      </c>
      <c r="C46" s="3253"/>
      <c r="D46" s="3254"/>
      <c r="E46" s="3254"/>
      <c r="F46" s="3279">
        <f>SUM(F47:F49)</f>
        <v>2700</v>
      </c>
      <c r="G46" s="3254"/>
      <c r="H46" s="3280">
        <f>SUM(E46:G46)</f>
        <v>2700</v>
      </c>
      <c r="I46" s="3280"/>
      <c r="J46" s="3255">
        <f>H46</f>
        <v>2700</v>
      </c>
    </row>
    <row r="47" spans="1:19" ht="15" customHeight="1">
      <c r="A47" s="3260"/>
      <c r="B47" s="3276" t="s">
        <v>3082</v>
      </c>
      <c r="C47" s="3281">
        <v>90</v>
      </c>
      <c r="D47" s="3282">
        <v>300000</v>
      </c>
      <c r="E47" s="3263"/>
      <c r="F47" s="3283">
        <f>C47*D47/10000</f>
        <v>2700</v>
      </c>
      <c r="G47" s="3265"/>
      <c r="H47" s="3274"/>
      <c r="I47" s="3274"/>
      <c r="J47" s="3274"/>
    </row>
    <row r="48" spans="1:19" ht="15" customHeight="1">
      <c r="A48" s="3260"/>
      <c r="B48" s="3272"/>
      <c r="C48" s="3263"/>
      <c r="D48" s="3284"/>
      <c r="E48" s="3263"/>
      <c r="F48" s="3263"/>
      <c r="G48" s="3265"/>
      <c r="H48" s="3274"/>
      <c r="I48" s="3274"/>
      <c r="J48" s="3274"/>
      <c r="L48" s="3285"/>
      <c r="M48" s="3285"/>
      <c r="N48" s="3285"/>
      <c r="O48" s="3285"/>
      <c r="P48" s="3285"/>
      <c r="Q48" s="3285"/>
      <c r="R48" s="3285"/>
      <c r="S48" s="3285"/>
    </row>
    <row r="49" spans="1:19" ht="15" customHeight="1">
      <c r="A49" s="3260"/>
      <c r="B49" s="3272"/>
      <c r="C49" s="3263"/>
      <c r="D49" s="3273"/>
      <c r="E49" s="3263"/>
      <c r="F49" s="3263"/>
      <c r="G49" s="3265"/>
      <c r="H49" s="3274"/>
      <c r="I49" s="3274"/>
      <c r="J49" s="3274"/>
    </row>
    <row r="50" spans="1:19" s="3285" customFormat="1" ht="15" customHeight="1">
      <c r="A50" s="3286">
        <v>2</v>
      </c>
      <c r="B50" s="3287" t="s">
        <v>3083</v>
      </c>
      <c r="C50" s="3288"/>
      <c r="D50" s="3289"/>
      <c r="E50" s="3290"/>
      <c r="F50" s="3290"/>
      <c r="G50" s="3291"/>
      <c r="H50" s="3292">
        <f>H51+H59+H78+H86+H92+H93+H98</f>
        <v>84662.610963399973</v>
      </c>
      <c r="I50" s="3292">
        <f>I51+I59+I78+I86+I92+I93</f>
        <v>0</v>
      </c>
      <c r="J50" s="3292">
        <f>J51+J59+J78+J86+J92+J93</f>
        <v>84662.610963399973</v>
      </c>
      <c r="K50" s="3256"/>
      <c r="L50" s="3236"/>
      <c r="M50" s="3236"/>
      <c r="N50" s="3236"/>
      <c r="O50" s="3236"/>
      <c r="P50" s="3236"/>
      <c r="Q50" s="3236"/>
      <c r="R50" s="3236"/>
      <c r="S50" s="3236"/>
    </row>
    <row r="51" spans="1:19" ht="15" customHeight="1">
      <c r="A51" s="3251">
        <v>2.1</v>
      </c>
      <c r="B51" s="3252" t="s">
        <v>3084</v>
      </c>
      <c r="C51" s="3253"/>
      <c r="D51" s="3254">
        <f>D52/15</f>
        <v>386.66755133220971</v>
      </c>
      <c r="E51" s="3254"/>
      <c r="F51" s="3254"/>
      <c r="G51" s="3293">
        <f>G52+G53+G54+G55+G56+G57</f>
        <v>79131.600316999989</v>
      </c>
      <c r="H51" s="3255">
        <f>SUM(E51:G51)</f>
        <v>79131.600316999989</v>
      </c>
      <c r="I51" s="3255">
        <f>H51*I2</f>
        <v>0</v>
      </c>
      <c r="J51" s="3255">
        <f>H51*J2</f>
        <v>79131.600316999989</v>
      </c>
      <c r="K51" s="3236">
        <f>SUM([4]权益后!$J$4:$J$7)/SUM([4]权益后!$F$4:$F$7)*13000</f>
        <v>6080.9595202398796</v>
      </c>
      <c r="L51" s="3241">
        <f>I51-K51</f>
        <v>-6080.9595202398796</v>
      </c>
    </row>
    <row r="52" spans="1:19" ht="15" customHeight="1">
      <c r="A52" s="3271"/>
      <c r="B52" s="3272" t="s">
        <v>3085</v>
      </c>
      <c r="C52" s="3273">
        <f>[2]经济指标!D5</f>
        <v>131123</v>
      </c>
      <c r="D52" s="3294">
        <f>G52/C52*10000</f>
        <v>5800.0132699831456</v>
      </c>
      <c r="E52" s="3263"/>
      <c r="F52" s="3263"/>
      <c r="G52" s="3295">
        <f>760515140/10000</f>
        <v>76051.513999999996</v>
      </c>
      <c r="H52" s="3274"/>
      <c r="I52" s="3274"/>
      <c r="J52" s="3274"/>
    </row>
    <row r="53" spans="1:19" ht="15" customHeight="1">
      <c r="A53" s="3271"/>
      <c r="B53" s="3272" t="s">
        <v>3086</v>
      </c>
      <c r="C53" s="3273"/>
      <c r="D53" s="3296"/>
      <c r="E53" s="3263"/>
      <c r="F53" s="3263"/>
      <c r="G53" s="3295">
        <f>G52*0.0405</f>
        <v>3080.0863169999998</v>
      </c>
      <c r="H53" s="3274"/>
      <c r="I53" s="3274"/>
      <c r="J53" s="3274"/>
    </row>
    <row r="54" spans="1:19" ht="15" customHeight="1">
      <c r="A54" s="3271"/>
      <c r="B54" s="3272" t="s">
        <v>3087</v>
      </c>
      <c r="C54" s="3273"/>
      <c r="D54" s="3297"/>
      <c r="E54" s="3263"/>
      <c r="F54" s="3263"/>
      <c r="G54" s="3295"/>
      <c r="H54" s="3274"/>
      <c r="I54" s="3274"/>
      <c r="J54" s="3274"/>
    </row>
    <row r="55" spans="1:19" ht="15" customHeight="1">
      <c r="A55" s="3271"/>
      <c r="B55" s="3272" t="s">
        <v>3088</v>
      </c>
      <c r="C55" s="3273"/>
      <c r="D55" s="3297"/>
      <c r="E55" s="3263"/>
      <c r="F55" s="3263"/>
      <c r="G55" s="3295"/>
      <c r="H55" s="3274"/>
      <c r="I55" s="3274"/>
      <c r="J55" s="3274"/>
    </row>
    <row r="56" spans="1:19" ht="15" customHeight="1">
      <c r="A56" s="3271"/>
      <c r="B56" s="3272" t="s">
        <v>3089</v>
      </c>
      <c r="C56" s="3273"/>
      <c r="D56" s="3273"/>
      <c r="E56" s="3263"/>
      <c r="F56" s="3263"/>
      <c r="G56" s="3265"/>
      <c r="H56" s="3274"/>
      <c r="I56" s="3274"/>
      <c r="J56" s="3274"/>
    </row>
    <row r="57" spans="1:19" ht="15" customHeight="1">
      <c r="A57" s="3271"/>
      <c r="B57" s="3298" t="s">
        <v>3090</v>
      </c>
      <c r="C57" s="3299"/>
      <c r="D57" s="3299"/>
      <c r="E57" s="3300"/>
      <c r="F57" s="3300"/>
      <c r="G57" s="3265">
        <f>C57*D57/10000</f>
        <v>0</v>
      </c>
      <c r="H57" s="3301"/>
      <c r="I57" s="3301"/>
      <c r="J57" s="3301"/>
    </row>
    <row r="58" spans="1:19" ht="15" customHeight="1">
      <c r="A58" s="3271"/>
      <c r="B58" s="3298"/>
      <c r="C58" s="3299"/>
      <c r="D58" s="3299"/>
      <c r="E58" s="3300"/>
      <c r="F58" s="3300"/>
      <c r="G58" s="3265"/>
      <c r="H58" s="3301"/>
      <c r="I58" s="3301"/>
      <c r="J58" s="3301"/>
    </row>
    <row r="59" spans="1:19" ht="15" customHeight="1">
      <c r="A59" s="3251">
        <v>2.2000000000000002</v>
      </c>
      <c r="B59" s="3252" t="s">
        <v>3091</v>
      </c>
      <c r="C59" s="3253"/>
      <c r="D59" s="3254"/>
      <c r="E59" s="3254"/>
      <c r="F59" s="3254"/>
      <c r="G59" s="3254">
        <f>SUM(G60:G77)</f>
        <v>943.19850899999994</v>
      </c>
      <c r="H59" s="3255">
        <f>SUM(E59:G59)</f>
        <v>943.19850899999994</v>
      </c>
      <c r="I59" s="3255">
        <f>SUM(I60:I72)</f>
        <v>0</v>
      </c>
      <c r="J59" s="3255">
        <f>SUM(J60:J72)</f>
        <v>943.19850899999994</v>
      </c>
    </row>
    <row r="60" spans="1:19" ht="15" customHeight="1">
      <c r="A60" s="3260"/>
      <c r="B60" s="3272" t="s">
        <v>3092</v>
      </c>
      <c r="C60" s="3263">
        <f>[2]经济指标!D3</f>
        <v>72846.2</v>
      </c>
      <c r="D60" s="3273">
        <v>1.8</v>
      </c>
      <c r="E60" s="3263"/>
      <c r="F60" s="3263"/>
      <c r="G60" s="3265">
        <f>C60*D60/10000</f>
        <v>13.112316</v>
      </c>
      <c r="H60" s="3274"/>
      <c r="I60" s="3274">
        <f>G60*$I$2</f>
        <v>0</v>
      </c>
      <c r="J60" s="3274">
        <f>G60*$J$2</f>
        <v>13.112316</v>
      </c>
      <c r="K60" s="3236" t="s">
        <v>3093</v>
      </c>
    </row>
    <row r="61" spans="1:19" ht="15" customHeight="1">
      <c r="A61" s="3260"/>
      <c r="B61" s="3272" t="s">
        <v>3094</v>
      </c>
      <c r="C61" s="3263">
        <f>[2]经济指标!D4</f>
        <v>180792</v>
      </c>
      <c r="D61" s="3273">
        <v>2</v>
      </c>
      <c r="E61" s="3263"/>
      <c r="F61" s="3263"/>
      <c r="G61" s="3265">
        <f>C61*D61/10000</f>
        <v>36.1584</v>
      </c>
      <c r="H61" s="3274"/>
      <c r="I61" s="3274">
        <f>G61*$I$2</f>
        <v>0</v>
      </c>
      <c r="J61" s="3274">
        <f>G61*$J$2</f>
        <v>36.1584</v>
      </c>
      <c r="K61" s="3236" t="s">
        <v>3095</v>
      </c>
    </row>
    <row r="62" spans="1:19" ht="15" customHeight="1">
      <c r="A62" s="3260"/>
      <c r="B62" s="3272" t="s">
        <v>3096</v>
      </c>
      <c r="C62" s="3263"/>
      <c r="D62" s="3273"/>
      <c r="E62" s="3263"/>
      <c r="F62" s="3263"/>
      <c r="G62" s="3302">
        <v>20</v>
      </c>
      <c r="H62" s="3274"/>
      <c r="I62" s="3274">
        <f>G62*$I$2</f>
        <v>0</v>
      </c>
      <c r="J62" s="3274">
        <f>G62*$J$2</f>
        <v>20</v>
      </c>
    </row>
    <row r="63" spans="1:19" ht="15" customHeight="1">
      <c r="A63" s="3260"/>
      <c r="B63" s="3272" t="s">
        <v>3097</v>
      </c>
      <c r="C63" s="3263">
        <f>C60</f>
        <v>72846.2</v>
      </c>
      <c r="D63" s="3303">
        <v>3</v>
      </c>
      <c r="E63" s="3263"/>
      <c r="F63" s="3263"/>
      <c r="G63" s="3265">
        <f>C63*D63/10000</f>
        <v>21.853859999999997</v>
      </c>
      <c r="H63" s="3274"/>
      <c r="I63" s="3274">
        <f>G63*$I$2</f>
        <v>0</v>
      </c>
      <c r="J63" s="3274">
        <f>G63*$J$2</f>
        <v>21.853859999999997</v>
      </c>
    </row>
    <row r="64" spans="1:19" ht="15" customHeight="1">
      <c r="A64" s="3260"/>
      <c r="B64" s="3272" t="s">
        <v>3098</v>
      </c>
      <c r="C64" s="3263">
        <f>C61</f>
        <v>180792</v>
      </c>
      <c r="D64" s="3304">
        <v>30</v>
      </c>
      <c r="E64" s="3263"/>
      <c r="F64" s="3263"/>
      <c r="G64" s="3265">
        <f>C64*D64/10000</f>
        <v>542.37599999999998</v>
      </c>
      <c r="H64" s="3274"/>
      <c r="I64" s="3274">
        <f t="shared" ref="I64:I77" si="7">G64*$I$2</f>
        <v>0</v>
      </c>
      <c r="J64" s="3274">
        <f t="shared" ref="J64:J77" si="8">G64*$J$2</f>
        <v>542.37599999999998</v>
      </c>
    </row>
    <row r="65" spans="1:19" ht="15" hidden="1" customHeight="1">
      <c r="A65" s="3260"/>
      <c r="B65" s="3272" t="s">
        <v>3099</v>
      </c>
      <c r="C65" s="3263">
        <f>G64</f>
        <v>542.37599999999998</v>
      </c>
      <c r="D65" s="3296"/>
      <c r="E65" s="3263"/>
      <c r="F65" s="3263"/>
      <c r="G65" s="3265">
        <f>C65*D65</f>
        <v>0</v>
      </c>
      <c r="H65" s="3274"/>
      <c r="I65" s="3274">
        <f t="shared" si="7"/>
        <v>0</v>
      </c>
      <c r="J65" s="3274">
        <f t="shared" si="8"/>
        <v>0</v>
      </c>
      <c r="K65" s="3236" t="s">
        <v>3100</v>
      </c>
    </row>
    <row r="66" spans="1:19" ht="15" customHeight="1">
      <c r="A66" s="3260"/>
      <c r="B66" s="3272" t="s">
        <v>3101</v>
      </c>
      <c r="C66" s="3263"/>
      <c r="D66" s="3263"/>
      <c r="E66" s="3263"/>
      <c r="F66" s="3263"/>
      <c r="G66" s="3265">
        <v>20</v>
      </c>
      <c r="H66" s="3274"/>
      <c r="I66" s="3274">
        <f t="shared" si="7"/>
        <v>0</v>
      </c>
      <c r="J66" s="3274">
        <f t="shared" si="8"/>
        <v>20</v>
      </c>
      <c r="L66" s="3305"/>
      <c r="M66" s="3305"/>
      <c r="N66" s="3305"/>
      <c r="O66" s="3305"/>
      <c r="P66" s="3305"/>
      <c r="Q66" s="3305"/>
      <c r="R66" s="3305"/>
      <c r="S66" s="3305"/>
    </row>
    <row r="67" spans="1:19" ht="15" customHeight="1">
      <c r="A67" s="3260"/>
      <c r="B67" s="3272" t="s">
        <v>3102</v>
      </c>
      <c r="C67" s="3263"/>
      <c r="D67" s="3263"/>
      <c r="E67" s="3263"/>
      <c r="F67" s="3263"/>
      <c r="G67" s="3265">
        <v>10</v>
      </c>
      <c r="H67" s="3274"/>
      <c r="I67" s="3274">
        <f t="shared" si="7"/>
        <v>0</v>
      </c>
      <c r="J67" s="3274">
        <f t="shared" si="8"/>
        <v>10</v>
      </c>
      <c r="K67" s="3236" t="s">
        <v>3103</v>
      </c>
      <c r="L67" s="3305"/>
      <c r="M67" s="3305"/>
      <c r="N67" s="3305"/>
      <c r="O67" s="3305"/>
      <c r="P67" s="3305"/>
      <c r="Q67" s="3305"/>
      <c r="R67" s="3305"/>
      <c r="S67" s="3305"/>
    </row>
    <row r="68" spans="1:19" s="3305" customFormat="1" ht="15" customHeight="1">
      <c r="A68" s="3260"/>
      <c r="B68" s="3272" t="s">
        <v>3104</v>
      </c>
      <c r="C68" s="3263">
        <f>H4</f>
        <v>54939.586600000002</v>
      </c>
      <c r="D68" s="3296">
        <v>5.0000000000000001E-4</v>
      </c>
      <c r="E68" s="3263"/>
      <c r="F68" s="3263"/>
      <c r="G68" s="3265">
        <f>D68*C68</f>
        <v>27.469793300000003</v>
      </c>
      <c r="H68" s="3306"/>
      <c r="I68" s="3306">
        <f t="shared" si="7"/>
        <v>0</v>
      </c>
      <c r="J68" s="3306">
        <f t="shared" si="8"/>
        <v>27.469793300000003</v>
      </c>
      <c r="K68" s="3307" t="s">
        <v>3105</v>
      </c>
      <c r="L68" s="3307"/>
      <c r="M68" s="3236"/>
      <c r="N68" s="3236"/>
      <c r="O68" s="3236"/>
      <c r="P68" s="3236"/>
      <c r="Q68" s="3236"/>
      <c r="R68" s="3236"/>
      <c r="S68" s="3236"/>
    </row>
    <row r="69" spans="1:19" s="3305" customFormat="1" ht="15" customHeight="1">
      <c r="A69" s="3260"/>
      <c r="B69" s="3272" t="s">
        <v>3106</v>
      </c>
      <c r="C69" s="3273">
        <f>H4</f>
        <v>54939.586600000002</v>
      </c>
      <c r="D69" s="3296">
        <v>5.0000000000000001E-4</v>
      </c>
      <c r="E69" s="3263"/>
      <c r="F69" s="3263"/>
      <c r="G69" s="3265">
        <f>C69*D69</f>
        <v>27.469793300000003</v>
      </c>
      <c r="H69" s="3306"/>
      <c r="I69" s="3306">
        <f t="shared" si="7"/>
        <v>0</v>
      </c>
      <c r="J69" s="3306">
        <f t="shared" si="8"/>
        <v>27.469793300000003</v>
      </c>
      <c r="K69" s="3307" t="s">
        <v>3107</v>
      </c>
      <c r="L69" s="3307"/>
    </row>
    <row r="70" spans="1:19" ht="15" customHeight="1">
      <c r="A70" s="3260"/>
      <c r="B70" s="3272" t="s">
        <v>3108</v>
      </c>
      <c r="C70" s="3273"/>
      <c r="D70" s="3273"/>
      <c r="E70" s="3308"/>
      <c r="F70" s="3308"/>
      <c r="G70" s="3265">
        <v>5</v>
      </c>
      <c r="H70" s="3274"/>
      <c r="I70" s="3274">
        <f t="shared" si="7"/>
        <v>0</v>
      </c>
      <c r="J70" s="3274">
        <f t="shared" si="8"/>
        <v>5</v>
      </c>
      <c r="K70" s="3236" t="s">
        <v>3109</v>
      </c>
    </row>
    <row r="71" spans="1:19" s="3305" customFormat="1" ht="15" hidden="1" customHeight="1">
      <c r="A71" s="3260"/>
      <c r="B71" s="3272" t="s">
        <v>3110</v>
      </c>
      <c r="C71" s="3263"/>
      <c r="D71" s="3284"/>
      <c r="E71" s="3263"/>
      <c r="F71" s="3263"/>
      <c r="G71" s="3265"/>
      <c r="H71" s="3306"/>
      <c r="I71" s="3306">
        <f t="shared" si="7"/>
        <v>0</v>
      </c>
      <c r="J71" s="3306">
        <f t="shared" si="8"/>
        <v>0</v>
      </c>
      <c r="L71" s="3236"/>
      <c r="M71" s="3236"/>
      <c r="N71" s="3236"/>
      <c r="O71" s="3236"/>
      <c r="P71" s="3236"/>
      <c r="Q71" s="3236"/>
      <c r="R71" s="3236"/>
      <c r="S71" s="3236"/>
    </row>
    <row r="72" spans="1:19" ht="15" customHeight="1">
      <c r="A72" s="3271"/>
      <c r="B72" s="3272" t="s">
        <v>3111</v>
      </c>
      <c r="C72" s="3270">
        <f>H4</f>
        <v>54939.586600000002</v>
      </c>
      <c r="D72" s="3296">
        <v>4.0000000000000001E-3</v>
      </c>
      <c r="E72" s="3263"/>
      <c r="F72" s="3263"/>
      <c r="G72" s="3265">
        <f>C72*D72</f>
        <v>219.75834640000002</v>
      </c>
      <c r="H72" s="3274"/>
      <c r="I72" s="3274">
        <f t="shared" si="7"/>
        <v>0</v>
      </c>
      <c r="J72" s="3274">
        <f t="shared" si="8"/>
        <v>219.75834640000002</v>
      </c>
      <c r="K72" s="3236" t="s">
        <v>3112</v>
      </c>
    </row>
    <row r="73" spans="1:19" ht="15" hidden="1" customHeight="1">
      <c r="A73" s="3271"/>
      <c r="B73" s="3272" t="s">
        <v>3113</v>
      </c>
      <c r="C73" s="3273">
        <f>C60</f>
        <v>72846.2</v>
      </c>
      <c r="D73" s="3273"/>
      <c r="E73" s="3263"/>
      <c r="F73" s="3263"/>
      <c r="G73" s="3265">
        <f>C73*D73/10000</f>
        <v>0</v>
      </c>
      <c r="H73" s="3274"/>
      <c r="I73" s="3274">
        <f t="shared" si="7"/>
        <v>0</v>
      </c>
      <c r="J73" s="3274">
        <f t="shared" si="8"/>
        <v>0</v>
      </c>
    </row>
    <row r="74" spans="1:19" ht="15" hidden="1" customHeight="1">
      <c r="A74" s="3260"/>
      <c r="B74" s="3272" t="s">
        <v>2880</v>
      </c>
      <c r="C74" s="3273"/>
      <c r="D74" s="3273"/>
      <c r="E74" s="3263"/>
      <c r="F74" s="3263"/>
      <c r="G74" s="3265"/>
      <c r="H74" s="3274"/>
      <c r="I74" s="3274">
        <f t="shared" si="7"/>
        <v>0</v>
      </c>
      <c r="J74" s="3274">
        <f t="shared" si="8"/>
        <v>0</v>
      </c>
    </row>
    <row r="75" spans="1:19" ht="15" hidden="1" customHeight="1">
      <c r="A75" s="3260"/>
      <c r="B75" s="3272" t="s">
        <v>3114</v>
      </c>
      <c r="C75" s="3273"/>
      <c r="D75" s="3273"/>
      <c r="E75" s="3263"/>
      <c r="F75" s="3263"/>
      <c r="G75" s="3309"/>
      <c r="H75" s="3274"/>
      <c r="I75" s="3274">
        <f t="shared" si="7"/>
        <v>0</v>
      </c>
      <c r="J75" s="3274">
        <f t="shared" si="8"/>
        <v>0</v>
      </c>
    </row>
    <row r="76" spans="1:19" ht="15" hidden="1" customHeight="1">
      <c r="A76" s="3271"/>
      <c r="B76" s="3272" t="s">
        <v>3115</v>
      </c>
      <c r="C76" s="3273"/>
      <c r="D76" s="3273"/>
      <c r="E76" s="3263"/>
      <c r="F76" s="3263"/>
      <c r="G76" s="3265">
        <f>C76*D76/10000</f>
        <v>0</v>
      </c>
      <c r="H76" s="3274"/>
      <c r="I76" s="3274">
        <f t="shared" si="7"/>
        <v>0</v>
      </c>
      <c r="J76" s="3274">
        <f t="shared" si="8"/>
        <v>0</v>
      </c>
    </row>
    <row r="77" spans="1:19" ht="15" hidden="1" customHeight="1">
      <c r="A77" s="3260"/>
      <c r="B77" s="3272"/>
      <c r="C77" s="3273"/>
      <c r="D77" s="3273"/>
      <c r="E77" s="3263"/>
      <c r="F77" s="3263"/>
      <c r="G77" s="3265"/>
      <c r="H77" s="3274"/>
      <c r="I77" s="3274">
        <f t="shared" si="7"/>
        <v>0</v>
      </c>
      <c r="J77" s="3274">
        <f t="shared" si="8"/>
        <v>0</v>
      </c>
    </row>
    <row r="78" spans="1:19" ht="15" customHeight="1">
      <c r="A78" s="3251">
        <v>2.2999999999999998</v>
      </c>
      <c r="B78" s="3252" t="s">
        <v>3116</v>
      </c>
      <c r="C78" s="3253"/>
      <c r="D78" s="3254"/>
      <c r="E78" s="3254"/>
      <c r="F78" s="3254"/>
      <c r="G78" s="3254">
        <f>SUM(G79:G85)</f>
        <v>2882.9844399999997</v>
      </c>
      <c r="H78" s="3255">
        <f>SUM(E78:G78)</f>
        <v>2882.9844399999997</v>
      </c>
      <c r="I78" s="3255">
        <f>SUM(I79:I81)</f>
        <v>0</v>
      </c>
      <c r="J78" s="3255">
        <f>SUM(J79:J85)</f>
        <v>2882.9844399999997</v>
      </c>
      <c r="K78" s="3256"/>
    </row>
    <row r="79" spans="1:19" ht="15" customHeight="1">
      <c r="A79" s="3260"/>
      <c r="B79" s="3310" t="s">
        <v>3117</v>
      </c>
      <c r="C79" s="3263">
        <f>[2]经济指标!D5</f>
        <v>131123</v>
      </c>
      <c r="D79" s="3273">
        <v>216</v>
      </c>
      <c r="E79" s="3263"/>
      <c r="F79" s="3263"/>
      <c r="G79" s="3265">
        <f>C79*D79/10000</f>
        <v>2832.2568000000001</v>
      </c>
      <c r="H79" s="3274"/>
      <c r="I79" s="3274">
        <f>G79*$I$2</f>
        <v>0</v>
      </c>
      <c r="J79" s="3274">
        <f>G79*$J$2</f>
        <v>2832.2568000000001</v>
      </c>
      <c r="K79" s="3236" t="s">
        <v>3118</v>
      </c>
    </row>
    <row r="80" spans="1:19" ht="15" hidden="1" customHeight="1">
      <c r="A80" s="3260"/>
      <c r="B80" s="3310" t="s">
        <v>3119</v>
      </c>
      <c r="C80" s="3311">
        <f>[2]经济指标!D23</f>
        <v>18212</v>
      </c>
      <c r="D80" s="3312"/>
      <c r="E80" s="3263"/>
      <c r="F80" s="3263"/>
      <c r="G80" s="3265">
        <f>C80*D80/10000</f>
        <v>0</v>
      </c>
      <c r="H80" s="3274"/>
      <c r="I80" s="3274">
        <f>G80*$I$2</f>
        <v>0</v>
      </c>
      <c r="J80" s="3274">
        <f>G80*$J$2</f>
        <v>0</v>
      </c>
      <c r="K80" s="3236" t="s">
        <v>3120</v>
      </c>
    </row>
    <row r="81" spans="1:19" ht="15" customHeight="1">
      <c r="A81" s="3260"/>
      <c r="B81" s="3272" t="s">
        <v>3121</v>
      </c>
      <c r="C81" s="3263">
        <f>C60</f>
        <v>72846.2</v>
      </c>
      <c r="D81" s="3273">
        <v>2</v>
      </c>
      <c r="E81" s="3263"/>
      <c r="F81" s="3263"/>
      <c r="G81" s="3265">
        <f>C81*D81/10000</f>
        <v>14.569239999999999</v>
      </c>
      <c r="H81" s="3274"/>
      <c r="I81" s="3274">
        <f>G81*$I$2</f>
        <v>0</v>
      </c>
      <c r="J81" s="3274">
        <f>G81*$J$2</f>
        <v>14.569239999999999</v>
      </c>
      <c r="K81" s="3236" t="s">
        <v>3122</v>
      </c>
    </row>
    <row r="82" spans="1:19" ht="15" customHeight="1">
      <c r="A82" s="3260"/>
      <c r="B82" s="3272" t="s">
        <v>3123</v>
      </c>
      <c r="C82" s="3263">
        <f>C61</f>
        <v>180792</v>
      </c>
      <c r="D82" s="3273">
        <v>2</v>
      </c>
      <c r="E82" s="3263"/>
      <c r="F82" s="3263"/>
      <c r="G82" s="3265">
        <f>C82*D82/10000</f>
        <v>36.1584</v>
      </c>
      <c r="H82" s="3274"/>
      <c r="I82" s="3274">
        <f>G82*$I$2</f>
        <v>0</v>
      </c>
      <c r="J82" s="3274">
        <f>G82*$J$2</f>
        <v>36.1584</v>
      </c>
    </row>
    <row r="83" spans="1:19" ht="15" hidden="1" customHeight="1">
      <c r="A83" s="3260"/>
      <c r="B83" s="3272"/>
      <c r="C83" s="3263"/>
      <c r="D83" s="3296"/>
      <c r="E83" s="3263"/>
      <c r="F83" s="3263"/>
      <c r="G83" s="3265">
        <f>C83*D83</f>
        <v>0</v>
      </c>
      <c r="H83" s="3274"/>
      <c r="I83" s="3274"/>
      <c r="J83" s="3274"/>
    </row>
    <row r="84" spans="1:19" ht="15" hidden="1" customHeight="1">
      <c r="A84" s="3260"/>
      <c r="B84" s="3272"/>
      <c r="C84" s="3263"/>
      <c r="D84" s="3296"/>
      <c r="E84" s="3263"/>
      <c r="F84" s="3263"/>
      <c r="G84" s="3265">
        <f>C84*D84</f>
        <v>0</v>
      </c>
      <c r="H84" s="3274"/>
      <c r="I84" s="3274"/>
      <c r="J84" s="3274"/>
    </row>
    <row r="85" spans="1:19" ht="15" hidden="1" customHeight="1">
      <c r="A85" s="3260"/>
      <c r="B85" s="3272"/>
      <c r="C85" s="3263"/>
      <c r="D85" s="3263"/>
      <c r="E85" s="3263"/>
      <c r="F85" s="3263"/>
      <c r="G85" s="3265"/>
      <c r="H85" s="3274"/>
      <c r="I85" s="3274"/>
      <c r="J85" s="3274"/>
    </row>
    <row r="86" spans="1:19" ht="15" customHeight="1">
      <c r="A86" s="3251">
        <v>2.4</v>
      </c>
      <c r="B86" s="3252" t="s">
        <v>3045</v>
      </c>
      <c r="C86" s="3253"/>
      <c r="D86" s="3254"/>
      <c r="E86" s="3254"/>
      <c r="F86" s="3254"/>
      <c r="G86" s="3254">
        <f>SUM(G87:G91)</f>
        <v>880.73389840000004</v>
      </c>
      <c r="H86" s="3255">
        <f>SUM(E86:G86)</f>
        <v>880.73389840000004</v>
      </c>
      <c r="I86" s="3255">
        <f>SUM(I87:I91)</f>
        <v>0</v>
      </c>
      <c r="J86" s="3255">
        <f>SUM(J87:J91)</f>
        <v>880.73389840000004</v>
      </c>
      <c r="K86" s="3256"/>
    </row>
    <row r="87" spans="1:19" ht="15" customHeight="1">
      <c r="A87" s="3260"/>
      <c r="B87" s="3272" t="s">
        <v>3124</v>
      </c>
      <c r="C87" s="3263">
        <f>C61</f>
        <v>180792</v>
      </c>
      <c r="D87" s="3273">
        <v>30</v>
      </c>
      <c r="E87" s="3263"/>
      <c r="F87" s="3263"/>
      <c r="G87" s="3265">
        <f>C87*D87/10000</f>
        <v>542.37599999999998</v>
      </c>
      <c r="H87" s="3274"/>
      <c r="I87" s="3274">
        <f>G87*$I$2</f>
        <v>0</v>
      </c>
      <c r="J87" s="3274">
        <f>G87*$J$2</f>
        <v>542.37599999999998</v>
      </c>
      <c r="K87" s="3236" t="s">
        <v>3125</v>
      </c>
    </row>
    <row r="88" spans="1:19" ht="15" customHeight="1">
      <c r="A88" s="3260"/>
      <c r="B88" s="3272" t="s">
        <v>3126</v>
      </c>
      <c r="C88" s="3263">
        <f>C69</f>
        <v>54939.586600000002</v>
      </c>
      <c r="D88" s="3296">
        <v>4.0000000000000001E-3</v>
      </c>
      <c r="E88" s="3263"/>
      <c r="F88" s="3263"/>
      <c r="G88" s="3265">
        <f>C88*D88</f>
        <v>219.75834640000002</v>
      </c>
      <c r="H88" s="3274"/>
      <c r="I88" s="3274">
        <f>G88*$I$2</f>
        <v>0</v>
      </c>
      <c r="J88" s="3274">
        <f>G88*$J$2</f>
        <v>219.75834640000002</v>
      </c>
      <c r="K88" s="3236" t="s">
        <v>3127</v>
      </c>
    </row>
    <row r="89" spans="1:19" ht="15" customHeight="1">
      <c r="A89" s="3260"/>
      <c r="B89" s="3272" t="s">
        <v>3128</v>
      </c>
      <c r="C89" s="3273">
        <f>C61</f>
        <v>180792</v>
      </c>
      <c r="D89" s="3273">
        <v>1.36</v>
      </c>
      <c r="E89" s="3263"/>
      <c r="F89" s="3263"/>
      <c r="G89" s="3265">
        <f>C89*D89/10000</f>
        <v>24.587712000000003</v>
      </c>
      <c r="H89" s="3274"/>
      <c r="I89" s="3274">
        <f>G89*$I$2</f>
        <v>0</v>
      </c>
      <c r="J89" s="3274">
        <f>G89*$J$2</f>
        <v>24.587712000000003</v>
      </c>
      <c r="K89" s="3236" t="s">
        <v>3129</v>
      </c>
    </row>
    <row r="90" spans="1:19" ht="15" customHeight="1">
      <c r="A90" s="3260"/>
      <c r="B90" s="3272" t="s">
        <v>3130</v>
      </c>
      <c r="C90" s="3263">
        <f>C89</f>
        <v>180792</v>
      </c>
      <c r="D90" s="3273">
        <v>1.2</v>
      </c>
      <c r="E90" s="3263"/>
      <c r="F90" s="3263"/>
      <c r="G90" s="3265">
        <f>C90*D90/10000</f>
        <v>21.695039999999999</v>
      </c>
      <c r="H90" s="3274"/>
      <c r="I90" s="3274">
        <f>G90*$I$2</f>
        <v>0</v>
      </c>
      <c r="J90" s="3274">
        <f>G90*$J$2</f>
        <v>21.695039999999999</v>
      </c>
      <c r="K90" s="3236" t="s">
        <v>3131</v>
      </c>
    </row>
    <row r="91" spans="1:19" ht="15" customHeight="1">
      <c r="A91" s="3260"/>
      <c r="B91" s="3272" t="s">
        <v>3132</v>
      </c>
      <c r="C91" s="3263">
        <f>C90</f>
        <v>180792</v>
      </c>
      <c r="D91" s="3273">
        <v>4</v>
      </c>
      <c r="E91" s="3263"/>
      <c r="F91" s="3263"/>
      <c r="G91" s="3265">
        <f>C91*D91/10000</f>
        <v>72.316800000000001</v>
      </c>
      <c r="H91" s="3274"/>
      <c r="I91" s="3274">
        <f>G91*$I$2</f>
        <v>0</v>
      </c>
      <c r="J91" s="3274">
        <f>G91*$J$2</f>
        <v>72.316800000000001</v>
      </c>
      <c r="K91" s="3236" t="s">
        <v>3133</v>
      </c>
    </row>
    <row r="92" spans="1:19" ht="15" customHeight="1">
      <c r="A92" s="3251">
        <v>2.5</v>
      </c>
      <c r="B92" s="3313" t="s">
        <v>3134</v>
      </c>
      <c r="C92" s="3314">
        <f>H4</f>
        <v>54939.586600000002</v>
      </c>
      <c r="D92" s="3315">
        <v>1.4999999999999999E-2</v>
      </c>
      <c r="E92" s="3254"/>
      <c r="F92" s="3254"/>
      <c r="G92" s="3254">
        <f>C92*D92</f>
        <v>824.09379899999999</v>
      </c>
      <c r="H92" s="3255">
        <f>SUM(E92:G92)</f>
        <v>824.09379899999999</v>
      </c>
      <c r="I92" s="3255">
        <f>I4*D92</f>
        <v>0</v>
      </c>
      <c r="J92" s="3255">
        <f>J4*D92</f>
        <v>824.09379899999999</v>
      </c>
      <c r="K92" s="3256"/>
      <c r="L92" s="3305"/>
      <c r="M92" s="3305"/>
      <c r="N92" s="3305"/>
      <c r="O92" s="3305"/>
      <c r="P92" s="3305"/>
      <c r="Q92" s="3305"/>
      <c r="R92" s="3305"/>
      <c r="S92" s="3305"/>
    </row>
    <row r="93" spans="1:19" ht="15" customHeight="1">
      <c r="A93" s="3251">
        <v>2.6</v>
      </c>
      <c r="B93" s="3313" t="s">
        <v>3135</v>
      </c>
      <c r="C93" s="3314"/>
      <c r="D93" s="3315"/>
      <c r="E93" s="3254"/>
      <c r="F93" s="3254"/>
      <c r="G93" s="3254">
        <f>SUM(G94:G97)</f>
        <v>0</v>
      </c>
      <c r="H93" s="3255">
        <f>SUM(E93:G93)</f>
        <v>0</v>
      </c>
      <c r="I93" s="3255"/>
      <c r="J93" s="3255"/>
    </row>
    <row r="94" spans="1:19" s="3305" customFormat="1" ht="15" hidden="1" customHeight="1">
      <c r="A94" s="3316"/>
      <c r="B94" s="3317"/>
      <c r="C94" s="3318"/>
      <c r="D94" s="3319"/>
      <c r="E94" s="3318"/>
      <c r="F94" s="3318"/>
      <c r="G94" s="3309"/>
      <c r="H94" s="3306"/>
      <c r="I94" s="3306"/>
      <c r="J94" s="3306"/>
      <c r="L94" s="3236"/>
      <c r="M94" s="3236"/>
      <c r="N94" s="3236"/>
      <c r="O94" s="3236"/>
      <c r="P94" s="3236"/>
      <c r="Q94" s="3236"/>
      <c r="R94" s="3236"/>
      <c r="S94" s="3236"/>
    </row>
    <row r="95" spans="1:19" ht="15" hidden="1" customHeight="1">
      <c r="A95" s="3260"/>
      <c r="B95" s="3272"/>
      <c r="C95" s="3263"/>
      <c r="D95" s="3273"/>
      <c r="E95" s="3263"/>
      <c r="F95" s="3263"/>
      <c r="G95" s="3265">
        <v>0</v>
      </c>
      <c r="H95" s="3274"/>
      <c r="I95" s="3274"/>
      <c r="J95" s="3274"/>
    </row>
    <row r="96" spans="1:19" ht="15" hidden="1" customHeight="1">
      <c r="A96" s="3260"/>
      <c r="B96" s="3272"/>
      <c r="C96" s="3263"/>
      <c r="D96" s="3273"/>
      <c r="E96" s="3263"/>
      <c r="F96" s="3263"/>
      <c r="G96" s="3265">
        <f>C96*D96/10000</f>
        <v>0</v>
      </c>
      <c r="H96" s="3274"/>
      <c r="I96" s="3274"/>
      <c r="J96" s="3274"/>
    </row>
    <row r="97" spans="1:19" ht="15" hidden="1" customHeight="1">
      <c r="A97" s="3260"/>
      <c r="B97" s="3272"/>
      <c r="C97" s="3263"/>
      <c r="D97" s="3273"/>
      <c r="E97" s="3263"/>
      <c r="F97" s="3263"/>
      <c r="G97" s="3265">
        <f>C97*D97/10000</f>
        <v>0</v>
      </c>
      <c r="H97" s="3274"/>
      <c r="I97" s="3274"/>
      <c r="J97" s="3274"/>
      <c r="L97" s="3305"/>
      <c r="M97" s="3305"/>
      <c r="N97" s="3305"/>
      <c r="O97" s="3305"/>
      <c r="P97" s="3305"/>
      <c r="Q97" s="3305"/>
      <c r="R97" s="3305"/>
      <c r="S97" s="3305"/>
    </row>
    <row r="98" spans="1:19" ht="15" hidden="1" customHeight="1">
      <c r="A98" s="3251">
        <v>2.7</v>
      </c>
      <c r="B98" s="3313" t="s">
        <v>3136</v>
      </c>
      <c r="C98" s="3314"/>
      <c r="D98" s="3315"/>
      <c r="E98" s="3254"/>
      <c r="F98" s="3254"/>
      <c r="G98" s="3254">
        <f>SUM(G99:G102)</f>
        <v>0</v>
      </c>
      <c r="H98" s="3255">
        <f>SUM(E98:G98)</f>
        <v>0</v>
      </c>
      <c r="I98" s="3255"/>
      <c r="J98" s="3255"/>
    </row>
    <row r="99" spans="1:19" s="3305" customFormat="1" ht="15" hidden="1" customHeight="1">
      <c r="A99" s="3316"/>
      <c r="B99" s="3317" t="s">
        <v>3137</v>
      </c>
      <c r="C99" s="3318"/>
      <c r="D99" s="3319"/>
      <c r="E99" s="3318"/>
      <c r="F99" s="3318"/>
      <c r="G99" s="3309"/>
      <c r="H99" s="3306"/>
      <c r="I99" s="3306"/>
      <c r="J99" s="3306"/>
      <c r="L99" s="3236"/>
      <c r="M99" s="3236"/>
      <c r="N99" s="3236"/>
      <c r="O99" s="3236"/>
      <c r="P99" s="3236"/>
      <c r="Q99" s="3236"/>
      <c r="R99" s="3236"/>
      <c r="S99" s="3236"/>
    </row>
    <row r="100" spans="1:19" ht="15" hidden="1" customHeight="1">
      <c r="A100" s="3260"/>
      <c r="B100" s="3272" t="s">
        <v>3138</v>
      </c>
      <c r="C100" s="3263"/>
      <c r="D100" s="3273"/>
      <c r="E100" s="3263"/>
      <c r="F100" s="3263"/>
      <c r="G100" s="3320"/>
      <c r="H100" s="3274"/>
      <c r="I100" s="3274"/>
      <c r="J100" s="3274"/>
    </row>
    <row r="101" spans="1:19" ht="15" hidden="1" customHeight="1">
      <c r="A101" s="3260"/>
      <c r="B101" s="3272"/>
      <c r="C101" s="3263"/>
      <c r="D101" s="3273"/>
      <c r="E101" s="3263"/>
      <c r="F101" s="3263"/>
      <c r="G101" s="3265">
        <f>C101*D101/10000</f>
        <v>0</v>
      </c>
      <c r="H101" s="3274"/>
      <c r="I101" s="3274"/>
      <c r="J101" s="3274"/>
      <c r="L101" s="3285"/>
      <c r="M101" s="3285"/>
      <c r="N101" s="3285"/>
      <c r="O101" s="3285"/>
      <c r="P101" s="3285"/>
      <c r="Q101" s="3285"/>
      <c r="R101" s="3285"/>
      <c r="S101" s="3285"/>
    </row>
    <row r="102" spans="1:19" ht="15" hidden="1" customHeight="1">
      <c r="A102" s="3260"/>
      <c r="B102" s="3272"/>
      <c r="C102" s="3263"/>
      <c r="D102" s="3273"/>
      <c r="E102" s="3263"/>
      <c r="F102" s="3263"/>
      <c r="G102" s="3265">
        <f>C102*D102/10000</f>
        <v>0</v>
      </c>
      <c r="H102" s="3274"/>
      <c r="I102" s="3274"/>
      <c r="J102" s="3274"/>
    </row>
    <row r="103" spans="1:19" s="3285" customFormat="1" ht="15" customHeight="1">
      <c r="A103" s="3286">
        <v>3</v>
      </c>
      <c r="B103" s="3287" t="s">
        <v>3139</v>
      </c>
      <c r="C103" s="3288"/>
      <c r="D103" s="3289"/>
      <c r="E103" s="3290"/>
      <c r="F103" s="3290"/>
      <c r="G103" s="3291">
        <f>G104+G105</f>
        <v>8809.2778890162263</v>
      </c>
      <c r="H103" s="3292">
        <f>SUM(E103:G103)</f>
        <v>8809.2778890162263</v>
      </c>
      <c r="I103" s="3292">
        <f>I104+I105</f>
        <v>0</v>
      </c>
      <c r="J103" s="3292">
        <f>J104+J105</f>
        <v>8809.2778890162263</v>
      </c>
      <c r="K103" s="3256"/>
      <c r="L103" s="3236"/>
      <c r="M103" s="3236"/>
      <c r="N103" s="3236"/>
      <c r="O103" s="3236"/>
      <c r="P103" s="3236"/>
      <c r="Q103" s="3236"/>
      <c r="R103" s="3236"/>
      <c r="S103" s="3236"/>
    </row>
    <row r="104" spans="1:19" ht="15" customHeight="1">
      <c r="A104" s="3251">
        <v>3.1</v>
      </c>
      <c r="B104" s="3313" t="s">
        <v>3140</v>
      </c>
      <c r="C104" s="3314">
        <f>H4+H50</f>
        <v>139602.19756339997</v>
      </c>
      <c r="D104" s="3315">
        <v>0.05</v>
      </c>
      <c r="E104" s="3254"/>
      <c r="F104" s="3254"/>
      <c r="G104" s="3254">
        <f>C104*D104</f>
        <v>6980.1098781699984</v>
      </c>
      <c r="H104" s="3255"/>
      <c r="I104" s="3255">
        <f>(I4+I50)*D104</f>
        <v>0</v>
      </c>
      <c r="J104" s="3255">
        <f>(J4+J50)*D104</f>
        <v>6980.1098781699984</v>
      </c>
    </row>
    <row r="105" spans="1:19" ht="15" customHeight="1">
      <c r="A105" s="3251">
        <v>3.2</v>
      </c>
      <c r="B105" s="3313" t="s">
        <v>3141</v>
      </c>
      <c r="C105" s="3314">
        <f>H4</f>
        <v>54939.586600000002</v>
      </c>
      <c r="D105" s="3315">
        <v>0.03</v>
      </c>
      <c r="E105" s="3254"/>
      <c r="F105" s="3254"/>
      <c r="G105" s="3254">
        <f>SUM(G106:G108)</f>
        <v>1829.1680108462274</v>
      </c>
      <c r="H105" s="3255"/>
      <c r="I105" s="3255">
        <f>SUM(I106:I108)</f>
        <v>0</v>
      </c>
      <c r="J105" s="3255">
        <f>SUM(J106:J108)</f>
        <v>1829.1680108462274</v>
      </c>
    </row>
    <row r="106" spans="1:19" ht="15" customHeight="1">
      <c r="A106" s="3260" t="s">
        <v>3142</v>
      </c>
      <c r="B106" s="3272" t="s">
        <v>3143</v>
      </c>
      <c r="C106" s="3263">
        <f>C105*D106</f>
        <v>30216.772630000003</v>
      </c>
      <c r="D106" s="3296">
        <f>[2]资金使用与筹措!E6</f>
        <v>0.55000000000000004</v>
      </c>
      <c r="E106" s="3263"/>
      <c r="F106" s="3263"/>
      <c r="G106" s="3265">
        <f>C106*((1+D105)^(1-0.5)-1)</f>
        <v>449.90225689164441</v>
      </c>
      <c r="H106" s="3274"/>
      <c r="I106" s="3274">
        <f>I4/H4*G106</f>
        <v>0</v>
      </c>
      <c r="J106" s="3274">
        <f>G106-I106</f>
        <v>449.90225689164441</v>
      </c>
    </row>
    <row r="107" spans="1:19" ht="15" customHeight="1">
      <c r="A107" s="3260" t="s">
        <v>3144</v>
      </c>
      <c r="B107" s="3272" t="s">
        <v>3145</v>
      </c>
      <c r="C107" s="3263">
        <f>C105*D107</f>
        <v>16481.875980000001</v>
      </c>
      <c r="D107" s="3296">
        <f>[2]资金使用与筹措!F6</f>
        <v>0.3</v>
      </c>
      <c r="E107" s="3263"/>
      <c r="F107" s="3263"/>
      <c r="G107" s="3265">
        <f>C107*((1+D105)^(2-0.5)-1)</f>
        <v>747.21954736276143</v>
      </c>
      <c r="H107" s="3274"/>
      <c r="I107" s="3274">
        <f>I4/H4*G107</f>
        <v>0</v>
      </c>
      <c r="J107" s="3274">
        <f>G107-I107</f>
        <v>747.21954736276143</v>
      </c>
      <c r="L107" s="3321"/>
      <c r="M107" s="3321"/>
      <c r="N107" s="3321"/>
      <c r="O107" s="3321"/>
      <c r="P107" s="3321"/>
      <c r="Q107" s="3321"/>
      <c r="R107" s="3321"/>
      <c r="S107" s="3321"/>
    </row>
    <row r="108" spans="1:19" ht="15" customHeight="1" thickBot="1">
      <c r="A108" s="3260" t="s">
        <v>3146</v>
      </c>
      <c r="B108" s="3272" t="s">
        <v>3147</v>
      </c>
      <c r="C108" s="3322">
        <f>C105*D108</f>
        <v>8240.9379900000004</v>
      </c>
      <c r="D108" s="3296">
        <f>[2]资金使用与筹措!G6</f>
        <v>0.15</v>
      </c>
      <c r="E108" s="3322"/>
      <c r="F108" s="3322"/>
      <c r="G108" s="3265">
        <f>C108*((1+D105)^(3-0.5)-1)</f>
        <v>632.04620659182171</v>
      </c>
      <c r="H108" s="3323"/>
      <c r="I108" s="3323">
        <f>I4/H4*G108</f>
        <v>0</v>
      </c>
      <c r="J108" s="3323">
        <f>G108-I108</f>
        <v>632.04620659182171</v>
      </c>
      <c r="L108" s="3321"/>
      <c r="M108" s="3321"/>
      <c r="N108" s="3321"/>
      <c r="O108" s="3321"/>
      <c r="P108" s="3321"/>
      <c r="Q108" s="3321"/>
      <c r="R108" s="3321"/>
      <c r="S108" s="3321"/>
    </row>
    <row r="109" spans="1:19" s="3321" customFormat="1" ht="15" customHeight="1" thickBot="1">
      <c r="A109" s="3324" t="s">
        <v>3148</v>
      </c>
      <c r="B109" s="3325" t="s">
        <v>3149</v>
      </c>
      <c r="C109" s="3326" t="s">
        <v>3150</v>
      </c>
      <c r="D109" s="3325"/>
      <c r="E109" s="3325"/>
      <c r="F109" s="3325"/>
      <c r="G109" s="3326"/>
      <c r="H109" s="3327">
        <f>H4+H50+H103</f>
        <v>148411.4754524162</v>
      </c>
      <c r="I109" s="3327">
        <f>I4+I50+I103</f>
        <v>0</v>
      </c>
      <c r="J109" s="3327">
        <f>J4+J50+J103</f>
        <v>148411.4754524162</v>
      </c>
      <c r="K109" s="3256"/>
      <c r="L109" s="3236"/>
      <c r="M109" s="3236"/>
      <c r="N109" s="3236"/>
      <c r="O109" s="3236"/>
      <c r="P109" s="3236"/>
      <c r="Q109" s="3236"/>
      <c r="R109" s="3236"/>
      <c r="S109" s="3236"/>
    </row>
    <row r="110" spans="1:19" s="3321" customFormat="1" ht="15" customHeight="1" thickBot="1">
      <c r="A110" s="3324" t="s">
        <v>3151</v>
      </c>
      <c r="B110" s="3325" t="s">
        <v>3152</v>
      </c>
      <c r="C110" s="3326"/>
      <c r="D110" s="3325"/>
      <c r="E110" s="3325"/>
      <c r="F110" s="3325"/>
      <c r="G110" s="3326">
        <f>SUM(G111:G112)</f>
        <v>10829.000000000002</v>
      </c>
      <c r="H110" s="3327">
        <f>SUM(E110:G110)</f>
        <v>10829.000000000002</v>
      </c>
      <c r="I110" s="3327">
        <f>SUM(I111:I112)</f>
        <v>0</v>
      </c>
      <c r="J110" s="3327">
        <f>SUM(J111:J112)</f>
        <v>10829.000000000002</v>
      </c>
      <c r="L110" s="3236"/>
      <c r="M110" s="3236"/>
      <c r="N110" s="3236"/>
      <c r="O110" s="3236"/>
      <c r="P110" s="3236"/>
      <c r="Q110" s="3236"/>
      <c r="R110" s="3236"/>
      <c r="S110" s="3236"/>
    </row>
    <row r="111" spans="1:19" ht="15" customHeight="1">
      <c r="A111" s="3328"/>
      <c r="B111" s="3272" t="s">
        <v>3153</v>
      </c>
      <c r="C111" s="3263"/>
      <c r="D111" s="3273"/>
      <c r="E111" s="3263"/>
      <c r="F111" s="3263"/>
      <c r="G111" s="3265">
        <f>[2]还本付息表!D8+[2]还本付息表!E8+[2]还本付息表!F8+[2]还本付息表!G8</f>
        <v>10829.000000000002</v>
      </c>
      <c r="H111" s="3274"/>
      <c r="I111" s="3274">
        <f>I109/H109*G111</f>
        <v>0</v>
      </c>
      <c r="J111" s="3274">
        <f>G111-I111</f>
        <v>10829.000000000002</v>
      </c>
      <c r="L111" s="3321"/>
      <c r="M111" s="3321"/>
      <c r="N111" s="3321"/>
      <c r="O111" s="3321"/>
      <c r="P111" s="3321"/>
      <c r="Q111" s="3321"/>
      <c r="R111" s="3321"/>
      <c r="S111" s="3321"/>
    </row>
    <row r="112" spans="1:19" ht="15" customHeight="1" thickBot="1">
      <c r="A112" s="3328"/>
      <c r="B112" s="3272" t="s">
        <v>3154</v>
      </c>
      <c r="C112" s="3265"/>
      <c r="D112" s="3273"/>
      <c r="E112" s="3263"/>
      <c r="F112" s="3263"/>
      <c r="G112" s="3265"/>
      <c r="H112" s="3274"/>
      <c r="I112" s="3274"/>
      <c r="J112" s="3274"/>
    </row>
    <row r="113" spans="1:19" s="3321" customFormat="1" ht="15" customHeight="1" thickBot="1">
      <c r="A113" s="3324" t="s">
        <v>3155</v>
      </c>
      <c r="B113" s="3325" t="s">
        <v>3156</v>
      </c>
      <c r="C113" s="3326"/>
      <c r="D113" s="3325"/>
      <c r="E113" s="3325"/>
      <c r="F113" s="3325"/>
      <c r="G113" s="3326">
        <f>G114</f>
        <v>0</v>
      </c>
      <c r="H113" s="3327">
        <f>SUM(E113:G113)</f>
        <v>0</v>
      </c>
      <c r="I113" s="3327">
        <f>I114</f>
        <v>0</v>
      </c>
      <c r="J113" s="3327">
        <f>J114</f>
        <v>0</v>
      </c>
    </row>
    <row r="114" spans="1:19" ht="15" customHeight="1" thickBot="1">
      <c r="A114" s="3328"/>
      <c r="B114" s="3272" t="s">
        <v>3157</v>
      </c>
      <c r="C114" s="3265"/>
      <c r="D114" s="3273"/>
      <c r="E114" s="3263"/>
      <c r="F114" s="3263"/>
      <c r="G114" s="3265">
        <v>0</v>
      </c>
      <c r="H114" s="3274"/>
      <c r="I114" s="3274">
        <f>G114</f>
        <v>0</v>
      </c>
      <c r="J114" s="3274"/>
    </row>
    <row r="115" spans="1:19" s="3321" customFormat="1" ht="15" customHeight="1" thickBot="1">
      <c r="A115" s="3324" t="s">
        <v>3158</v>
      </c>
      <c r="B115" s="3325" t="s">
        <v>3159</v>
      </c>
      <c r="C115" s="3326"/>
      <c r="D115" s="3325"/>
      <c r="E115" s="3325"/>
      <c r="F115" s="3325"/>
      <c r="G115" s="3326">
        <f>SUM(G116:G118)</f>
        <v>0</v>
      </c>
      <c r="H115" s="3327">
        <f>SUM(E115:G115)</f>
        <v>0</v>
      </c>
      <c r="I115" s="3327">
        <v>0</v>
      </c>
      <c r="J115" s="3327">
        <v>0</v>
      </c>
      <c r="L115" s="3236"/>
      <c r="M115" s="3236"/>
      <c r="N115" s="3236"/>
      <c r="O115" s="3236"/>
      <c r="P115" s="3236"/>
      <c r="Q115" s="3236"/>
      <c r="R115" s="3236"/>
      <c r="S115" s="3236"/>
    </row>
    <row r="116" spans="1:19" ht="15" customHeight="1">
      <c r="A116" s="3329"/>
      <c r="B116" s="3330" t="s">
        <v>3160</v>
      </c>
      <c r="C116" s="3331"/>
      <c r="D116" s="3332"/>
      <c r="E116" s="3331"/>
      <c r="F116" s="3331"/>
      <c r="G116" s="3314"/>
      <c r="H116" s="3333"/>
      <c r="I116" s="3333"/>
      <c r="J116" s="3333"/>
    </row>
    <row r="117" spans="1:19" ht="15" customHeight="1">
      <c r="A117" s="3329"/>
      <c r="B117" s="3330" t="s">
        <v>3161</v>
      </c>
      <c r="C117" s="3331"/>
      <c r="D117" s="3332"/>
      <c r="E117" s="3331"/>
      <c r="F117" s="3331"/>
      <c r="G117" s="3314"/>
      <c r="H117" s="3333"/>
      <c r="I117" s="3333"/>
      <c r="J117" s="3333"/>
    </row>
    <row r="118" spans="1:19" ht="15" customHeight="1" thickBot="1">
      <c r="A118" s="3329"/>
      <c r="B118" s="3330" t="s">
        <v>3162</v>
      </c>
      <c r="C118" s="3331"/>
      <c r="D118" s="3332"/>
      <c r="E118" s="3331"/>
      <c r="F118" s="3331"/>
      <c r="G118" s="3314"/>
      <c r="H118" s="3333"/>
      <c r="I118" s="3333"/>
      <c r="J118" s="3333"/>
    </row>
    <row r="119" spans="1:19" ht="15" customHeight="1" thickBot="1">
      <c r="A119" s="3324" t="s">
        <v>3163</v>
      </c>
      <c r="B119" s="3325" t="s">
        <v>3164</v>
      </c>
      <c r="C119" s="3334"/>
      <c r="D119" s="3335"/>
      <c r="E119" s="3335"/>
      <c r="F119" s="3335"/>
      <c r="G119" s="3336"/>
      <c r="H119" s="3337">
        <f>H109+H110+H113+H115</f>
        <v>159240.4754524162</v>
      </c>
      <c r="I119" s="3337">
        <f>I109+I110+I113+I115</f>
        <v>0</v>
      </c>
      <c r="J119" s="3337">
        <f>J109+J110+J113+J115</f>
        <v>159240.4754524162</v>
      </c>
    </row>
    <row r="120" spans="1:19" ht="15" customHeight="1">
      <c r="H120" s="3241"/>
      <c r="I120" s="3241"/>
      <c r="J120" s="3241"/>
    </row>
  </sheetData>
  <phoneticPr fontId="233" type="noConversion"/>
  <printOptions horizontalCentered="1"/>
  <pageMargins left="0.75" right="0.75" top="0.98" bottom="0.98" header="0.51" footer="0.51"/>
  <pageSetup paperSize="9" scale="97" orientation="portrait" r:id="rId1"/>
  <headerFooter alignWithMargins="0">
    <oddFooter>第 &amp;P 页，共 &amp;N 页</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3" customWidth="1"/>
    <col min="2" max="2" width="24.5" style="2018" customWidth="1"/>
    <col min="3" max="3" width="24.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584" t="s">
        <v>1664</v>
      </c>
      <c r="B1" s="3585"/>
      <c r="C1" s="3585"/>
      <c r="D1" s="3585"/>
      <c r="E1" s="3585"/>
      <c r="F1" s="3585"/>
      <c r="G1" s="3585"/>
      <c r="H1" s="1997"/>
      <c r="I1" s="1998"/>
      <c r="J1" s="1999"/>
      <c r="K1" s="1997"/>
      <c r="L1" s="1998"/>
      <c r="M1" s="1999"/>
      <c r="N1" s="1997"/>
      <c r="O1" s="1998"/>
      <c r="P1" s="1999"/>
      <c r="Q1" s="2000"/>
      <c r="R1" s="2001"/>
    </row>
    <row r="2" spans="1:18" ht="14.25" thickBot="1">
      <c r="A2" s="1218"/>
      <c r="B2" s="1219"/>
      <c r="C2" s="1220" t="s">
        <v>1665</v>
      </c>
      <c r="D2" s="1221"/>
      <c r="E2" s="1222"/>
      <c r="F2" s="1223"/>
      <c r="G2" s="1220" t="s">
        <v>1666</v>
      </c>
      <c r="H2" s="2003"/>
      <c r="I2" s="2003"/>
      <c r="J2" s="2003"/>
      <c r="K2" s="2003"/>
      <c r="L2" s="2003"/>
      <c r="M2" s="2003"/>
      <c r="N2" s="2003"/>
      <c r="O2" s="2003"/>
      <c r="P2" s="2003"/>
      <c r="Q2" s="2003"/>
      <c r="R2" s="2003"/>
    </row>
    <row r="3" spans="1:18" ht="54">
      <c r="A3" s="1224" t="s">
        <v>1667</v>
      </c>
      <c r="B3" s="1225" t="s">
        <v>1654</v>
      </c>
      <c r="C3" s="3076" t="s">
        <v>2920</v>
      </c>
      <c r="D3" s="2004"/>
      <c r="E3" s="1226" t="s">
        <v>1667</v>
      </c>
      <c r="F3" s="1227" t="s">
        <v>1655</v>
      </c>
      <c r="G3" s="3080" t="s">
        <v>2919</v>
      </c>
      <c r="H3" s="2003"/>
      <c r="I3" s="2003"/>
      <c r="J3" s="2003"/>
      <c r="K3" s="2003"/>
      <c r="L3" s="2003"/>
      <c r="M3" s="2003"/>
      <c r="N3" s="2003"/>
      <c r="O3" s="2003"/>
      <c r="P3" s="2003"/>
      <c r="Q3" s="2003"/>
      <c r="R3" s="2003"/>
    </row>
    <row r="4" spans="1:18" ht="41.25">
      <c r="A4" s="1226"/>
      <c r="B4" s="1228" t="s">
        <v>1668</v>
      </c>
      <c r="C4" s="3077" t="s">
        <v>2921</v>
      </c>
      <c r="D4" s="2004"/>
      <c r="E4" s="1229"/>
      <c r="F4" s="1230" t="s">
        <v>1669</v>
      </c>
      <c r="G4" s="3078" t="s">
        <v>2916</v>
      </c>
      <c r="H4" s="2003"/>
      <c r="I4" s="2003"/>
      <c r="J4" s="2003"/>
      <c r="K4" s="2003"/>
      <c r="L4" s="2003"/>
      <c r="M4" s="2003"/>
      <c r="N4" s="2003"/>
      <c r="O4" s="2003"/>
      <c r="P4" s="2003"/>
      <c r="Q4" s="2003"/>
      <c r="R4" s="2003"/>
    </row>
    <row r="5" spans="1:18" ht="41.25">
      <c r="A5" s="1226"/>
      <c r="B5" s="1228" t="s">
        <v>1670</v>
      </c>
      <c r="C5" s="3077" t="s">
        <v>2922</v>
      </c>
      <c r="D5" s="2004"/>
      <c r="E5" s="1229"/>
      <c r="F5" s="1228" t="s">
        <v>2546</v>
      </c>
      <c r="G5" s="3078" t="s">
        <v>2917</v>
      </c>
      <c r="H5" s="2003"/>
      <c r="I5" s="2003"/>
      <c r="J5" s="2003"/>
      <c r="K5" s="2003"/>
      <c r="L5" s="2003"/>
      <c r="M5" s="2003"/>
      <c r="N5" s="2003"/>
      <c r="O5" s="2003"/>
      <c r="P5" s="2003"/>
      <c r="Q5" s="2003"/>
      <c r="R5" s="2003"/>
    </row>
    <row r="6" spans="1:18" ht="54">
      <c r="A6" s="1226"/>
      <c r="B6" s="1228" t="s">
        <v>1656</v>
      </c>
      <c r="C6" s="3078" t="s">
        <v>2916</v>
      </c>
      <c r="D6" s="2004"/>
      <c r="E6" s="1229"/>
      <c r="F6" s="1228" t="s">
        <v>2547</v>
      </c>
      <c r="G6" s="3078" t="s">
        <v>2914</v>
      </c>
      <c r="H6" s="2003"/>
      <c r="I6" s="2003"/>
      <c r="J6" s="2003"/>
      <c r="K6" s="2003"/>
      <c r="L6" s="2003"/>
      <c r="M6" s="2003"/>
      <c r="N6" s="2003"/>
      <c r="O6" s="2003"/>
      <c r="P6" s="2003"/>
      <c r="Q6" s="2003"/>
      <c r="R6" s="2003"/>
    </row>
    <row r="7" spans="1:18" ht="41.25" thickBot="1">
      <c r="A7" s="1226"/>
      <c r="B7" s="1228" t="s">
        <v>2546</v>
      </c>
      <c r="C7" s="3078" t="s">
        <v>2917</v>
      </c>
      <c r="D7" s="2005"/>
      <c r="E7" s="1231"/>
      <c r="F7" s="1232" t="s">
        <v>1671</v>
      </c>
      <c r="G7" s="3081" t="s">
        <v>2918</v>
      </c>
      <c r="H7" s="2003"/>
      <c r="I7" s="2003"/>
      <c r="J7" s="2003"/>
      <c r="K7" s="2003"/>
      <c r="L7" s="2003"/>
      <c r="M7" s="2003"/>
      <c r="N7" s="2003"/>
      <c r="O7" s="2003"/>
      <c r="P7" s="2003"/>
      <c r="Q7" s="2003"/>
      <c r="R7" s="2003"/>
    </row>
    <row r="8" spans="1:18" ht="27">
      <c r="A8" s="1226"/>
      <c r="B8" s="1228" t="s">
        <v>2547</v>
      </c>
      <c r="C8" s="3078" t="s">
        <v>2914</v>
      </c>
      <c r="D8" s="2005"/>
      <c r="E8" s="2005"/>
      <c r="F8" s="1548"/>
      <c r="G8" s="1548"/>
      <c r="H8" s="2003"/>
      <c r="I8" s="2003"/>
      <c r="J8" s="2003"/>
      <c r="K8" s="2003"/>
      <c r="L8" s="2003"/>
      <c r="M8" s="2003"/>
      <c r="N8" s="2003"/>
      <c r="O8" s="2003"/>
      <c r="P8" s="2003"/>
      <c r="Q8" s="2003"/>
      <c r="R8" s="2003"/>
    </row>
    <row r="9" spans="1:18" ht="40.5">
      <c r="A9" s="1226"/>
      <c r="B9" s="1228" t="s">
        <v>1657</v>
      </c>
      <c r="C9" s="3077" t="s">
        <v>2915</v>
      </c>
      <c r="D9" s="2004"/>
      <c r="E9" s="2005"/>
      <c r="F9" s="1548"/>
      <c r="G9" s="1548"/>
      <c r="H9" s="2003"/>
      <c r="I9" s="2003"/>
      <c r="J9" s="2003"/>
      <c r="K9" s="2003"/>
      <c r="L9" s="2003"/>
      <c r="M9" s="2003"/>
      <c r="N9" s="2003"/>
      <c r="O9" s="2003"/>
      <c r="P9" s="2003"/>
      <c r="Q9" s="2003"/>
      <c r="R9" s="2003"/>
    </row>
    <row r="10" spans="1:18" s="2011" customFormat="1" ht="15" thickBot="1">
      <c r="A10" s="1233"/>
      <c r="B10" s="1234" t="s">
        <v>1672</v>
      </c>
      <c r="C10" s="3079"/>
      <c r="D10" s="2004"/>
      <c r="E10" s="2004"/>
      <c r="F10" s="1548"/>
      <c r="G10" s="1548"/>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73"/>
      <c r="E12" s="2004"/>
      <c r="F12" s="2005"/>
      <c r="G12" s="2007"/>
      <c r="H12" s="2012"/>
      <c r="I12" s="2013"/>
      <c r="J12" s="2012"/>
      <c r="K12" s="2012"/>
      <c r="L12" s="2014"/>
      <c r="M12" s="2012"/>
      <c r="N12" s="2015"/>
      <c r="O12" s="2016"/>
      <c r="P12" s="2017"/>
      <c r="Q12" s="2015"/>
      <c r="R12" s="2001"/>
    </row>
    <row r="13" spans="1:18" ht="19.5" thickBot="1">
      <c r="A13" s="2572" t="s">
        <v>1673</v>
      </c>
      <c r="B13" s="2573"/>
      <c r="C13" s="2573"/>
      <c r="D13" s="1221"/>
      <c r="E13" s="2573"/>
      <c r="F13" s="2573"/>
      <c r="G13" s="2573"/>
    </row>
    <row r="14" spans="1:18" ht="14.25" thickBot="1">
      <c r="A14" s="1235"/>
      <c r="B14" s="1236"/>
      <c r="C14" s="1237" t="s">
        <v>1665</v>
      </c>
      <c r="D14" s="2004"/>
      <c r="E14" s="1238"/>
      <c r="F14" s="1238"/>
      <c r="G14" s="1220" t="s">
        <v>1666</v>
      </c>
    </row>
    <row r="15" spans="1:18" ht="54">
      <c r="A15" s="2583" t="s">
        <v>1658</v>
      </c>
      <c r="B15" s="1239" t="s">
        <v>1654</v>
      </c>
      <c r="C15" s="1240" t="str">
        <f>C3</f>
        <v>估价对象周边居住用地比例、居住小区规模和社区发展完善程度，综合评价居住社区成熟度一般</v>
      </c>
      <c r="D15" s="2004"/>
      <c r="E15" s="2580" t="s">
        <v>1659</v>
      </c>
      <c r="F15" s="1239" t="s">
        <v>1674</v>
      </c>
      <c r="G15" s="1241" t="str">
        <f>G3</f>
        <v>估价对象位于XX开发区，园区建设成熟度XX，产业集聚程度XX</v>
      </c>
    </row>
    <row r="16" spans="1:18" ht="40.5">
      <c r="A16" s="2584"/>
      <c r="B16" s="1242" t="s">
        <v>1668</v>
      </c>
      <c r="C16" s="1243" t="str">
        <f>C4</f>
        <v>估价对象位于XX商圈，周边商业氛围成熟，人流量大，商业繁华度好</v>
      </c>
      <c r="D16" s="2004"/>
      <c r="E16" s="2581"/>
      <c r="F16" s="1244" t="s">
        <v>1669</v>
      </c>
      <c r="G16" s="1002" t="str">
        <f>G4</f>
        <v>估价对象周边道路状况、公共交通通达情况、停车便捷程度，综合评价交通便捷度较好</v>
      </c>
    </row>
    <row r="17" spans="1:7" ht="40.5">
      <c r="A17" s="2584"/>
      <c r="B17" s="1242" t="s">
        <v>1670</v>
      </c>
      <c r="C17" s="1243" t="str">
        <f>C5</f>
        <v>估价对象位于XX商圈，周边办公楼项目较多，入驻率高，办公集聚程度较好</v>
      </c>
      <c r="D17" s="2005"/>
      <c r="E17" s="2581"/>
      <c r="F17" s="1244" t="s">
        <v>1675</v>
      </c>
      <c r="G17" s="2789"/>
    </row>
    <row r="18" spans="1:7" ht="54">
      <c r="A18" s="2584"/>
      <c r="B18" s="1244" t="s">
        <v>1656</v>
      </c>
      <c r="C18" s="1002" t="str">
        <f>C6</f>
        <v>估价对象周边道路状况、公共交通通达情况、停车便捷程度，综合评价交通便捷度较好</v>
      </c>
      <c r="D18" s="2005"/>
      <c r="E18" s="2581"/>
      <c r="F18" s="1244" t="s">
        <v>1671</v>
      </c>
      <c r="G18" s="1002" t="str">
        <f>G7</f>
        <v>该园区内是否有污染型企业，绿化情况，卫生条件，整体环境状况判断</v>
      </c>
    </row>
    <row r="19" spans="1:7" ht="27">
      <c r="A19" s="2584"/>
      <c r="B19" s="1244" t="s">
        <v>1660</v>
      </c>
      <c r="C19" s="2789"/>
      <c r="D19" s="2004"/>
      <c r="E19" s="2581"/>
      <c r="F19" s="1228" t="s">
        <v>2546</v>
      </c>
      <c r="G19" s="1002" t="str">
        <f>G5</f>
        <v>估价对象所在区域公共配套设施齐备情况</v>
      </c>
    </row>
    <row r="20" spans="1:7" ht="40.5">
      <c r="A20" s="2584"/>
      <c r="B20" s="1244" t="s">
        <v>1661</v>
      </c>
      <c r="C20" s="1243" t="str">
        <f>C9</f>
        <v>区域自然环境：；人文环境；综合评价环境状况一般</v>
      </c>
      <c r="D20" s="2005"/>
      <c r="E20" s="2581"/>
      <c r="F20" s="1228" t="s">
        <v>2547</v>
      </c>
      <c r="G20" s="1002" t="str">
        <f>G6</f>
        <v>估价对象所在区域基础设施水平</v>
      </c>
    </row>
    <row r="21" spans="1:7" ht="27">
      <c r="A21" s="2584"/>
      <c r="B21" s="1228" t="s">
        <v>2546</v>
      </c>
      <c r="C21" s="1002" t="str">
        <f>C7</f>
        <v>估价对象所在区域公共配套设施齐备情况</v>
      </c>
      <c r="D21" s="2004"/>
      <c r="E21" s="2581"/>
      <c r="F21" s="1244" t="s">
        <v>1662</v>
      </c>
      <c r="G21" s="3082"/>
    </row>
    <row r="22" spans="1:7" ht="27">
      <c r="A22" s="2584"/>
      <c r="B22" s="1228" t="s">
        <v>2547</v>
      </c>
      <c r="C22" s="1002" t="str">
        <f>C8</f>
        <v>估价对象所在区域基础设施水平</v>
      </c>
      <c r="D22" s="2004"/>
      <c r="E22" s="2581"/>
      <c r="F22" s="1244" t="s">
        <v>1672</v>
      </c>
      <c r="G22" s="2789"/>
    </row>
    <row r="23" spans="1:7" ht="15" thickBot="1">
      <c r="A23" s="2584"/>
      <c r="B23" s="1244" t="s">
        <v>1662</v>
      </c>
      <c r="C23" s="3082"/>
      <c r="E23" s="2582"/>
      <c r="F23" s="1245" t="s">
        <v>1676</v>
      </c>
      <c r="G23" s="3083"/>
    </row>
    <row r="24" spans="1:7" ht="14.25" thickBot="1">
      <c r="A24" s="2585"/>
      <c r="B24" s="1245" t="s">
        <v>1663</v>
      </c>
      <c r="C24" s="1246">
        <f>C10</f>
        <v>0</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0" t="s">
        <v>2843</v>
      </c>
      <c r="B1" s="3040">
        <f>SUM(B14:B23)</f>
        <v>180792</v>
      </c>
      <c r="C1" s="3041"/>
      <c r="D1" s="3041"/>
      <c r="E1" s="3041"/>
      <c r="F1" s="3041"/>
    </row>
    <row r="2" spans="1:9" ht="16.5">
      <c r="A2" s="3040" t="s">
        <v>2844</v>
      </c>
      <c r="B2" s="3040">
        <f>SUM(C14:C23)</f>
        <v>72846.2</v>
      </c>
      <c r="C2" s="3041"/>
      <c r="D2" s="3041"/>
      <c r="E2" s="3041"/>
      <c r="F2" s="3041"/>
    </row>
    <row r="3" spans="1:9" ht="16.5">
      <c r="A3" s="3040" t="s">
        <v>2845</v>
      </c>
      <c r="B3" s="3042">
        <f>项目基本情况!D3</f>
        <v>43346</v>
      </c>
      <c r="C3" s="3041"/>
      <c r="D3" s="3041"/>
      <c r="E3" s="3041"/>
      <c r="F3" s="3041"/>
    </row>
    <row r="4" spans="1:9" ht="33">
      <c r="A4" s="3040" t="s">
        <v>2846</v>
      </c>
      <c r="B4" s="3040" t="s">
        <v>2847</v>
      </c>
      <c r="C4" s="3040" t="s">
        <v>2848</v>
      </c>
      <c r="D4" s="3040" t="s">
        <v>2849</v>
      </c>
      <c r="E4" s="3041"/>
      <c r="F4" s="3041"/>
    </row>
    <row r="5" spans="1:9" ht="16.5">
      <c r="A5" s="3040" t="s">
        <v>2850</v>
      </c>
      <c r="B5" s="3040">
        <f ca="1">SUM(D14:D23)</f>
        <v>80044</v>
      </c>
      <c r="C5" s="3040">
        <f ca="1">ROUND(B5*10000/$B$1,0)</f>
        <v>4427</v>
      </c>
      <c r="D5" s="3040">
        <f ca="1">ROUND(B5*10000/$B$2,0)</f>
        <v>10988</v>
      </c>
      <c r="E5" s="3041"/>
      <c r="F5" s="3041"/>
    </row>
    <row r="6" spans="1:9" ht="16.5">
      <c r="A6" s="3040" t="s">
        <v>2851</v>
      </c>
      <c r="B6" s="3040">
        <f ca="1">SUM(G14:G23)</f>
        <v>80044</v>
      </c>
      <c r="C6" s="3040">
        <f t="shared" ref="C6:C8" ca="1" si="0">ROUND(B6*10000/$B$1,0)</f>
        <v>4427</v>
      </c>
      <c r="D6" s="3040">
        <f t="shared" ref="D6:D8" ca="1" si="1">ROUND(B6*10000/$B$2,0)</f>
        <v>10988</v>
      </c>
      <c r="E6" s="3041"/>
      <c r="F6" s="3041"/>
    </row>
    <row r="7" spans="1:9" ht="16.5">
      <c r="A7" s="3040" t="s">
        <v>2852</v>
      </c>
      <c r="B7" s="3040">
        <f>SUM(H14:H23)</f>
        <v>0</v>
      </c>
      <c r="C7" s="3040">
        <f t="shared" si="0"/>
        <v>0</v>
      </c>
      <c r="D7" s="3040">
        <f t="shared" si="1"/>
        <v>0</v>
      </c>
      <c r="E7" s="3041"/>
      <c r="F7" s="3041"/>
    </row>
    <row r="8" spans="1:9" ht="16.5">
      <c r="A8" s="3040" t="s">
        <v>2853</v>
      </c>
      <c r="B8" s="3040">
        <f>SUM(I14:I23)</f>
        <v>0</v>
      </c>
      <c r="C8" s="3040">
        <f t="shared" si="0"/>
        <v>0</v>
      </c>
      <c r="D8" s="3040">
        <f t="shared" si="1"/>
        <v>0</v>
      </c>
      <c r="E8" s="3041"/>
      <c r="F8" s="3041"/>
    </row>
    <row r="9" spans="1:9" ht="16.5">
      <c r="A9" s="3040" t="s">
        <v>2854</v>
      </c>
      <c r="B9" s="3043"/>
      <c r="C9" s="3041"/>
      <c r="D9" s="3041"/>
      <c r="E9" s="3041"/>
      <c r="F9" s="3041"/>
    </row>
    <row r="10" spans="1:9" ht="16.5">
      <c r="A10" s="3040" t="s">
        <v>2855</v>
      </c>
      <c r="B10" s="3043"/>
      <c r="C10" s="3041"/>
      <c r="D10" s="3041"/>
      <c r="E10" s="3041"/>
      <c r="F10" s="3041"/>
    </row>
    <row r="11" spans="1:9" ht="16.5">
      <c r="A11" s="3040" t="s">
        <v>2872</v>
      </c>
      <c r="B11" s="3043"/>
      <c r="C11" s="3041"/>
      <c r="D11" s="3041"/>
      <c r="E11" s="3041"/>
      <c r="F11" s="3041"/>
    </row>
    <row r="12" spans="1:9" ht="16.5">
      <c r="A12" s="3041"/>
      <c r="B12" s="3041"/>
      <c r="C12" s="3041"/>
      <c r="D12" s="3041"/>
      <c r="E12" s="3041"/>
      <c r="F12" s="3041"/>
    </row>
    <row r="13" spans="1:9" ht="33">
      <c r="A13" s="3046" t="s">
        <v>2871</v>
      </c>
      <c r="B13" s="3044" t="s">
        <v>2843</v>
      </c>
      <c r="C13" s="3044" t="s">
        <v>2844</v>
      </c>
      <c r="D13" s="3044" t="s">
        <v>2856</v>
      </c>
      <c r="E13" s="3040" t="s">
        <v>2870</v>
      </c>
      <c r="F13" s="3040" t="s">
        <v>2849</v>
      </c>
      <c r="G13" s="3044" t="s">
        <v>2857</v>
      </c>
      <c r="H13" s="3044" t="s">
        <v>2858</v>
      </c>
      <c r="I13" s="3044" t="s">
        <v>2859</v>
      </c>
    </row>
    <row r="14" spans="1:9" ht="16.5">
      <c r="A14" s="3047" t="s">
        <v>2869</v>
      </c>
      <c r="B14" s="3044">
        <f>结果表!L38</f>
        <v>180792</v>
      </c>
      <c r="C14" s="3044">
        <f>结果表!K38</f>
        <v>72846.2</v>
      </c>
      <c r="D14" s="3044">
        <f ca="1">结果表!C42</f>
        <v>80044</v>
      </c>
      <c r="E14" s="3044">
        <f ca="1">ROUND(D14*10000/B14,0)</f>
        <v>4427</v>
      </c>
      <c r="F14" s="3044">
        <f ca="1">ROUND(D14*10000/C14,0)</f>
        <v>10988</v>
      </c>
      <c r="G14" s="3044">
        <f ca="1">结果表!C44</f>
        <v>80044</v>
      </c>
      <c r="H14" s="3044" t="str">
        <f>结果表!C45</f>
        <v>——</v>
      </c>
      <c r="I14" s="3044" t="str">
        <f>结果表!C46</f>
        <v>——</v>
      </c>
    </row>
    <row r="15" spans="1:9" ht="16.5">
      <c r="A15" s="3047" t="s">
        <v>2860</v>
      </c>
      <c r="B15" s="3048"/>
      <c r="C15" s="3048"/>
      <c r="D15" s="3048"/>
      <c r="E15" s="3044" t="e">
        <f t="shared" ref="E15:E23" si="2">ROUND(D15*10000/B15,0)</f>
        <v>#DIV/0!</v>
      </c>
      <c r="F15" s="3044" t="e">
        <f t="shared" ref="F15:F23" si="3">ROUND(D15*10000/C15,0)</f>
        <v>#DIV/0!</v>
      </c>
      <c r="G15" s="3045"/>
      <c r="H15" s="3045"/>
      <c r="I15" s="3048"/>
    </row>
    <row r="16" spans="1:9" ht="16.5">
      <c r="A16" s="3047" t="s">
        <v>2861</v>
      </c>
      <c r="B16" s="3048"/>
      <c r="C16" s="3048"/>
      <c r="D16" s="3048"/>
      <c r="E16" s="3044" t="e">
        <f t="shared" si="2"/>
        <v>#DIV/0!</v>
      </c>
      <c r="F16" s="3044" t="e">
        <f t="shared" si="3"/>
        <v>#DIV/0!</v>
      </c>
      <c r="G16" s="3045"/>
      <c r="H16" s="3045"/>
      <c r="I16" s="3048"/>
    </row>
    <row r="17" spans="1:9" ht="16.5">
      <c r="A17" s="3047" t="s">
        <v>2862</v>
      </c>
      <c r="B17" s="3048"/>
      <c r="C17" s="3048"/>
      <c r="D17" s="3048"/>
      <c r="E17" s="3044" t="e">
        <f t="shared" si="2"/>
        <v>#DIV/0!</v>
      </c>
      <c r="F17" s="3044" t="e">
        <f t="shared" si="3"/>
        <v>#DIV/0!</v>
      </c>
      <c r="G17" s="3045"/>
      <c r="H17" s="3045"/>
      <c r="I17" s="3048"/>
    </row>
    <row r="18" spans="1:9" ht="16.5">
      <c r="A18" s="3047" t="s">
        <v>2863</v>
      </c>
      <c r="B18" s="3048"/>
      <c r="C18" s="3048"/>
      <c r="D18" s="3048"/>
      <c r="E18" s="3044" t="e">
        <f t="shared" si="2"/>
        <v>#DIV/0!</v>
      </c>
      <c r="F18" s="3044" t="e">
        <f t="shared" si="3"/>
        <v>#DIV/0!</v>
      </c>
      <c r="G18" s="3048"/>
      <c r="H18" s="3048"/>
      <c r="I18" s="3048"/>
    </row>
    <row r="19" spans="1:9" ht="16.5">
      <c r="A19" s="3047" t="s">
        <v>2864</v>
      </c>
      <c r="B19" s="3048"/>
      <c r="C19" s="3048"/>
      <c r="D19" s="3048"/>
      <c r="E19" s="3044" t="e">
        <f t="shared" si="2"/>
        <v>#DIV/0!</v>
      </c>
      <c r="F19" s="3044" t="e">
        <f t="shared" si="3"/>
        <v>#DIV/0!</v>
      </c>
      <c r="G19" s="3048"/>
      <c r="H19" s="3048"/>
      <c r="I19" s="3048"/>
    </row>
    <row r="20" spans="1:9" ht="16.5">
      <c r="A20" s="3047" t="s">
        <v>2865</v>
      </c>
      <c r="B20" s="3048"/>
      <c r="C20" s="3048"/>
      <c r="D20" s="3048"/>
      <c r="E20" s="3044" t="e">
        <f t="shared" si="2"/>
        <v>#DIV/0!</v>
      </c>
      <c r="F20" s="3044" t="e">
        <f t="shared" si="3"/>
        <v>#DIV/0!</v>
      </c>
      <c r="G20" s="3048"/>
      <c r="H20" s="3048"/>
      <c r="I20" s="3048"/>
    </row>
    <row r="21" spans="1:9" ht="16.5">
      <c r="A21" s="3047" t="s">
        <v>2866</v>
      </c>
      <c r="B21" s="3048"/>
      <c r="C21" s="3048"/>
      <c r="D21" s="3048"/>
      <c r="E21" s="3044" t="e">
        <f t="shared" si="2"/>
        <v>#DIV/0!</v>
      </c>
      <c r="F21" s="3044" t="e">
        <f t="shared" si="3"/>
        <v>#DIV/0!</v>
      </c>
      <c r="G21" s="3048"/>
      <c r="H21" s="3048"/>
      <c r="I21" s="3048"/>
    </row>
    <row r="22" spans="1:9" ht="16.5">
      <c r="A22" s="3047" t="s">
        <v>2867</v>
      </c>
      <c r="B22" s="3048"/>
      <c r="C22" s="3048"/>
      <c r="D22" s="3048"/>
      <c r="E22" s="3044" t="e">
        <f t="shared" si="2"/>
        <v>#DIV/0!</v>
      </c>
      <c r="F22" s="3044" t="e">
        <f t="shared" si="3"/>
        <v>#DIV/0!</v>
      </c>
      <c r="G22" s="3048"/>
      <c r="H22" s="3048"/>
      <c r="I22" s="3048"/>
    </row>
    <row r="23" spans="1:9" ht="16.5">
      <c r="A23" s="3047" t="s">
        <v>2868</v>
      </c>
      <c r="B23" s="3048"/>
      <c r="C23" s="3048"/>
      <c r="D23" s="3048"/>
      <c r="E23" s="3040" t="e">
        <f t="shared" si="2"/>
        <v>#DIV/0!</v>
      </c>
      <c r="F23" s="3040" t="e">
        <f t="shared" si="3"/>
        <v>#DIV/0!</v>
      </c>
      <c r="G23" s="3048"/>
      <c r="H23" s="3048"/>
      <c r="I23" s="3048"/>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K29" sqref="K29"/>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7"/>
  </cols>
  <sheetData>
    <row r="1" spans="1:22" ht="21.75" customHeight="1" thickBot="1">
      <c r="A1" s="1771" t="s">
        <v>2055</v>
      </c>
      <c r="B1" s="1772"/>
      <c r="C1" s="1800" t="s">
        <v>2056</v>
      </c>
      <c r="D1" s="1801" t="s">
        <v>3195</v>
      </c>
      <c r="E1" s="1800" t="s">
        <v>2057</v>
      </c>
      <c r="F1" s="1802" t="s">
        <v>3196</v>
      </c>
      <c r="G1" s="309"/>
      <c r="H1" s="309"/>
      <c r="I1" s="309"/>
      <c r="J1" s="2024"/>
      <c r="K1" s="2024"/>
      <c r="L1" s="2024"/>
      <c r="M1" s="2024"/>
      <c r="N1" s="2024"/>
      <c r="O1" s="2024"/>
      <c r="P1" s="2024"/>
      <c r="Q1" s="2024"/>
      <c r="R1" s="2024"/>
      <c r="S1" s="2024"/>
      <c r="T1" s="2024"/>
      <c r="U1" s="2024"/>
      <c r="V1" s="2024"/>
    </row>
    <row r="2" spans="1:22" ht="21.75" customHeight="1" thickBot="1">
      <c r="A2" s="3631" t="str">
        <f>项目基本情况!K2</f>
        <v>山东省青岛市高新区火炬路以北、规划中32号线以西370214005030GB00261号一宗住宅、商业用地出让国有建设用地使用权</v>
      </c>
      <c r="B2" s="3632"/>
      <c r="C2" s="3633"/>
      <c r="D2" s="3633"/>
      <c r="E2" s="3633"/>
      <c r="F2" s="3633"/>
      <c r="G2" s="3632"/>
      <c r="H2" s="3632"/>
      <c r="I2" s="3634"/>
      <c r="J2" s="2025"/>
      <c r="K2" s="2024"/>
      <c r="L2" s="2024"/>
      <c r="M2" s="2024"/>
      <c r="N2" s="2024"/>
      <c r="O2" s="2024"/>
      <c r="P2" s="2024"/>
      <c r="Q2" s="2024"/>
      <c r="R2" s="2024"/>
      <c r="S2" s="2024"/>
      <c r="T2" s="2024"/>
      <c r="U2" s="2024"/>
      <c r="V2" s="2024"/>
    </row>
    <row r="3" spans="1:22" ht="14.25">
      <c r="A3" s="3642" t="s">
        <v>298</v>
      </c>
      <c r="B3" s="3643"/>
      <c r="C3" s="3643"/>
      <c r="D3" s="3643"/>
      <c r="E3" s="3643"/>
      <c r="F3" s="3643"/>
      <c r="G3" s="3643"/>
      <c r="H3" s="3643"/>
      <c r="I3" s="3643"/>
      <c r="J3" s="2025"/>
      <c r="K3" s="2024"/>
      <c r="L3" s="2024"/>
      <c r="M3" s="2024"/>
      <c r="N3" s="2024"/>
      <c r="O3" s="2024"/>
      <c r="P3" s="2024"/>
      <c r="Q3" s="2024"/>
      <c r="R3" s="2024"/>
      <c r="S3" s="2024"/>
      <c r="T3" s="2024"/>
      <c r="U3" s="2024"/>
      <c r="V3" s="2024"/>
    </row>
    <row r="4" spans="1:22" ht="14.25">
      <c r="A4" s="256" t="s">
        <v>299</v>
      </c>
      <c r="B4" s="257" t="s">
        <v>300</v>
      </c>
      <c r="C4" s="258" t="s">
        <v>3193</v>
      </c>
      <c r="D4" s="258" t="s">
        <v>3194</v>
      </c>
      <c r="E4" s="3606" t="s">
        <v>301</v>
      </c>
      <c r="F4" s="3648"/>
      <c r="G4" s="3648"/>
      <c r="H4" s="3648"/>
      <c r="I4" s="3607"/>
      <c r="J4" s="2025"/>
      <c r="K4" s="2024"/>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635" t="s">
        <v>302</v>
      </c>
      <c r="B5" s="3636">
        <v>25</v>
      </c>
      <c r="C5" s="3644"/>
      <c r="D5" s="3647"/>
      <c r="E5" s="259" t="s">
        <v>303</v>
      </c>
      <c r="F5" s="260"/>
      <c r="G5" s="260"/>
      <c r="H5" s="260"/>
      <c r="I5" s="261"/>
      <c r="J5" s="2025"/>
      <c r="K5" s="2024"/>
      <c r="L5" s="2024"/>
      <c r="M5" s="2024"/>
      <c r="N5" s="2024"/>
      <c r="O5" s="2024"/>
      <c r="P5" s="2024"/>
      <c r="Q5" s="2024"/>
      <c r="R5" s="2024"/>
      <c r="S5" s="2024"/>
      <c r="T5" s="2024"/>
      <c r="U5" s="2024"/>
      <c r="V5" s="2024"/>
    </row>
    <row r="6" spans="1:22" ht="14.25">
      <c r="A6" s="3635"/>
      <c r="B6" s="3636"/>
      <c r="C6" s="3645"/>
      <c r="D6" s="3647"/>
      <c r="E6" s="259" t="s">
        <v>304</v>
      </c>
      <c r="F6" s="260"/>
      <c r="G6" s="260"/>
      <c r="H6" s="260"/>
      <c r="I6" s="261"/>
      <c r="J6" s="2025"/>
      <c r="K6" s="2024"/>
      <c r="L6" s="2024"/>
      <c r="M6" s="2024"/>
      <c r="N6" s="2024"/>
      <c r="O6" s="2024"/>
      <c r="P6" s="2024"/>
      <c r="Q6" s="2024"/>
      <c r="R6" s="2024"/>
      <c r="S6" s="2024"/>
      <c r="T6" s="2024"/>
      <c r="U6" s="2024"/>
      <c r="V6" s="2024"/>
    </row>
    <row r="7" spans="1:22" ht="14.25">
      <c r="A7" s="3635"/>
      <c r="B7" s="3636"/>
      <c r="C7" s="3646"/>
      <c r="D7" s="3647"/>
      <c r="E7" s="259" t="s">
        <v>305</v>
      </c>
      <c r="F7" s="260"/>
      <c r="G7" s="260"/>
      <c r="H7" s="260"/>
      <c r="I7" s="261"/>
      <c r="J7" s="2025"/>
      <c r="K7" s="2024"/>
      <c r="L7" s="2024"/>
      <c r="M7" s="2024"/>
      <c r="N7" s="2024"/>
      <c r="O7" s="2024"/>
      <c r="P7" s="2024"/>
      <c r="Q7" s="2024"/>
      <c r="R7" s="2024"/>
      <c r="S7" s="2024"/>
      <c r="T7" s="2024"/>
      <c r="U7" s="2024"/>
      <c r="V7" s="2024"/>
    </row>
    <row r="8" spans="1:22" ht="14.25">
      <c r="A8" s="3635" t="s">
        <v>306</v>
      </c>
      <c r="B8" s="3636">
        <v>15</v>
      </c>
      <c r="C8" s="3644"/>
      <c r="D8" s="3647"/>
      <c r="E8" s="259" t="s">
        <v>307</v>
      </c>
      <c r="F8" s="260"/>
      <c r="G8" s="260"/>
      <c r="H8" s="260"/>
      <c r="I8" s="261"/>
      <c r="J8" s="2025"/>
      <c r="K8" s="2024"/>
      <c r="L8" s="2024"/>
      <c r="M8" s="2024"/>
      <c r="N8" s="2024"/>
      <c r="O8" s="2024"/>
      <c r="P8" s="2024"/>
      <c r="Q8" s="2024"/>
      <c r="R8" s="2024"/>
      <c r="S8" s="2024"/>
      <c r="T8" s="2024"/>
      <c r="U8" s="2024"/>
      <c r="V8" s="2024"/>
    </row>
    <row r="9" spans="1:22" ht="14.25">
      <c r="A9" s="3635"/>
      <c r="B9" s="3636"/>
      <c r="C9" s="3646"/>
      <c r="D9" s="3647"/>
      <c r="E9" s="259" t="s">
        <v>308</v>
      </c>
      <c r="F9" s="260"/>
      <c r="G9" s="260"/>
      <c r="H9" s="260"/>
      <c r="I9" s="261"/>
      <c r="J9" s="2025"/>
      <c r="K9" s="2024"/>
      <c r="L9" s="2024"/>
      <c r="M9" s="2024"/>
      <c r="N9" s="2024"/>
      <c r="O9" s="2024"/>
      <c r="P9" s="2024"/>
      <c r="Q9" s="2024"/>
      <c r="R9" s="2024"/>
      <c r="S9" s="2024"/>
      <c r="T9" s="2024"/>
      <c r="U9" s="2024"/>
      <c r="V9" s="2024"/>
    </row>
    <row r="10" spans="1:22" ht="14.25">
      <c r="A10" s="3635" t="s">
        <v>309</v>
      </c>
      <c r="B10" s="3636">
        <v>15</v>
      </c>
      <c r="C10" s="3644"/>
      <c r="D10" s="3647"/>
      <c r="E10" s="259" t="s">
        <v>310</v>
      </c>
      <c r="F10" s="260"/>
      <c r="G10" s="260"/>
      <c r="H10" s="260"/>
      <c r="I10" s="261"/>
      <c r="J10" s="2025"/>
      <c r="K10" s="2024"/>
      <c r="L10" s="2024"/>
      <c r="M10" s="2024"/>
      <c r="N10" s="2024"/>
      <c r="O10" s="2024"/>
      <c r="P10" s="2024"/>
      <c r="Q10" s="2024"/>
      <c r="R10" s="2024"/>
      <c r="S10" s="2024"/>
      <c r="T10" s="2024"/>
      <c r="U10" s="2024"/>
      <c r="V10" s="2024"/>
    </row>
    <row r="11" spans="1:22" ht="14.25">
      <c r="A11" s="3635"/>
      <c r="B11" s="3636"/>
      <c r="C11" s="3646"/>
      <c r="D11" s="3647"/>
      <c r="E11" s="259" t="s">
        <v>311</v>
      </c>
      <c r="F11" s="260"/>
      <c r="G11" s="260"/>
      <c r="H11" s="260"/>
      <c r="I11" s="261"/>
      <c r="J11" s="2025"/>
      <c r="K11" s="2024"/>
      <c r="L11" s="2024"/>
      <c r="M11" s="2024"/>
      <c r="N11" s="2024"/>
      <c r="O11" s="2024"/>
      <c r="P11" s="2024"/>
      <c r="Q11" s="2024"/>
      <c r="R11" s="2024"/>
      <c r="S11" s="2024"/>
      <c r="T11" s="2024"/>
      <c r="U11" s="2024"/>
      <c r="V11" s="2024"/>
    </row>
    <row r="12" spans="1:22" ht="14.25">
      <c r="A12" s="3635" t="s">
        <v>312</v>
      </c>
      <c r="B12" s="3636">
        <v>15</v>
      </c>
      <c r="C12" s="3644"/>
      <c r="D12" s="3647"/>
      <c r="E12" s="259" t="s">
        <v>313</v>
      </c>
      <c r="F12" s="260"/>
      <c r="G12" s="260"/>
      <c r="H12" s="260"/>
      <c r="I12" s="261"/>
      <c r="J12" s="2025"/>
      <c r="K12" s="2024"/>
      <c r="L12" s="2024"/>
      <c r="M12" s="2024"/>
      <c r="N12" s="2024"/>
      <c r="O12" s="2024"/>
      <c r="P12" s="2024"/>
      <c r="Q12" s="2024"/>
      <c r="R12" s="2024"/>
      <c r="S12" s="2024"/>
      <c r="T12" s="2024"/>
      <c r="U12" s="2024"/>
      <c r="V12" s="2024"/>
    </row>
    <row r="13" spans="1:22" ht="14.25">
      <c r="A13" s="3635"/>
      <c r="B13" s="3636"/>
      <c r="C13" s="3646"/>
      <c r="D13" s="3647"/>
      <c r="E13" s="259" t="s">
        <v>314</v>
      </c>
      <c r="F13" s="260"/>
      <c r="G13" s="260"/>
      <c r="H13" s="260"/>
      <c r="I13" s="261"/>
      <c r="J13" s="2025"/>
      <c r="K13" s="2024"/>
      <c r="L13" s="2024"/>
      <c r="M13" s="2024"/>
      <c r="N13" s="2024"/>
      <c r="O13" s="2024"/>
      <c r="P13" s="2024"/>
      <c r="Q13" s="2024"/>
      <c r="R13" s="2024"/>
      <c r="S13" s="2024"/>
      <c r="T13" s="2024"/>
      <c r="U13" s="2024"/>
      <c r="V13" s="2024"/>
    </row>
    <row r="14" spans="1:22" ht="14.25">
      <c r="A14" s="3635" t="s">
        <v>315</v>
      </c>
      <c r="B14" s="3636">
        <v>30</v>
      </c>
      <c r="C14" s="3644">
        <v>5</v>
      </c>
      <c r="D14" s="3647">
        <v>5</v>
      </c>
      <c r="E14" s="259" t="s">
        <v>316</v>
      </c>
      <c r="F14" s="260"/>
      <c r="G14" s="260"/>
      <c r="H14" s="260"/>
      <c r="I14" s="261"/>
      <c r="J14" s="2025"/>
      <c r="K14" s="2024"/>
      <c r="L14" s="2024"/>
      <c r="M14" s="2024"/>
      <c r="N14" s="2024"/>
      <c r="O14" s="2024"/>
      <c r="P14" s="2024"/>
      <c r="Q14" s="2024"/>
      <c r="R14" s="2024"/>
      <c r="S14" s="2024"/>
      <c r="T14" s="2024"/>
      <c r="U14" s="2024"/>
      <c r="V14" s="2024"/>
    </row>
    <row r="15" spans="1:22" ht="14.25">
      <c r="A15" s="3635"/>
      <c r="B15" s="3636"/>
      <c r="C15" s="3645"/>
      <c r="D15" s="3647"/>
      <c r="E15" s="259" t="s">
        <v>317</v>
      </c>
      <c r="F15" s="260"/>
      <c r="G15" s="260"/>
      <c r="H15" s="260"/>
      <c r="I15" s="261"/>
      <c r="J15" s="2025"/>
      <c r="K15" s="2024"/>
      <c r="L15" s="2024"/>
      <c r="M15" s="2024"/>
      <c r="N15" s="2024"/>
      <c r="O15" s="2024"/>
      <c r="P15" s="2024"/>
      <c r="Q15" s="2024"/>
      <c r="R15" s="2024"/>
      <c r="S15" s="2024"/>
      <c r="T15" s="2024"/>
      <c r="U15" s="2024"/>
      <c r="V15" s="2024"/>
    </row>
    <row r="16" spans="1:22" ht="14.25">
      <c r="A16" s="3635"/>
      <c r="B16" s="3636"/>
      <c r="C16" s="3646"/>
      <c r="D16" s="3647"/>
      <c r="E16" s="259" t="s">
        <v>318</v>
      </c>
      <c r="F16" s="260"/>
      <c r="G16" s="260"/>
      <c r="H16" s="260"/>
      <c r="I16" s="261"/>
      <c r="J16" s="2025"/>
      <c r="K16" s="2024"/>
      <c r="L16" s="2024"/>
      <c r="M16" s="2024"/>
      <c r="N16" s="2024"/>
      <c r="O16" s="2024"/>
      <c r="P16" s="2024"/>
      <c r="Q16" s="2024"/>
      <c r="R16" s="2024"/>
      <c r="S16" s="2024"/>
      <c r="T16" s="2024"/>
      <c r="U16" s="2024"/>
      <c r="V16" s="2024"/>
    </row>
    <row r="17" spans="1:26" ht="15">
      <c r="A17" s="262" t="s">
        <v>319</v>
      </c>
      <c r="B17" s="144"/>
      <c r="C17" s="263">
        <f>SUM(C5:C16)</f>
        <v>5</v>
      </c>
      <c r="D17" s="263">
        <f>SUM(D5:D16)</f>
        <v>5</v>
      </c>
      <c r="E17" s="309"/>
      <c r="F17" s="309"/>
      <c r="G17" s="309"/>
      <c r="H17" s="309"/>
      <c r="I17" s="309"/>
      <c r="J17" s="2025"/>
      <c r="K17" s="2024"/>
      <c r="L17" s="2024"/>
      <c r="M17" s="2024"/>
      <c r="N17" s="2024"/>
      <c r="O17" s="2024"/>
      <c r="P17" s="2024"/>
      <c r="Q17" s="2024"/>
      <c r="R17" s="2024"/>
      <c r="S17" s="2024"/>
      <c r="T17" s="2024"/>
      <c r="U17" s="2024"/>
      <c r="V17" s="2024"/>
    </row>
    <row r="18" spans="1:26" ht="15.75" thickBot="1">
      <c r="A18" s="264" t="s">
        <v>320</v>
      </c>
      <c r="B18" s="105"/>
      <c r="C18" s="265">
        <f>ROUND(C17/SUM(C17:D17),2)</f>
        <v>0.5</v>
      </c>
      <c r="D18" s="265">
        <f>1-C18</f>
        <v>0.5</v>
      </c>
      <c r="E18" s="309"/>
      <c r="F18" s="309"/>
      <c r="G18" s="309"/>
      <c r="H18" s="309"/>
      <c r="I18" s="309"/>
      <c r="J18" s="2024"/>
      <c r="K18" s="2024"/>
      <c r="L18" s="2024"/>
      <c r="M18" s="2024"/>
      <c r="N18" s="2024"/>
      <c r="O18" s="2024"/>
      <c r="P18" s="2024"/>
      <c r="Q18" s="2024"/>
      <c r="R18" s="2024"/>
      <c r="S18" s="2024"/>
      <c r="T18" s="2024"/>
      <c r="U18" s="2024"/>
      <c r="V18" s="2024"/>
    </row>
    <row r="19" spans="1:26" ht="15">
      <c r="A19" s="266" t="s">
        <v>321</v>
      </c>
      <c r="B19" s="267" t="s">
        <v>322</v>
      </c>
      <c r="C19" s="268">
        <f ca="1">SUMIF(INDIRECT("'"&amp;C4&amp;"'"&amp;"!A:A"),结果表!B19,INDIRECT("'"&amp;C4&amp;"'"&amp;"!B:B"))</f>
        <v>72829</v>
      </c>
      <c r="D19" s="269">
        <f ca="1">SUMIF(INDIRECT("'"&amp;D4&amp;"'"&amp;"!A:A"),结果表!B19,INDIRECT("'"&amp;D4&amp;"'"&amp;"!B:B"))</f>
        <v>87258</v>
      </c>
      <c r="E19" s="266" t="s">
        <v>323</v>
      </c>
      <c r="F19" s="267" t="s">
        <v>322</v>
      </c>
      <c r="G19" s="270">
        <f ca="1">ROUND(C19*$C$18+D19*$D$18,0)</f>
        <v>80044</v>
      </c>
      <c r="H19" s="271" t="s">
        <v>324</v>
      </c>
      <c r="I19" s="309"/>
      <c r="J19" s="2024"/>
      <c r="K19" s="2024"/>
      <c r="L19" s="2024"/>
      <c r="M19" s="2024"/>
      <c r="N19" s="2024"/>
      <c r="O19" s="2024"/>
      <c r="P19" s="2024"/>
      <c r="Q19" s="2024"/>
      <c r="R19" s="2024"/>
      <c r="S19" s="2024"/>
      <c r="T19" s="2024"/>
      <c r="U19" s="2024"/>
      <c r="V19" s="2024"/>
    </row>
    <row r="20" spans="1:26" ht="15">
      <c r="A20" s="272"/>
      <c r="B20" s="273" t="s">
        <v>325</v>
      </c>
      <c r="C20" s="274">
        <f ca="1">SUMIF(INDIRECT("'"&amp;C4&amp;"'"&amp;"!A:A"),结果表!B20,INDIRECT("'"&amp;C4&amp;"'"&amp;"!B:B"))</f>
        <v>4028</v>
      </c>
      <c r="D20" s="275">
        <f ca="1">SUMIF(INDIRECT("'"&amp;D4&amp;"'"&amp;"!A:A"),结果表!B20,INDIRECT("'"&amp;D4&amp;"'"&amp;"!B:B"))</f>
        <v>4826</v>
      </c>
      <c r="E20" s="272"/>
      <c r="F20" s="273" t="s">
        <v>325</v>
      </c>
      <c r="G20" s="276">
        <f ca="1">ROUND(C20*$C$18+D20*$D$18,0)</f>
        <v>4427</v>
      </c>
      <c r="H20" s="277" t="s">
        <v>326</v>
      </c>
      <c r="I20" s="309"/>
      <c r="J20" s="2024"/>
      <c r="K20" s="2024">
        <f ca="1">G19*10000/'数据-汇总表'!F31</f>
        <v>6104.4973040580217</v>
      </c>
      <c r="L20" s="2024"/>
      <c r="M20" s="2024"/>
      <c r="N20" s="2024"/>
      <c r="O20" s="2024"/>
      <c r="P20" s="2024"/>
      <c r="Q20" s="2024"/>
      <c r="R20" s="2024"/>
      <c r="S20" s="2024"/>
      <c r="T20" s="2024"/>
      <c r="U20" s="2024"/>
      <c r="V20" s="2024"/>
    </row>
    <row r="21" spans="1:26" ht="15" customHeight="1">
      <c r="A21" s="272"/>
      <c r="B21" s="278" t="s">
        <v>327</v>
      </c>
      <c r="C21" s="279">
        <f ca="1">SUMIF(INDIRECT("'"&amp;C4&amp;"'"&amp;"!A:A"),结果表!B21,INDIRECT("'"&amp;C4&amp;"'"&amp;"!B:B"))</f>
        <v>9998</v>
      </c>
      <c r="D21" s="151">
        <f ca="1">SUMIF(INDIRECT("'"&amp;D4&amp;"'"&amp;"!A:A"),结果表!B21,INDIRECT("'"&amp;D4&amp;"'"&amp;"!B:B"))</f>
        <v>11978</v>
      </c>
      <c r="E21" s="272"/>
      <c r="F21" s="278" t="s">
        <v>327</v>
      </c>
      <c r="G21" s="280">
        <f ca="1">ROUND(C21*$C$18+D21*$D$18,0)</f>
        <v>10988</v>
      </c>
      <c r="H21" s="1248" t="s">
        <v>326</v>
      </c>
      <c r="I21" s="309"/>
      <c r="J21" s="2024"/>
      <c r="K21" s="2024"/>
      <c r="L21" s="2024"/>
      <c r="M21" s="2024"/>
      <c r="N21" s="2024"/>
      <c r="O21" s="2024"/>
      <c r="P21" s="2024"/>
      <c r="Q21" s="2024"/>
      <c r="R21" s="2024"/>
      <c r="S21" s="2024"/>
      <c r="T21" s="2024"/>
      <c r="U21" s="2024"/>
      <c r="V21" s="2024"/>
    </row>
    <row r="22" spans="1:26" ht="15.75" thickBot="1">
      <c r="A22" s="126" t="s">
        <v>328</v>
      </c>
      <c r="B22" s="1249"/>
      <c r="C22" s="1250"/>
      <c r="D22" s="281">
        <f ca="1">IF(C19&lt;D19,D19/C19-1,C19/D19-1)</f>
        <v>0.19812162737371097</v>
      </c>
      <c r="E22" s="282"/>
      <c r="F22" s="283"/>
      <c r="G22" s="284">
        <f ca="1">ROUND(G19/('数据-汇总表'!D3/666.67),0)</f>
        <v>733</v>
      </c>
      <c r="H22" s="285" t="s">
        <v>329</v>
      </c>
      <c r="I22" s="309"/>
      <c r="J22" s="2024"/>
      <c r="K22" s="2024"/>
      <c r="L22" s="2024"/>
      <c r="M22" s="2024"/>
      <c r="N22" s="2024"/>
      <c r="O22" s="2024"/>
      <c r="P22" s="2024"/>
      <c r="Q22" s="2024"/>
      <c r="R22" s="2024"/>
      <c r="S22" s="2024"/>
      <c r="T22" s="2024"/>
      <c r="U22" s="2024"/>
      <c r="V22" s="2024"/>
    </row>
    <row r="23" spans="1:26" ht="13.5" thickBot="1">
      <c r="A23" s="309"/>
      <c r="B23" s="309"/>
      <c r="C23" s="309"/>
      <c r="D23" s="309"/>
      <c r="E23" s="309"/>
      <c r="F23" s="309"/>
      <c r="G23" s="309"/>
      <c r="H23" s="309"/>
      <c r="I23" s="309"/>
      <c r="J23" s="2024"/>
      <c r="K23" s="2024"/>
      <c r="L23" s="2024"/>
      <c r="M23" s="2024"/>
      <c r="N23" s="2024"/>
      <c r="O23" s="2024"/>
      <c r="P23" s="2024"/>
      <c r="Q23" s="2024"/>
      <c r="R23" s="2024"/>
      <c r="S23" s="2024"/>
      <c r="T23" s="2024"/>
      <c r="U23" s="2024"/>
      <c r="V23" s="2024"/>
    </row>
    <row r="24" spans="1:26" ht="15" thickBot="1">
      <c r="A24" s="3608" t="s">
        <v>330</v>
      </c>
      <c r="B24" s="267" t="s">
        <v>322</v>
      </c>
      <c r="C24" s="286">
        <f>IF(B30=0,0,D30)</f>
        <v>0</v>
      </c>
      <c r="D24" s="287"/>
      <c r="E24" s="309"/>
      <c r="F24" s="309"/>
      <c r="G24" s="309"/>
      <c r="H24" s="309"/>
      <c r="I24" s="309"/>
      <c r="J24" s="2024"/>
      <c r="K24" s="2024"/>
      <c r="L24" s="2024"/>
      <c r="M24" s="2024"/>
      <c r="N24" s="2024"/>
      <c r="O24" s="2024"/>
      <c r="P24" s="2024"/>
      <c r="Q24" s="2024"/>
      <c r="R24" s="2024"/>
      <c r="S24" s="2024"/>
      <c r="T24" s="2024"/>
      <c r="U24" s="2024"/>
      <c r="V24" s="2024"/>
    </row>
    <row r="25" spans="1:26" ht="18">
      <c r="A25" s="3650"/>
      <c r="B25" s="1318" t="s">
        <v>331</v>
      </c>
      <c r="C25" s="288">
        <f>IF(B30=0,0,C30)</f>
        <v>0</v>
      </c>
      <c r="D25" s="289"/>
      <c r="E25" s="309"/>
      <c r="F25" s="309"/>
      <c r="G25" s="309"/>
      <c r="H25" s="309"/>
      <c r="I25" s="309"/>
      <c r="J25" s="2024"/>
      <c r="K25" s="1252" t="str">
        <f ca="1">项目基本情况!B16&amp;"国有建设用地使用权价格："&amp;O38&amp;"万元"</f>
        <v>出让国有建设用地使用权价格：80044万元</v>
      </c>
      <c r="L25" s="1253"/>
      <c r="M25" s="1253"/>
      <c r="N25" s="1253"/>
      <c r="O25" s="1254"/>
      <c r="P25" s="2024"/>
      <c r="Q25" s="2024"/>
      <c r="R25" s="2024"/>
      <c r="S25" s="2024"/>
      <c r="T25" s="2024"/>
      <c r="U25" s="2024"/>
      <c r="V25" s="2024"/>
    </row>
    <row r="26" spans="1:26" s="1251" customFormat="1" ht="18">
      <c r="A26" s="291" t="s">
        <v>332</v>
      </c>
      <c r="B26" s="292" t="s">
        <v>333</v>
      </c>
      <c r="C26" s="292" t="s">
        <v>334</v>
      </c>
      <c r="D26" s="293" t="s">
        <v>335</v>
      </c>
      <c r="E26" s="309"/>
      <c r="F26" s="309"/>
      <c r="G26" s="309"/>
      <c r="H26" s="309"/>
      <c r="I26" s="309"/>
      <c r="J26" s="2024"/>
      <c r="K26" s="1255" t="str">
        <f ca="1">"大写金额：人民币"&amp;NUMBERSTRING(INT(O38*10000),2)&amp;"元整"</f>
        <v>大写金额：人民币捌亿零肆拾肆万元整</v>
      </c>
      <c r="L26" s="1249"/>
      <c r="M26" s="1249"/>
      <c r="N26" s="1249"/>
      <c r="O26" s="1248"/>
      <c r="P26" s="2024"/>
      <c r="Q26" s="2024"/>
      <c r="R26" s="2024"/>
      <c r="S26" s="2024"/>
      <c r="T26" s="2024"/>
      <c r="U26" s="2024"/>
      <c r="V26" s="2024"/>
      <c r="W26" s="290"/>
      <c r="X26" s="290"/>
      <c r="Y26" s="290"/>
      <c r="Z26" s="290"/>
    </row>
    <row r="27" spans="1:26" ht="18">
      <c r="A27" s="291"/>
      <c r="B27" s="292"/>
      <c r="C27" s="292"/>
      <c r="D27" s="293"/>
      <c r="E27" s="309"/>
      <c r="F27" s="309"/>
      <c r="G27" s="309"/>
      <c r="H27" s="309"/>
      <c r="I27" s="309"/>
      <c r="J27" s="2024"/>
      <c r="K27" s="1255" t="str">
        <f ca="1">"单位面积地价："&amp;M38&amp;"元/平方米"</f>
        <v>单位面积地价：10988元/平方米</v>
      </c>
      <c r="L27" s="1249"/>
      <c r="M27" s="1249"/>
      <c r="N27" s="1249"/>
      <c r="O27" s="1248"/>
      <c r="P27" s="2024"/>
      <c r="Q27" s="2024"/>
      <c r="R27" s="2024"/>
      <c r="S27" s="2024"/>
      <c r="T27" s="2024"/>
      <c r="U27" s="2024"/>
      <c r="V27" s="2024"/>
    </row>
    <row r="28" spans="1:26" ht="18.75" customHeight="1">
      <c r="A28" s="291"/>
      <c r="B28" s="292"/>
      <c r="C28" s="292"/>
      <c r="D28" s="293"/>
      <c r="E28" s="309"/>
      <c r="F28" s="309"/>
      <c r="G28" s="309"/>
      <c r="H28" s="309"/>
      <c r="I28" s="309"/>
      <c r="J28" s="2024"/>
      <c r="K28" s="1255" t="str">
        <f ca="1">"楼面地价："&amp;N38&amp;"元/平方米"</f>
        <v>楼面地价：4427元/平方米</v>
      </c>
      <c r="L28" s="1249"/>
      <c r="M28" s="1249"/>
      <c r="N28" s="1249"/>
      <c r="O28" s="1248"/>
      <c r="P28" s="2024"/>
      <c r="V28" s="2024"/>
    </row>
    <row r="29" spans="1:26" ht="18">
      <c r="A29" s="291"/>
      <c r="B29" s="292"/>
      <c r="C29" s="292"/>
      <c r="D29" s="293"/>
      <c r="E29" s="309"/>
      <c r="F29" s="309"/>
      <c r="G29" s="309"/>
      <c r="H29" s="309"/>
      <c r="I29" s="309"/>
      <c r="J29" s="2024"/>
      <c r="K29" s="1255" t="str">
        <f ca="1">IF(OR(项目基本情况!E8="抵押价格",项目基本情况!E8="已注销及未注销"),"抵押价格："&amp;O39&amp;"万元","——")</f>
        <v>抵押价格：80044万元</v>
      </c>
      <c r="L29" s="1249"/>
      <c r="M29" s="1249"/>
      <c r="N29" s="1249"/>
      <c r="O29" s="1248"/>
      <c r="P29" s="2024"/>
      <c r="V29" s="2024"/>
    </row>
    <row r="30" spans="1:26" ht="18.75" thickBot="1">
      <c r="A30" s="3125" t="s">
        <v>336</v>
      </c>
      <c r="B30" s="307"/>
      <c r="C30" s="307"/>
      <c r="D30" s="308"/>
      <c r="E30" s="3126" t="s">
        <v>2969</v>
      </c>
      <c r="F30" s="309"/>
      <c r="G30" s="309"/>
      <c r="H30" s="309"/>
      <c r="I30" s="309"/>
      <c r="J30" s="2024"/>
      <c r="K30" s="1255" t="str">
        <f ca="1">IF(K29="——","——","大写金额：人民币"&amp;NUMBERSTRING(INT(O39*10000),2)&amp;"元整")</f>
        <v>大写金额：人民币捌亿零肆拾肆万元整</v>
      </c>
      <c r="L30" s="1249"/>
      <c r="M30" s="1249"/>
      <c r="N30" s="1249"/>
      <c r="O30" s="1248"/>
      <c r="P30" s="2024"/>
      <c r="V30" s="2024"/>
    </row>
    <row r="31" spans="1:26" ht="24" customHeight="1" thickBot="1">
      <c r="A31" s="309"/>
      <c r="B31" s="309"/>
      <c r="C31" s="309"/>
      <c r="D31" s="309"/>
      <c r="E31" s="309"/>
      <c r="F31" s="309"/>
      <c r="G31" s="309"/>
      <c r="H31" s="309"/>
      <c r="I31" s="309"/>
      <c r="J31" s="2024"/>
      <c r="K31" s="2464" t="str">
        <f>IF(项目基本情况!E8="抵押价格","——","抵押担保权已注销时的抵押价格："&amp;O40&amp;"万元")</f>
        <v>——</v>
      </c>
      <c r="L31" s="2460"/>
      <c r="M31" s="2460"/>
      <c r="N31" s="2460"/>
      <c r="O31" s="2461"/>
      <c r="P31" s="2024"/>
      <c r="V31" s="2024"/>
    </row>
    <row r="32" spans="1:26" ht="18.75" thickBot="1">
      <c r="A32" s="266" t="s">
        <v>337</v>
      </c>
      <c r="B32" s="1376" t="s">
        <v>1689</v>
      </c>
      <c r="C32" s="1377">
        <f ca="1">G19-C24</f>
        <v>80044</v>
      </c>
      <c r="D32" s="1378" t="s">
        <v>1690</v>
      </c>
      <c r="E32" s="309"/>
      <c r="F32" s="309"/>
      <c r="G32" s="309"/>
      <c r="H32" s="309"/>
      <c r="I32" s="309"/>
      <c r="J32" s="2024"/>
      <c r="K32" s="2459" t="str">
        <f>IF(K31="——","——","大写金额：人民币"&amp;NUMBERSTRING(INT(O40*10000),2)&amp;"元整")</f>
        <v>——</v>
      </c>
      <c r="L32" s="2462"/>
      <c r="M32" s="2462"/>
      <c r="N32" s="2462"/>
      <c r="O32" s="2463"/>
      <c r="P32" s="2024"/>
      <c r="V32" s="2024"/>
    </row>
    <row r="33" spans="1:26" ht="18.75" thickBot="1">
      <c r="A33" s="296" t="s">
        <v>340</v>
      </c>
      <c r="B33" s="1379" t="s">
        <v>1691</v>
      </c>
      <c r="C33" s="262">
        <f ca="1">ROUND(C32*10000/'数据-汇总表'!E3,0)</f>
        <v>4427</v>
      </c>
      <c r="D33" s="1380" t="s">
        <v>1692</v>
      </c>
      <c r="E33" s="3608" t="s">
        <v>338</v>
      </c>
      <c r="F33" s="294" t="s">
        <v>339</v>
      </c>
      <c r="G33" s="295"/>
      <c r="H33" s="977"/>
      <c r="I33" s="1256"/>
      <c r="J33" s="2024"/>
      <c r="K33" s="1255" t="str">
        <f>IF(项目基本情况!E9="——","——","抵押净值："&amp;C46&amp;"万元")</f>
        <v>抵押净值：——万元</v>
      </c>
      <c r="L33" s="1249"/>
      <c r="M33" s="1249"/>
      <c r="N33" s="1249"/>
      <c r="O33" s="1248"/>
      <c r="P33" s="2024"/>
      <c r="V33" s="2024"/>
    </row>
    <row r="34" spans="1:26" s="1251" customFormat="1" ht="18.75" thickBot="1">
      <c r="A34" s="298"/>
      <c r="B34" s="1381" t="s">
        <v>1693</v>
      </c>
      <c r="C34" s="262">
        <f ca="1">ROUND(C32*10000/'数据-汇总表'!D3,0)</f>
        <v>10988</v>
      </c>
      <c r="D34" s="1382" t="s">
        <v>1692</v>
      </c>
      <c r="E34" s="3609"/>
      <c r="F34" s="127" t="s">
        <v>341</v>
      </c>
      <c r="G34" s="297"/>
      <c r="H34" s="105"/>
      <c r="I34" s="309"/>
      <c r="J34" s="2024"/>
      <c r="K34" s="1258" t="e">
        <f>IF(K33="——","——","大写金额：人民币"&amp;NUMBERSTRING(INT(O41*10000),2)&amp;"元整")</f>
        <v>#VALUE!</v>
      </c>
      <c r="L34" s="1259"/>
      <c r="M34" s="1259"/>
      <c r="N34" s="1259"/>
      <c r="O34" s="1260"/>
      <c r="P34" s="2024"/>
      <c r="Q34" s="290"/>
      <c r="R34" s="290"/>
      <c r="S34" s="290"/>
      <c r="T34" s="290"/>
      <c r="U34" s="290"/>
      <c r="V34" s="2024"/>
      <c r="W34" s="290"/>
      <c r="X34" s="290"/>
      <c r="Y34" s="290"/>
      <c r="Z34" s="290"/>
    </row>
    <row r="35" spans="1:26" ht="15.75" thickBot="1">
      <c r="A35" s="282"/>
      <c r="B35" s="1383"/>
      <c r="C35" s="1384">
        <f ca="1">ROUND(C32/('数据-汇总表'!D3/666.67),0)</f>
        <v>733</v>
      </c>
      <c r="D35" s="1385" t="s">
        <v>1694</v>
      </c>
      <c r="E35" s="3610"/>
      <c r="F35" s="299" t="s">
        <v>342</v>
      </c>
      <c r="G35" s="979"/>
      <c r="H35" s="978" t="s">
        <v>343</v>
      </c>
      <c r="I35" s="309"/>
      <c r="J35" s="2024"/>
      <c r="K35" s="3614" t="s">
        <v>350</v>
      </c>
      <c r="L35" s="3614" t="s">
        <v>351</v>
      </c>
      <c r="M35" s="1261" t="s">
        <v>352</v>
      </c>
      <c r="N35" s="3614" t="s">
        <v>353</v>
      </c>
      <c r="O35" s="3614" t="s">
        <v>354</v>
      </c>
      <c r="P35" s="2024"/>
      <c r="V35" s="2024"/>
    </row>
    <row r="36" spans="1:26" ht="16.5" customHeight="1">
      <c r="A36" s="301" t="s">
        <v>344</v>
      </c>
      <c r="B36" s="302" t="s">
        <v>333</v>
      </c>
      <c r="C36" s="303" t="s">
        <v>345</v>
      </c>
      <c r="D36" s="303" t="s">
        <v>346</v>
      </c>
      <c r="E36" s="304" t="s">
        <v>347</v>
      </c>
      <c r="F36" s="309"/>
      <c r="G36" s="309"/>
      <c r="H36" s="309"/>
      <c r="I36" s="309"/>
      <c r="J36" s="2026"/>
      <c r="K36" s="3615"/>
      <c r="L36" s="3615"/>
      <c r="M36" s="1263" t="s">
        <v>355</v>
      </c>
      <c r="N36" s="3615"/>
      <c r="O36" s="3615"/>
      <c r="P36" s="2024"/>
      <c r="V36" s="2024"/>
    </row>
    <row r="37" spans="1:26" ht="16.5" customHeight="1" thickBot="1">
      <c r="A37" s="1257" t="s">
        <v>348</v>
      </c>
      <c r="B37" s="305"/>
      <c r="C37" s="292"/>
      <c r="D37" s="292"/>
      <c r="E37" s="293"/>
      <c r="F37" s="309"/>
      <c r="G37" s="309"/>
      <c r="H37" s="309"/>
      <c r="I37" s="309"/>
      <c r="J37" s="2026"/>
      <c r="K37" s="3616"/>
      <c r="L37" s="3616"/>
      <c r="M37" s="1264"/>
      <c r="N37" s="3616"/>
      <c r="O37" s="3616"/>
      <c r="P37" s="2024"/>
      <c r="V37" s="2024"/>
    </row>
    <row r="38" spans="1:26" ht="16.5" customHeight="1" thickBot="1">
      <c r="A38" s="1257" t="s">
        <v>349</v>
      </c>
      <c r="B38" s="305"/>
      <c r="C38" s="292"/>
      <c r="D38" s="292"/>
      <c r="E38" s="293"/>
      <c r="F38" s="309"/>
      <c r="G38" s="309"/>
      <c r="H38" s="309"/>
      <c r="I38" s="309"/>
      <c r="J38" s="2026"/>
      <c r="K38" s="1265">
        <f>'数据-汇总表'!D3</f>
        <v>72846.2</v>
      </c>
      <c r="L38" s="1266">
        <f>'数据-汇总表'!E3</f>
        <v>180792</v>
      </c>
      <c r="M38" s="1266">
        <f ca="1">C34</f>
        <v>10988</v>
      </c>
      <c r="N38" s="1266">
        <f ca="1">C33</f>
        <v>4427</v>
      </c>
      <c r="O38" s="1267">
        <f ca="1">C32</f>
        <v>80044</v>
      </c>
      <c r="P38" s="2024"/>
      <c r="V38" s="2024"/>
    </row>
    <row r="39" spans="1:26" ht="16.5" customHeight="1" thickBot="1">
      <c r="A39" s="1262"/>
      <c r="B39" s="306"/>
      <c r="C39" s="307"/>
      <c r="D39" s="307"/>
      <c r="E39" s="308"/>
      <c r="F39" s="309"/>
      <c r="G39" s="309"/>
      <c r="H39" s="309"/>
      <c r="I39" s="309"/>
      <c r="J39" s="2026"/>
      <c r="K39" s="3591" t="str">
        <f>MID(A44,3,LEN(A44)-2)</f>
        <v>抵押价格</v>
      </c>
      <c r="L39" s="3592"/>
      <c r="M39" s="3592"/>
      <c r="N39" s="3593"/>
      <c r="O39" s="1387">
        <f ca="1">C44</f>
        <v>80044</v>
      </c>
      <c r="P39" s="2024"/>
      <c r="V39" s="2024"/>
    </row>
    <row r="40" spans="1:26" ht="19.5" thickBot="1">
      <c r="A40" s="104" t="s">
        <v>873</v>
      </c>
      <c r="B40" s="309"/>
      <c r="C40" s="309"/>
      <c r="D40" s="309"/>
      <c r="E40" s="309"/>
      <c r="F40" s="309"/>
      <c r="G40" s="309"/>
      <c r="H40" s="309"/>
      <c r="I40" s="309"/>
      <c r="J40" s="2026"/>
      <c r="K40" s="3591" t="str">
        <f t="shared" ref="K40:K41" si="0">MID(A45,3,LEN(A45)-2)</f>
        <v/>
      </c>
      <c r="L40" s="3592"/>
      <c r="M40" s="3592"/>
      <c r="N40" s="3593"/>
      <c r="O40" s="1387" t="str">
        <f>C45</f>
        <v>——</v>
      </c>
      <c r="P40" s="2024"/>
      <c r="V40" s="2024"/>
    </row>
    <row r="41" spans="1:26" ht="16.5" thickBot="1">
      <c r="A41" s="310" t="s">
        <v>356</v>
      </c>
      <c r="B41" s="311"/>
      <c r="C41" s="312" t="s">
        <v>357</v>
      </c>
      <c r="D41" s="313" t="s">
        <v>358</v>
      </c>
      <c r="E41" s="313" t="s">
        <v>359</v>
      </c>
      <c r="F41" s="314" t="s">
        <v>360</v>
      </c>
      <c r="G41" s="309"/>
      <c r="H41" s="309"/>
      <c r="I41" s="309"/>
      <c r="J41" s="2026"/>
      <c r="K41" s="3591" t="str">
        <f t="shared" si="0"/>
        <v/>
      </c>
      <c r="L41" s="3592"/>
      <c r="M41" s="3592"/>
      <c r="N41" s="3593"/>
      <c r="O41" s="1387" t="str">
        <f>C46</f>
        <v>——</v>
      </c>
      <c r="P41" s="2024"/>
      <c r="V41" s="2024"/>
    </row>
    <row r="42" spans="1:26" ht="29.25">
      <c r="A42" s="3651" t="s">
        <v>2067</v>
      </c>
      <c r="B42" s="3652"/>
      <c r="C42" s="262">
        <f ca="1">C32</f>
        <v>80044</v>
      </c>
      <c r="D42" s="315">
        <f ca="1">C33</f>
        <v>4427</v>
      </c>
      <c r="E42" s="315">
        <f ca="1">C34</f>
        <v>10988</v>
      </c>
      <c r="F42" s="316">
        <f ca="1">C35</f>
        <v>733</v>
      </c>
      <c r="G42" s="309"/>
      <c r="H42" s="309"/>
      <c r="I42" s="317"/>
      <c r="J42" s="2026"/>
      <c r="K42" s="1268" t="s">
        <v>361</v>
      </c>
      <c r="L42" s="2043" t="s">
        <v>362</v>
      </c>
      <c r="M42" s="1269" t="s">
        <v>363</v>
      </c>
      <c r="N42" s="2044" t="s">
        <v>364</v>
      </c>
      <c r="O42" s="2045" t="s">
        <v>365</v>
      </c>
      <c r="P42" s="2024"/>
      <c r="V42" s="2024"/>
    </row>
    <row r="43" spans="1:26" ht="30">
      <c r="A43" s="3661" t="s">
        <v>2729</v>
      </c>
      <c r="B43" s="3662"/>
      <c r="C43" s="262">
        <f>IF(H33="正常操作",G33+G34+G35,G34+G35)</f>
        <v>0</v>
      </c>
      <c r="D43" s="315" t="s">
        <v>43</v>
      </c>
      <c r="E43" s="315" t="s">
        <v>44</v>
      </c>
      <c r="F43" s="316" t="s">
        <v>44</v>
      </c>
      <c r="G43" s="2862" t="s">
        <v>952</v>
      </c>
      <c r="H43" s="309"/>
      <c r="I43" s="317"/>
      <c r="J43" s="2026"/>
      <c r="K43" s="1270" t="str">
        <f>C4</f>
        <v>比较法-住宅、综合</v>
      </c>
      <c r="L43" s="1271">
        <f ca="1">IF(L42="估价结果/万元",C19,C20)</f>
        <v>72829</v>
      </c>
      <c r="M43" s="1272">
        <f>C18</f>
        <v>0.5</v>
      </c>
      <c r="N43" s="1273">
        <f ca="1">IF(N42="测算结果/万元",G19,G20)</f>
        <v>80044</v>
      </c>
      <c r="O43" s="1274">
        <f ca="1">IF(O42="最终结果/万元",C32,C33)</f>
        <v>80044</v>
      </c>
      <c r="P43" s="2024"/>
      <c r="V43" s="2024"/>
    </row>
    <row r="44" spans="1:26" ht="30.75" thickBot="1">
      <c r="A44" s="3651" t="str">
        <f>IF(OR(项目基本情况!E8="抵押价格",项目基本情况!E8="已注销及未注销"),"3.抵押价格","——")</f>
        <v>3.抵押价格</v>
      </c>
      <c r="B44" s="3652"/>
      <c r="C44" s="262">
        <f ca="1">IF(A44="——","——",C42-C43)</f>
        <v>80044</v>
      </c>
      <c r="D44" s="315">
        <f ca="1">ROUND(C44*10000/'数据-汇总表'!E3,0)</f>
        <v>4427</v>
      </c>
      <c r="E44" s="315">
        <f ca="1">ROUND(C44*10000/'数据-汇总表'!D3,0)</f>
        <v>10988</v>
      </c>
      <c r="F44" s="316">
        <f ca="1">ROUND(C44/('数据-汇总表'!D3/666.67),0)</f>
        <v>733</v>
      </c>
      <c r="G44" s="309"/>
      <c r="H44" s="309"/>
      <c r="I44" s="317"/>
      <c r="J44" s="2026"/>
      <c r="K44" s="1275" t="str">
        <f>D4</f>
        <v>剩余法-待开发</v>
      </c>
      <c r="L44" s="1276">
        <f ca="1">IF(L42="估价结果/万元",D19,D20)</f>
        <v>87258</v>
      </c>
      <c r="M44" s="1277">
        <f>D18</f>
        <v>0.5</v>
      </c>
      <c r="N44" s="1278"/>
      <c r="O44" s="1279"/>
      <c r="P44" s="2024"/>
      <c r="V44" s="2024"/>
    </row>
    <row r="45" spans="1:26" ht="15">
      <c r="A45" s="3656" t="str">
        <f>IF(项目基本情况!E8="已注销及未注销","4.抵押担保权已注销时的抵押价格",IF(项目基本情况!E8="已注销","3.抵押担保权已注销时的抵押价格","——"))</f>
        <v>——</v>
      </c>
      <c r="B45" s="3657"/>
      <c r="C45" s="179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6"/>
      <c r="K45" s="2024"/>
      <c r="L45" s="2024"/>
      <c r="M45" s="2024"/>
      <c r="N45" s="2024"/>
      <c r="O45" s="2024"/>
      <c r="P45" s="2024"/>
      <c r="V45" s="2024"/>
    </row>
    <row r="46" spans="1:26" ht="15.75" thickBot="1">
      <c r="A46" s="3653" t="str">
        <f>IF(项目基本情况!E9="抵押净值",IF(A45="——","4.抵押净值","5.抵押净值"),"——")</f>
        <v>——</v>
      </c>
      <c r="B46" s="3654"/>
      <c r="C46" s="318" t="str">
        <f>IF(A46="——","——",O79)</f>
        <v>——</v>
      </c>
      <c r="D46" s="315" t="e">
        <f>ROUND(C46*10000/'数据-汇总表'!E3,0)</f>
        <v>#VALUE!</v>
      </c>
      <c r="E46" s="315" t="e">
        <f>ROUND(C46*10000/'数据-汇总表'!D3,0)</f>
        <v>#VALUE!</v>
      </c>
      <c r="F46" s="316" t="e">
        <f>ROUND(C46/('数据-汇总表'!D3/666.67),0)</f>
        <v>#VALUE!</v>
      </c>
      <c r="G46" s="309"/>
      <c r="H46" s="309"/>
      <c r="I46" s="317"/>
      <c r="J46" s="2026"/>
      <c r="K46" s="2024"/>
      <c r="L46" s="2024"/>
      <c r="M46" s="2024"/>
      <c r="N46" s="2024"/>
      <c r="O46" s="2024"/>
      <c r="P46" s="2024"/>
      <c r="Q46" s="2024"/>
      <c r="R46" s="2024"/>
      <c r="S46" s="2024"/>
      <c r="T46" s="2024"/>
      <c r="U46" s="2024"/>
      <c r="V46" s="2024"/>
    </row>
    <row r="47" spans="1:26" ht="15.75">
      <c r="A47" s="319" t="s">
        <v>366</v>
      </c>
      <c r="B47" s="1280"/>
      <c r="C47" s="320" t="s">
        <v>367</v>
      </c>
      <c r="D47" s="321"/>
      <c r="E47" s="321"/>
      <c r="F47" s="321"/>
      <c r="G47" s="322"/>
      <c r="H47" s="323"/>
      <c r="I47" s="324"/>
      <c r="J47" s="2026"/>
      <c r="K47" s="309" t="str">
        <f>IF(C43=0,"本次评估"&amp;IF(G43="设定","设定估价对象","")&amp;"不存在"&amp;MID(A43,3,LEN(A43)-2),"本次评估"&amp;IF(G43="设定","设定","")&amp;MID(A43,3,LEN(A43)-2)&amp;"为人民币"&amp;C43&amp;"万元整。")</f>
        <v>本次评估不存在估价师知悉的法定优先受偿款</v>
      </c>
      <c r="L47" s="2024"/>
      <c r="M47" s="2024"/>
      <c r="N47" s="2024"/>
      <c r="O47" s="2024"/>
      <c r="P47" s="2024"/>
      <c r="Q47" s="2024"/>
      <c r="R47" s="2024"/>
      <c r="S47" s="2024"/>
      <c r="T47" s="2024"/>
      <c r="U47" s="2024"/>
      <c r="V47" s="2024"/>
    </row>
    <row r="48" spans="1:26" ht="12.75">
      <c r="A48" s="325">
        <v>1</v>
      </c>
      <c r="B48" s="326"/>
      <c r="C48" s="326"/>
      <c r="D48" s="321"/>
      <c r="E48" s="321"/>
      <c r="F48" s="321"/>
      <c r="G48" s="321"/>
      <c r="H48" s="327"/>
      <c r="I48" s="328"/>
      <c r="J48" s="2026"/>
      <c r="K48" s="2024"/>
      <c r="L48" s="2024"/>
      <c r="M48" s="2024"/>
      <c r="N48" s="2024"/>
      <c r="O48" s="2024"/>
      <c r="P48" s="2024"/>
      <c r="Q48" s="2024"/>
      <c r="R48" s="2024"/>
      <c r="S48" s="2024"/>
      <c r="T48" s="2024"/>
      <c r="U48" s="2024"/>
      <c r="V48" s="2024"/>
    </row>
    <row r="49" spans="1:22" ht="12.75">
      <c r="A49" s="325">
        <v>2</v>
      </c>
      <c r="B49" s="326"/>
      <c r="C49" s="326"/>
      <c r="D49" s="321"/>
      <c r="E49" s="321"/>
      <c r="F49" s="321"/>
      <c r="G49" s="321"/>
      <c r="H49" s="327"/>
      <c r="I49" s="328"/>
      <c r="J49" s="2027"/>
      <c r="K49" s="2024"/>
      <c r="L49" s="2024"/>
      <c r="M49" s="2024"/>
      <c r="N49" s="2024"/>
      <c r="O49" s="2024"/>
      <c r="P49" s="2024"/>
      <c r="Q49" s="2024"/>
      <c r="R49" s="2024"/>
      <c r="S49" s="2024"/>
      <c r="T49" s="2024"/>
      <c r="U49" s="2024"/>
      <c r="V49" s="2024"/>
    </row>
    <row r="50" spans="1:22" ht="12.75">
      <c r="A50" s="325">
        <v>3</v>
      </c>
      <c r="B50" s="326"/>
      <c r="C50" s="326"/>
      <c r="D50" s="321"/>
      <c r="E50" s="321"/>
      <c r="F50" s="321"/>
      <c r="G50" s="321"/>
      <c r="H50" s="327"/>
      <c r="I50" s="328"/>
      <c r="J50" s="2027"/>
      <c r="K50" s="2024"/>
      <c r="L50" s="2024"/>
      <c r="M50" s="2024"/>
      <c r="N50" s="2024"/>
      <c r="O50" s="2024"/>
      <c r="P50" s="2024"/>
      <c r="Q50" s="2024"/>
      <c r="R50" s="2024"/>
      <c r="S50" s="2024"/>
      <c r="T50" s="2024"/>
      <c r="U50" s="2024"/>
      <c r="V50" s="2024"/>
    </row>
    <row r="51" spans="1:22" ht="12.75">
      <c r="A51" s="329"/>
      <c r="B51" s="330"/>
      <c r="C51" s="330"/>
      <c r="D51" s="331"/>
      <c r="E51" s="331"/>
      <c r="F51" s="331"/>
      <c r="G51" s="331"/>
      <c r="H51" s="332"/>
      <c r="I51" s="333"/>
      <c r="J51" s="2027"/>
      <c r="K51" s="2024"/>
      <c r="L51" s="2024"/>
      <c r="M51" s="2024"/>
      <c r="N51" s="2024"/>
      <c r="O51" s="2024"/>
      <c r="P51" s="2024"/>
      <c r="Q51" s="2024"/>
      <c r="R51" s="2024"/>
      <c r="S51" s="2024"/>
      <c r="T51" s="2024"/>
      <c r="U51" s="2024"/>
      <c r="V51" s="2024"/>
    </row>
    <row r="52" spans="1:22" ht="12.75">
      <c r="A52" s="326"/>
      <c r="B52" s="326"/>
      <c r="C52" s="326"/>
      <c r="D52" s="321"/>
      <c r="E52" s="321"/>
      <c r="F52" s="321"/>
      <c r="G52" s="321"/>
      <c r="H52" s="327"/>
      <c r="I52" s="255"/>
      <c r="J52" s="2027"/>
      <c r="K52" s="2024"/>
      <c r="L52" s="2024"/>
      <c r="M52" s="2024"/>
      <c r="N52" s="2024"/>
      <c r="O52" s="2024"/>
      <c r="P52" s="2024"/>
      <c r="Q52" s="2024"/>
      <c r="R52" s="2024"/>
      <c r="S52" s="2024"/>
      <c r="T52" s="2024"/>
      <c r="U52" s="2024"/>
      <c r="V52" s="2024"/>
    </row>
    <row r="53" spans="1:22" ht="12.75">
      <c r="A53" s="255"/>
      <c r="B53" s="255"/>
      <c r="C53" s="255"/>
      <c r="D53" s="255"/>
      <c r="E53" s="255"/>
      <c r="F53" s="334" t="s">
        <v>368</v>
      </c>
      <c r="G53" s="335"/>
      <c r="H53" s="335"/>
      <c r="I53" s="336" t="s">
        <v>369</v>
      </c>
      <c r="J53" s="2027"/>
      <c r="K53" s="2024"/>
      <c r="L53" s="2024"/>
      <c r="M53" s="2024"/>
      <c r="N53" s="2024"/>
      <c r="O53" s="2024"/>
      <c r="P53" s="2024"/>
      <c r="Q53" s="2024"/>
      <c r="R53" s="2024"/>
      <c r="S53" s="2024"/>
      <c r="T53" s="2024"/>
      <c r="U53" s="2024"/>
      <c r="V53" s="2024"/>
    </row>
    <row r="54" spans="1:22" ht="12.75">
      <c r="A54" s="255"/>
      <c r="B54" s="337" t="s">
        <v>370</v>
      </c>
      <c r="C54" s="255"/>
      <c r="D54" s="255"/>
      <c r="E54" s="255"/>
      <c r="F54" s="255"/>
      <c r="G54" s="255"/>
      <c r="H54" s="255"/>
      <c r="I54" s="255"/>
      <c r="J54" s="2027"/>
      <c r="K54" s="2024"/>
      <c r="L54" s="2024"/>
      <c r="M54" s="2024"/>
      <c r="N54" s="2024"/>
      <c r="O54" s="2024"/>
      <c r="P54" s="2024"/>
      <c r="Q54" s="2024"/>
      <c r="R54" s="2024"/>
      <c r="S54" s="2024"/>
      <c r="T54" s="2024"/>
      <c r="U54" s="2024"/>
      <c r="V54" s="2024"/>
    </row>
    <row r="55" spans="1:22" ht="12.75">
      <c r="A55" s="255"/>
      <c r="B55" s="255"/>
      <c r="C55" s="255"/>
      <c r="D55" s="255"/>
      <c r="E55" s="255"/>
      <c r="F55" s="255"/>
      <c r="G55" s="255"/>
      <c r="H55" s="255"/>
      <c r="I55" s="255"/>
      <c r="J55" s="2027"/>
      <c r="K55" s="2024"/>
      <c r="L55" s="2024"/>
      <c r="M55" s="2024"/>
      <c r="N55" s="2024"/>
      <c r="O55" s="2024"/>
      <c r="P55" s="2024"/>
      <c r="Q55" s="2024"/>
      <c r="R55" s="2024"/>
      <c r="S55" s="2024"/>
      <c r="T55" s="2024"/>
      <c r="U55" s="2024"/>
      <c r="V55" s="2024"/>
    </row>
    <row r="56" spans="1:22" ht="12.75">
      <c r="A56" s="255"/>
      <c r="B56" s="335"/>
      <c r="C56" s="335"/>
      <c r="D56" s="335"/>
      <c r="E56" s="335"/>
      <c r="F56" s="335"/>
      <c r="G56" s="335"/>
      <c r="H56" s="335"/>
      <c r="I56" s="336" t="s">
        <v>371</v>
      </c>
      <c r="J56" s="2027"/>
      <c r="K56" s="2024"/>
      <c r="L56" s="2024"/>
      <c r="M56" s="2024"/>
      <c r="N56" s="2024"/>
      <c r="O56" s="2024"/>
      <c r="P56" s="2024"/>
      <c r="Q56" s="2024"/>
      <c r="R56" s="2024"/>
      <c r="S56" s="2024"/>
      <c r="T56" s="2024"/>
      <c r="U56" s="2024"/>
      <c r="V56" s="2024"/>
    </row>
    <row r="57" spans="1:22" ht="12.75">
      <c r="A57" s="255"/>
      <c r="B57" s="337" t="s">
        <v>372</v>
      </c>
      <c r="C57" s="255"/>
      <c r="D57" s="255"/>
      <c r="E57" s="255"/>
      <c r="F57" s="255"/>
      <c r="G57" s="255"/>
      <c r="H57" s="255"/>
      <c r="I57" s="255"/>
      <c r="J57" s="2027"/>
      <c r="K57" s="2024"/>
      <c r="L57" s="2024"/>
      <c r="M57" s="2024"/>
      <c r="N57" s="2024"/>
      <c r="O57" s="2024"/>
      <c r="P57" s="2024"/>
      <c r="Q57" s="2024"/>
      <c r="R57" s="2024"/>
      <c r="S57" s="2024"/>
      <c r="T57" s="2024"/>
      <c r="U57" s="2024"/>
      <c r="V57" s="2024"/>
    </row>
    <row r="58" spans="1:22" ht="12.75">
      <c r="A58" s="255"/>
      <c r="B58" s="337"/>
      <c r="C58" s="255"/>
      <c r="D58" s="255"/>
      <c r="E58" s="255"/>
      <c r="F58" s="255"/>
      <c r="G58" s="255"/>
      <c r="H58" s="255"/>
      <c r="I58" s="255"/>
      <c r="J58" s="2027"/>
      <c r="K58" s="2024"/>
      <c r="L58" s="2024"/>
      <c r="M58" s="2024"/>
      <c r="N58" s="2024"/>
      <c r="O58" s="2024"/>
      <c r="P58" s="2024"/>
      <c r="Q58" s="2024"/>
      <c r="R58" s="2024"/>
      <c r="S58" s="2024"/>
      <c r="T58" s="2024"/>
      <c r="U58" s="2024"/>
      <c r="V58" s="2024"/>
    </row>
    <row r="59" spans="1:22" ht="12.75">
      <c r="A59" s="255"/>
      <c r="B59" s="335"/>
      <c r="C59" s="335"/>
      <c r="D59" s="335"/>
      <c r="E59" s="335"/>
      <c r="F59" s="335"/>
      <c r="G59" s="335"/>
      <c r="H59" s="335"/>
      <c r="I59" s="336" t="s">
        <v>371</v>
      </c>
      <c r="J59" s="2027"/>
      <c r="K59" s="2024"/>
      <c r="L59" s="2024"/>
      <c r="M59" s="2024"/>
      <c r="N59" s="2024"/>
      <c r="O59" s="2024"/>
      <c r="P59" s="2024"/>
      <c r="Q59" s="2024"/>
      <c r="R59" s="2024"/>
      <c r="S59" s="2024"/>
      <c r="T59" s="2024"/>
      <c r="U59" s="2024"/>
      <c r="V59" s="2024"/>
    </row>
    <row r="60" spans="1:22" ht="12.75">
      <c r="A60" s="255"/>
      <c r="B60" s="255"/>
      <c r="C60" s="255"/>
      <c r="D60" s="255"/>
      <c r="E60" s="255"/>
      <c r="F60" s="255"/>
      <c r="G60" s="255"/>
      <c r="H60" s="255"/>
      <c r="I60" s="255"/>
      <c r="J60" s="2027"/>
      <c r="K60" s="2024"/>
      <c r="L60" s="2024"/>
      <c r="M60" s="2024"/>
      <c r="N60" s="2024"/>
      <c r="O60" s="2024"/>
      <c r="P60" s="2024"/>
      <c r="Q60" s="2024"/>
      <c r="R60" s="2024"/>
      <c r="S60" s="2024"/>
      <c r="T60" s="2024"/>
      <c r="U60" s="2024"/>
      <c r="V60" s="2024"/>
    </row>
    <row r="61" spans="1:22" ht="12.75">
      <c r="A61" s="255"/>
      <c r="B61" s="337"/>
      <c r="C61" s="338"/>
      <c r="D61" s="215"/>
      <c r="E61" s="215"/>
      <c r="F61" s="251"/>
      <c r="G61" s="255"/>
      <c r="H61" s="255"/>
      <c r="I61" s="255"/>
      <c r="J61" s="2027"/>
      <c r="K61" s="2024"/>
      <c r="L61" s="2024"/>
      <c r="M61" s="2024"/>
      <c r="N61" s="2024"/>
      <c r="O61" s="2024"/>
      <c r="P61" s="2024"/>
      <c r="Q61" s="2024"/>
      <c r="R61" s="2024"/>
      <c r="S61" s="2024"/>
      <c r="T61" s="2024"/>
      <c r="U61" s="2024"/>
      <c r="V61" s="2024"/>
    </row>
    <row r="62" spans="1:22" ht="18.75">
      <c r="A62" s="1281" t="s">
        <v>373</v>
      </c>
      <c r="B62" s="1282"/>
      <c r="C62" s="1282"/>
      <c r="D62" s="1283"/>
      <c r="E62" s="1283"/>
      <c r="F62" s="1284"/>
      <c r="G62" s="1284"/>
      <c r="H62" s="1284"/>
      <c r="I62" s="1284"/>
      <c r="J62" s="2028"/>
      <c r="K62" s="2024"/>
      <c r="L62" s="2024"/>
      <c r="M62" s="2024"/>
      <c r="N62" s="2024"/>
      <c r="O62" s="2024"/>
      <c r="P62" s="2024"/>
      <c r="Q62" s="2024"/>
      <c r="R62" s="2024"/>
      <c r="S62" s="2024"/>
      <c r="T62" s="2024"/>
      <c r="U62" s="2024"/>
      <c r="V62" s="2024"/>
    </row>
    <row r="63" spans="1:22" ht="14.25" customHeight="1" thickBot="1">
      <c r="A63" s="3619" t="s">
        <v>374</v>
      </c>
      <c r="B63" s="3620"/>
      <c r="C63" s="3621"/>
      <c r="D63" s="339">
        <f ca="1">ROUND(C42*F63,0)</f>
        <v>80044</v>
      </c>
      <c r="E63" s="300" t="s">
        <v>375</v>
      </c>
      <c r="F63" s="340">
        <v>1</v>
      </c>
      <c r="G63" s="341" t="s">
        <v>376</v>
      </c>
      <c r="H63" s="309"/>
      <c r="I63" s="309"/>
      <c r="J63" s="2024"/>
      <c r="K63" s="2024"/>
      <c r="L63" s="2024"/>
      <c r="M63" s="2024"/>
      <c r="N63" s="2024"/>
      <c r="O63" s="2024"/>
      <c r="P63" s="309"/>
      <c r="Q63" s="2024"/>
      <c r="R63" s="2024"/>
      <c r="S63" s="2024"/>
      <c r="T63" s="2024"/>
      <c r="U63" s="2024"/>
      <c r="V63" s="2024"/>
    </row>
    <row r="64" spans="1:22" ht="14.25" customHeight="1">
      <c r="A64" s="3658" t="s">
        <v>378</v>
      </c>
      <c r="B64" s="3659"/>
      <c r="C64" s="3659"/>
      <c r="D64" s="3659"/>
      <c r="E64" s="3659"/>
      <c r="F64" s="3659"/>
      <c r="G64" s="3660"/>
      <c r="H64" s="1285"/>
      <c r="I64" s="945"/>
      <c r="J64" s="1986"/>
      <c r="K64" s="1556" t="s">
        <v>377</v>
      </c>
      <c r="L64" s="11"/>
      <c r="M64" s="11"/>
      <c r="N64" s="11"/>
      <c r="O64" s="11"/>
      <c r="P64" s="309"/>
      <c r="Q64" s="2024"/>
      <c r="R64" s="2024"/>
      <c r="S64" s="2024"/>
      <c r="T64" s="2024"/>
      <c r="U64" s="2024"/>
      <c r="V64" s="2024"/>
    </row>
    <row r="65" spans="1:22" ht="12" customHeight="1">
      <c r="A65" s="342" t="s">
        <v>380</v>
      </c>
      <c r="B65" s="343"/>
      <c r="C65" s="344"/>
      <c r="D65" s="345" t="s">
        <v>381</v>
      </c>
      <c r="E65" s="53" t="s">
        <v>382</v>
      </c>
      <c r="F65" s="346" t="s">
        <v>383</v>
      </c>
      <c r="G65" s="347" t="s">
        <v>384</v>
      </c>
      <c r="H65" s="1285"/>
      <c r="I65" s="945"/>
      <c r="J65" s="1986"/>
      <c r="K65" s="1286"/>
      <c r="L65" s="1287"/>
      <c r="M65" s="1287"/>
      <c r="N65" s="1319" t="s">
        <v>379</v>
      </c>
      <c r="O65" s="1320"/>
      <c r="P65" s="1321"/>
      <c r="Q65" s="2024"/>
      <c r="R65" s="2024"/>
      <c r="S65" s="2024"/>
      <c r="T65" s="2024"/>
      <c r="U65" s="2024"/>
      <c r="V65" s="2024"/>
    </row>
    <row r="66" spans="1:22" ht="25.5">
      <c r="A66" s="3655" t="s">
        <v>386</v>
      </c>
      <c r="B66" s="3626"/>
      <c r="C66" s="3626"/>
      <c r="D66" s="259">
        <f ca="1">IF(H66="情况1",0,IF(H66="情况2",D70,IF(H66="情况3",D71,IF(H66="情况4",D72))))</f>
        <v>4269</v>
      </c>
      <c r="E66" s="990" t="str">
        <f>IF(H66="情况4","(销售额-原购置价)×税（费）率","销售额×税（费）率")</f>
        <v>销售额×税（费）率</v>
      </c>
      <c r="F66" s="348">
        <f>IF(H66="情况1","免征",'数据-取费表'!B41)</f>
        <v>5.6000000000000001E-2</v>
      </c>
      <c r="G66" s="349" t="s">
        <v>387</v>
      </c>
      <c r="H66" s="191" t="s">
        <v>388</v>
      </c>
      <c r="I66" s="1285"/>
      <c r="J66" s="2030"/>
      <c r="K66" s="1288">
        <v>1</v>
      </c>
      <c r="L66" s="3595" t="s">
        <v>385</v>
      </c>
      <c r="M66" s="3596"/>
      <c r="N66" s="2454"/>
      <c r="O66" s="2455"/>
      <c r="P66" s="2456"/>
      <c r="Q66" s="2024"/>
      <c r="R66" s="2024"/>
      <c r="S66" s="2024"/>
      <c r="T66" s="2024"/>
      <c r="U66" s="2024"/>
      <c r="V66" s="2024"/>
    </row>
    <row r="67" spans="1:22" ht="25.5" customHeight="1">
      <c r="A67" s="350" t="s">
        <v>390</v>
      </c>
      <c r="B67" s="3638" t="s">
        <v>391</v>
      </c>
      <c r="C67" s="3638"/>
      <c r="D67" s="351">
        <v>0</v>
      </c>
      <c r="E67" s="41" t="s">
        <v>392</v>
      </c>
      <c r="F67" s="62" t="s">
        <v>21</v>
      </c>
      <c r="G67" s="3622"/>
      <c r="H67" s="309"/>
      <c r="I67" s="1289"/>
      <c r="J67" s="2031"/>
      <c r="K67" s="1972">
        <v>2</v>
      </c>
      <c r="L67" s="3594" t="s">
        <v>389</v>
      </c>
      <c r="M67" s="3594"/>
      <c r="N67" s="1322">
        <f>'数据-取费表'!B2</f>
        <v>43346</v>
      </c>
      <c r="O67" s="1322"/>
      <c r="P67" s="1322"/>
      <c r="Q67" s="2024"/>
      <c r="R67" s="2024"/>
      <c r="S67" s="2024"/>
      <c r="T67" s="2024"/>
      <c r="U67" s="2024"/>
      <c r="V67" s="2024"/>
    </row>
    <row r="68" spans="1:22" ht="25.5" customHeight="1">
      <c r="A68" s="352"/>
      <c r="B68" s="3638" t="s">
        <v>394</v>
      </c>
      <c r="C68" s="3638"/>
      <c r="D68" s="353"/>
      <c r="E68" s="77"/>
      <c r="F68" s="354"/>
      <c r="G68" s="3623"/>
      <c r="H68" s="309"/>
      <c r="I68" s="1289"/>
      <c r="J68" s="2031"/>
      <c r="K68" s="1972">
        <v>3</v>
      </c>
      <c r="L68" s="3594" t="s">
        <v>393</v>
      </c>
      <c r="M68" s="3594"/>
      <c r="N68" s="1290">
        <f ca="1">C42</f>
        <v>80044</v>
      </c>
      <c r="O68" s="1290"/>
      <c r="P68" s="1290"/>
      <c r="Q68" s="2024"/>
      <c r="R68" s="2024"/>
      <c r="S68" s="2024"/>
      <c r="T68" s="2024"/>
      <c r="U68" s="2024"/>
      <c r="V68" s="2024"/>
    </row>
    <row r="69" spans="1:22" ht="12" customHeight="1">
      <c r="A69" s="355"/>
      <c r="B69" s="3638" t="s">
        <v>395</v>
      </c>
      <c r="C69" s="3638"/>
      <c r="D69" s="356"/>
      <c r="E69" s="73"/>
      <c r="F69" s="354"/>
      <c r="G69" s="3624"/>
      <c r="H69" s="309"/>
      <c r="I69" s="1289"/>
      <c r="J69" s="2031"/>
      <c r="K69" s="1291">
        <v>4</v>
      </c>
      <c r="L69" s="3600" t="s">
        <v>2882</v>
      </c>
      <c r="M69" s="3601"/>
      <c r="N69" s="1292">
        <f ca="1">C44</f>
        <v>80044</v>
      </c>
      <c r="O69" s="1292"/>
      <c r="P69" s="1292"/>
      <c r="Q69" s="2024"/>
      <c r="R69" s="2024"/>
      <c r="S69" s="2024"/>
      <c r="T69" s="2024"/>
      <c r="U69" s="2024"/>
      <c r="V69" s="2024"/>
    </row>
    <row r="70" spans="1:22" ht="24" customHeight="1">
      <c r="A70" s="357" t="s">
        <v>396</v>
      </c>
      <c r="B70" s="3638" t="s">
        <v>397</v>
      </c>
      <c r="C70" s="3638"/>
      <c r="D70" s="356">
        <f ca="1">ROUND(D63*'数据-取费表'!B41/(1+'数据-取费表'!C42),0)</f>
        <v>4269</v>
      </c>
      <c r="E70" s="17" t="s">
        <v>398</v>
      </c>
      <c r="F70" s="358">
        <f>'数据-取费表'!B41</f>
        <v>5.6000000000000001E-2</v>
      </c>
      <c r="G70" s="359"/>
      <c r="H70" s="309"/>
      <c r="I70" s="1289"/>
      <c r="J70" s="2031"/>
      <c r="K70" s="3057"/>
      <c r="L70" s="3058"/>
      <c r="M70" s="3058"/>
      <c r="N70" s="3059" t="s">
        <v>2887</v>
      </c>
      <c r="O70" s="3058"/>
      <c r="P70" s="3060"/>
      <c r="Q70" s="2024"/>
      <c r="R70" s="2024"/>
      <c r="S70" s="2024"/>
      <c r="T70" s="2024"/>
      <c r="U70" s="2024"/>
      <c r="V70" s="2024"/>
    </row>
    <row r="71" spans="1:22" ht="12" customHeight="1">
      <c r="A71" s="357" t="s">
        <v>404</v>
      </c>
      <c r="B71" s="3637" t="s">
        <v>405</v>
      </c>
      <c r="C71" s="3649"/>
      <c r="D71" s="356">
        <f ca="1">ROUND(D63*'数据-取费表'!B41/(1+'数据-取费表'!C42),0)</f>
        <v>4269</v>
      </c>
      <c r="E71" s="17" t="s">
        <v>398</v>
      </c>
      <c r="F71" s="358">
        <f>'数据-取费表'!B41</f>
        <v>5.6000000000000001E-2</v>
      </c>
      <c r="G71" s="359"/>
      <c r="H71" s="309"/>
      <c r="I71" s="1289"/>
      <c r="J71" s="2031"/>
      <c r="K71" s="3056" t="s">
        <v>399</v>
      </c>
      <c r="L71" s="3602" t="s">
        <v>400</v>
      </c>
      <c r="M71" s="3602"/>
      <c r="N71" s="3056" t="s">
        <v>401</v>
      </c>
      <c r="O71" s="3056" t="s">
        <v>402</v>
      </c>
      <c r="P71" s="3056" t="s">
        <v>403</v>
      </c>
      <c r="Q71" s="2024"/>
      <c r="R71" s="2024"/>
      <c r="S71" s="2024"/>
      <c r="T71" s="2024"/>
      <c r="U71" s="2024"/>
      <c r="V71" s="2024"/>
    </row>
    <row r="72" spans="1:22" ht="12" customHeight="1">
      <c r="A72" s="357" t="s">
        <v>407</v>
      </c>
      <c r="B72" s="3637" t="s">
        <v>408</v>
      </c>
      <c r="C72" s="3649"/>
      <c r="D72" s="356">
        <f ca="1">C86</f>
        <v>4157</v>
      </c>
      <c r="E72" s="73" t="s">
        <v>409</v>
      </c>
      <c r="F72" s="358">
        <f>'数据-取费表'!B41</f>
        <v>5.6000000000000001E-2</v>
      </c>
      <c r="G72" s="359"/>
      <c r="H72" s="1295"/>
      <c r="I72" s="1289"/>
      <c r="J72" s="2031"/>
      <c r="K72" s="1972">
        <v>1</v>
      </c>
      <c r="L72" s="3599" t="s">
        <v>406</v>
      </c>
      <c r="M72" s="3599"/>
      <c r="N72" s="1293">
        <f ca="1">D66</f>
        <v>4269</v>
      </c>
      <c r="O72" s="1855" t="str">
        <f>E66</f>
        <v>销售额×税（费）率</v>
      </c>
      <c r="P72" s="1294">
        <f>F66</f>
        <v>5.6000000000000001E-2</v>
      </c>
      <c r="Q72" s="2024"/>
      <c r="R72" s="2024"/>
      <c r="S72" s="2024"/>
      <c r="T72" s="2024"/>
      <c r="U72" s="2024"/>
      <c r="V72" s="2024"/>
    </row>
    <row r="73" spans="1:22" ht="24" customHeight="1">
      <c r="A73" s="3625" t="s">
        <v>411</v>
      </c>
      <c r="B73" s="3626"/>
      <c r="C73" s="3626"/>
      <c r="D73" s="360">
        <f>IF(H73="个人住宅",0,ROUND(D63*I73,0))</f>
        <v>0</v>
      </c>
      <c r="E73" s="17" t="s">
        <v>412</v>
      </c>
      <c r="F73" s="358" t="str">
        <f>IF(H73="正常",I73,"免征")</f>
        <v>免征</v>
      </c>
      <c r="G73" s="359"/>
      <c r="H73" s="191" t="s">
        <v>2455</v>
      </c>
      <c r="I73" s="358">
        <f>'数据-取费表'!B49</f>
        <v>5.0000000000000001E-4</v>
      </c>
      <c r="J73" s="2031"/>
      <c r="K73" s="1972">
        <v>2</v>
      </c>
      <c r="L73" s="3599" t="s">
        <v>410</v>
      </c>
      <c r="M73" s="3599"/>
      <c r="N73" s="1293">
        <f t="shared" ref="N73:P74" si="1">D73</f>
        <v>0</v>
      </c>
      <c r="O73" s="1855" t="str">
        <f t="shared" si="1"/>
        <v>销售额×税（费）率</v>
      </c>
      <c r="P73" s="1294" t="str">
        <f t="shared" si="1"/>
        <v>免征</v>
      </c>
      <c r="Q73" s="2024"/>
      <c r="R73" s="2024"/>
      <c r="S73" s="2024"/>
      <c r="T73" s="2024"/>
      <c r="U73" s="2024"/>
      <c r="V73" s="2024"/>
    </row>
    <row r="74" spans="1:22" ht="24.75">
      <c r="A74" s="3625" t="s">
        <v>415</v>
      </c>
      <c r="B74" s="3626"/>
      <c r="C74" s="3626"/>
      <c r="D74" s="360">
        <f ca="1">IF(H74="个人住宅",D75,D76)</f>
        <v>44645</v>
      </c>
      <c r="E74" s="17" t="s">
        <v>416</v>
      </c>
      <c r="F74" s="358" t="str">
        <f>IF(H74="正常",F76,"免征")</f>
        <v>——</v>
      </c>
      <c r="G74" s="980" t="s">
        <v>417</v>
      </c>
      <c r="H74" s="361" t="s">
        <v>413</v>
      </c>
      <c r="I74" s="42"/>
      <c r="J74" s="2031"/>
      <c r="K74" s="1972">
        <v>3</v>
      </c>
      <c r="L74" s="3599" t="s">
        <v>414</v>
      </c>
      <c r="M74" s="3599"/>
      <c r="N74" s="1293">
        <f t="shared" ca="1" si="1"/>
        <v>44645</v>
      </c>
      <c r="O74" s="1855" t="str">
        <f t="shared" si="1"/>
        <v>增值额×税（费）率</v>
      </c>
      <c r="P74" s="1296" t="str">
        <f t="shared" si="1"/>
        <v>——</v>
      </c>
      <c r="Q74" s="2024"/>
      <c r="R74" s="2024"/>
      <c r="S74" s="2024"/>
      <c r="T74" s="2024"/>
      <c r="U74" s="2024"/>
      <c r="V74" s="2024"/>
    </row>
    <row r="75" spans="1:22" ht="24">
      <c r="A75" s="357" t="s">
        <v>418</v>
      </c>
      <c r="B75" s="3606" t="s">
        <v>419</v>
      </c>
      <c r="C75" s="3607"/>
      <c r="D75" s="362">
        <v>0</v>
      </c>
      <c r="E75" s="41" t="s">
        <v>420</v>
      </c>
      <c r="F75" s="363"/>
      <c r="G75" s="359"/>
      <c r="H75" s="42"/>
      <c r="I75" s="42"/>
      <c r="J75" s="2031"/>
      <c r="K75" s="3049">
        <f>IF(H77="非个人房产","",4)</f>
        <v>4</v>
      </c>
      <c r="L75" s="3599" t="str">
        <f>IF(H77="非个人房产","——","个人所得税")</f>
        <v>个人所得税</v>
      </c>
      <c r="M75" s="3599"/>
      <c r="N75" s="1297">
        <f ca="1">D77</f>
        <v>800</v>
      </c>
      <c r="O75" s="1868" t="str">
        <f>E77</f>
        <v>销售额×税（费）率</v>
      </c>
      <c r="P75" s="1298">
        <f>F77</f>
        <v>0.01</v>
      </c>
      <c r="Q75" s="2024"/>
      <c r="R75" s="2024"/>
      <c r="S75" s="2024"/>
      <c r="T75" s="2024"/>
      <c r="U75" s="2024"/>
      <c r="V75" s="2024"/>
    </row>
    <row r="76" spans="1:22" ht="24.75">
      <c r="A76" s="357" t="s">
        <v>396</v>
      </c>
      <c r="B76" s="3606" t="s">
        <v>422</v>
      </c>
      <c r="C76" s="3648"/>
      <c r="D76" s="360">
        <f ca="1">IF(H76="转让取得",C99,C115)</f>
        <v>44645</v>
      </c>
      <c r="E76" s="17" t="s">
        <v>423</v>
      </c>
      <c r="F76" s="53" t="s">
        <v>21</v>
      </c>
      <c r="G76" s="359"/>
      <c r="H76" s="361" t="s">
        <v>424</v>
      </c>
      <c r="I76" s="42"/>
      <c r="J76" s="2031"/>
      <c r="K76" s="3049" t="str">
        <f>IF(项目基本情况!K6="上海银行",IF(K75="",4,K75+1),"")</f>
        <v/>
      </c>
      <c r="L76" s="3587" t="str">
        <f>IF(项目基本情况!K6="上海银行","其他处置费用","")</f>
        <v/>
      </c>
      <c r="M76" s="3588"/>
      <c r="N76" s="1293" t="str">
        <f>IF(项目基本情况!K6="上海银行",N89,"")</f>
        <v/>
      </c>
      <c r="O76" s="3589" t="str">
        <f>IF(项目基本情况!K6="上海银行","包含处置中涉及的律师、诉讼、拍卖、评估等费用","")</f>
        <v/>
      </c>
      <c r="P76" s="3590"/>
      <c r="Q76" s="2024"/>
      <c r="R76" s="2024"/>
      <c r="S76" s="2024"/>
      <c r="T76" s="2024"/>
      <c r="U76" s="2024"/>
      <c r="V76" s="2024"/>
    </row>
    <row r="77" spans="1:22" ht="26.25" thickBot="1">
      <c r="A77" s="3617" t="s">
        <v>426</v>
      </c>
      <c r="B77" s="3618"/>
      <c r="C77" s="3618"/>
      <c r="D77" s="364">
        <f ca="1">IF(H77="非个人房产","——",IF(H77="个人住宅",0,ROUND(D63*I77,0)))</f>
        <v>800</v>
      </c>
      <c r="E77" s="365" t="str">
        <f>IF(H77="非个人房产","——","销售额×税（费）率")</f>
        <v>销售额×税（费）率</v>
      </c>
      <c r="F77" s="366">
        <f>IF(H77="非个人房产","——",IF(H77="个人住宅","免征",I77))</f>
        <v>0.01</v>
      </c>
      <c r="G77" s="981" t="s">
        <v>417</v>
      </c>
      <c r="H77" s="361" t="s">
        <v>2883</v>
      </c>
      <c r="I77" s="367">
        <v>0.01</v>
      </c>
      <c r="J77" s="2031"/>
      <c r="K77" s="3613">
        <f>IF(AND(K75="",K76=""),4,IF(项目基本情况!K6="上海银行",K76+1,K75+1))</f>
        <v>5</v>
      </c>
      <c r="L77" s="3599" t="s">
        <v>2884</v>
      </c>
      <c r="M77" s="3055" t="s">
        <v>421</v>
      </c>
      <c r="N77" s="1299"/>
      <c r="O77" s="1300">
        <f ca="1">SUMIF(N72:N76,"&lt;9e307")</f>
        <v>49714</v>
      </c>
      <c r="P77" s="1301"/>
      <c r="Q77" s="3053">
        <f ca="1">O77/N69</f>
        <v>0.62108340412772978</v>
      </c>
      <c r="R77" s="2024"/>
      <c r="S77" s="2024"/>
      <c r="T77" s="2024"/>
      <c r="U77" s="2024"/>
      <c r="V77" s="2024"/>
    </row>
    <row r="78" spans="1:22" ht="12" customHeight="1">
      <c r="A78" s="1302"/>
      <c r="B78" s="309"/>
      <c r="C78" s="309"/>
      <c r="D78" s="309"/>
      <c r="E78" s="42"/>
      <c r="F78" s="42"/>
      <c r="G78" s="42"/>
      <c r="H78" s="1000"/>
      <c r="I78" s="309"/>
      <c r="J78" s="2031"/>
      <c r="K78" s="3613"/>
      <c r="L78" s="3599"/>
      <c r="M78" s="3055" t="s">
        <v>425</v>
      </c>
      <c r="N78" s="1299"/>
      <c r="O78" s="1300" t="str">
        <f ca="1">NUMBERSTRING(INT(O77*10000),2)&amp;"元整"</f>
        <v>肆亿玖仟柒佰壹拾肆万元整</v>
      </c>
      <c r="P78" s="1301"/>
      <c r="Q78" s="2024"/>
      <c r="R78" s="2024"/>
      <c r="S78" s="2024"/>
      <c r="T78" s="2024"/>
      <c r="U78" s="2024"/>
      <c r="V78" s="2024"/>
    </row>
    <row r="79" spans="1:22" ht="13.5" thickBot="1">
      <c r="A79" s="3603" t="s">
        <v>427</v>
      </c>
      <c r="B79" s="3603"/>
      <c r="C79" s="3603"/>
      <c r="D79" s="3603"/>
      <c r="E79" s="3603"/>
      <c r="F79" s="42"/>
      <c r="G79" s="42"/>
      <c r="H79" s="1000"/>
      <c r="I79" s="309"/>
      <c r="J79" s="2031"/>
      <c r="K79" s="3597">
        <f>K77+1</f>
        <v>6</v>
      </c>
      <c r="L79" s="3599" t="s">
        <v>2885</v>
      </c>
      <c r="M79" s="3055" t="s">
        <v>421</v>
      </c>
      <c r="N79" s="1299"/>
      <c r="O79" s="1300">
        <f ca="1">N69-O77</f>
        <v>30330</v>
      </c>
      <c r="P79" s="1301"/>
      <c r="Q79" s="2024"/>
      <c r="R79" s="2024"/>
      <c r="S79" s="2024"/>
      <c r="T79" s="2024"/>
      <c r="U79" s="2024"/>
      <c r="V79" s="2024"/>
    </row>
    <row r="80" spans="1:22" ht="25.5">
      <c r="A80" s="3604" t="s">
        <v>428</v>
      </c>
      <c r="B80" s="3605"/>
      <c r="C80" s="991"/>
      <c r="D80" s="991" t="s">
        <v>429</v>
      </c>
      <c r="E80" s="368" t="s">
        <v>430</v>
      </c>
      <c r="F80" s="42"/>
      <c r="G80" s="42"/>
      <c r="H80" s="1000"/>
      <c r="I80" s="309"/>
      <c r="J80" s="2024"/>
      <c r="K80" s="3598"/>
      <c r="L80" s="3599"/>
      <c r="M80" s="3055" t="s">
        <v>425</v>
      </c>
      <c r="N80" s="1299"/>
      <c r="O80" s="1300" t="str">
        <f ca="1">NUMBERSTRING(INT(O79*10000),2)&amp;"元整"</f>
        <v>叁亿零叁佰叁拾万元整</v>
      </c>
      <c r="P80" s="1301"/>
      <c r="Q80" s="2024"/>
      <c r="R80" s="2024"/>
      <c r="S80" s="2024"/>
      <c r="T80" s="2024"/>
      <c r="U80" s="2024"/>
      <c r="V80" s="2024"/>
    </row>
    <row r="81" spans="1:26" ht="13.5" thickBot="1">
      <c r="A81" s="379" t="s">
        <v>1824</v>
      </c>
      <c r="B81" s="369" t="s">
        <v>431</v>
      </c>
      <c r="C81" s="370">
        <f ca="1">ROUND((C82+C83)/(1+'数据-取费表'!C42),0)</f>
        <v>76232</v>
      </c>
      <c r="D81" s="371"/>
      <c r="E81" s="372"/>
      <c r="F81" s="42"/>
      <c r="G81" s="42"/>
      <c r="H81" s="1000"/>
      <c r="I81" s="309"/>
      <c r="J81" s="2024"/>
      <c r="K81" s="3049">
        <f>K79+1</f>
        <v>7</v>
      </c>
      <c r="L81" s="3611" t="s">
        <v>2886</v>
      </c>
      <c r="M81" s="3612"/>
      <c r="N81" s="1303"/>
      <c r="O81" s="1304">
        <f ca="1">ROUND(O79*10000/'数据-汇总表'!E3,0)</f>
        <v>1678</v>
      </c>
      <c r="P81" s="1305"/>
      <c r="Q81" s="2024"/>
      <c r="R81" s="2024"/>
      <c r="S81" s="2024"/>
      <c r="T81" s="2024"/>
      <c r="U81" s="2024"/>
      <c r="V81" s="2024"/>
    </row>
    <row r="82" spans="1:26" ht="13.5" thickTop="1">
      <c r="A82" s="373" t="s">
        <v>1825</v>
      </c>
      <c r="B82" s="374" t="s">
        <v>432</v>
      </c>
      <c r="C82" s="375">
        <f ca="1">D63</f>
        <v>80044</v>
      </c>
      <c r="D82" s="376" t="s">
        <v>19</v>
      </c>
      <c r="E82" s="377"/>
      <c r="F82" s="42"/>
      <c r="G82" s="42"/>
      <c r="H82" s="1000"/>
      <c r="I82" s="309"/>
      <c r="J82" s="2024"/>
      <c r="K82" s="2024"/>
      <c r="L82" s="2024"/>
      <c r="M82" s="2024"/>
      <c r="N82" s="2024"/>
      <c r="O82" s="2024"/>
      <c r="P82" s="2024"/>
      <c r="Q82" s="2024"/>
      <c r="R82" s="2024"/>
      <c r="S82" s="2024"/>
      <c r="T82" s="2024"/>
      <c r="U82" s="2024"/>
      <c r="V82" s="2024"/>
    </row>
    <row r="83" spans="1:26" ht="12.75">
      <c r="A83" s="373" t="s">
        <v>1826</v>
      </c>
      <c r="B83" s="374" t="s">
        <v>433</v>
      </c>
      <c r="C83" s="378">
        <v>0</v>
      </c>
      <c r="D83" s="376"/>
      <c r="E83" s="377"/>
      <c r="F83" s="42"/>
      <c r="G83" s="42"/>
      <c r="H83" s="1000"/>
      <c r="I83" s="309"/>
      <c r="J83" s="2024"/>
      <c r="K83" s="3586" t="s">
        <v>2873</v>
      </c>
      <c r="L83" s="3061" t="s">
        <v>2874</v>
      </c>
      <c r="M83" s="3051">
        <f ca="1">IF(N69&gt;10000,N69*0.5%,IF(AND(N69&gt;1000,N69&lt;=10000),N69*1%,IF(AND(N69&gt;100,N69&lt;=1000),N69*3%,IF(AND(N69&gt;10,N69&lt;=100),N69*5%,N69*8%))))</f>
        <v>400.22</v>
      </c>
      <c r="N83" s="53">
        <f ca="1">ROUND(M83,1)</f>
        <v>400.2</v>
      </c>
      <c r="O83" s="3054"/>
      <c r="P83" s="2024"/>
      <c r="Q83" s="2024"/>
      <c r="R83" s="2024"/>
      <c r="S83" s="2024"/>
      <c r="T83" s="2024"/>
      <c r="U83" s="2024"/>
      <c r="V83" s="2024"/>
    </row>
    <row r="84" spans="1:26" ht="12.75">
      <c r="A84" s="379" t="s">
        <v>1827</v>
      </c>
      <c r="B84" s="380" t="s">
        <v>434</v>
      </c>
      <c r="C84" s="381">
        <v>2000</v>
      </c>
      <c r="D84" s="382" t="s">
        <v>19</v>
      </c>
      <c r="E84" s="3096" t="s">
        <v>2941</v>
      </c>
      <c r="F84" s="42"/>
      <c r="G84" s="42"/>
      <c r="H84" s="1000"/>
      <c r="I84" s="309"/>
      <c r="J84" s="2024"/>
      <c r="K84" s="3586"/>
      <c r="L84" s="3061" t="s">
        <v>2875</v>
      </c>
      <c r="M84" s="3051">
        <f ca="1">IF(N69&gt;2000,N69*0.5%,IF(AND(N69&gt;1000,N69&lt;=2000),N69*0.6%,IF(AND(N69&gt;500,N69&lt;=1000),N69*0.7%,IF(AND(N69&gt;200,N69&lt;=500),N69*0.8%,IF(AND(N69&gt;100,N69&lt;=200),N69*0.9%,IF(AND(N69&gt;50,N69&lt;=100),N69*1%,IF(AND(N69&gt;20,N69&lt;=50),N69*1.5%,IF(AND(N69&gt;10,N69&lt;=20),N69*2%,IF(AND(N69&gt;1,N69&lt;=10),N69*2.5%)))))))))</f>
        <v>400.22</v>
      </c>
      <c r="N84" s="53">
        <f t="shared" ref="N84:N85" ca="1" si="2">ROUND(M84,1)</f>
        <v>400.2</v>
      </c>
      <c r="O84" s="2024" t="s">
        <v>2876</v>
      </c>
      <c r="P84" s="2024"/>
      <c r="Q84" s="2024"/>
      <c r="R84" s="2024"/>
      <c r="S84" s="2024"/>
      <c r="T84" s="2024"/>
      <c r="U84" s="2024"/>
      <c r="V84" s="2024"/>
    </row>
    <row r="85" spans="1:26" ht="12.75">
      <c r="A85" s="379" t="s">
        <v>1828</v>
      </c>
      <c r="B85" s="380" t="s">
        <v>435</v>
      </c>
      <c r="C85" s="383">
        <f ca="1">C81-C84</f>
        <v>74232</v>
      </c>
      <c r="D85" s="376" t="s">
        <v>19</v>
      </c>
      <c r="E85" s="377"/>
      <c r="F85" s="42"/>
      <c r="G85" s="42"/>
      <c r="H85" s="1000"/>
      <c r="I85" s="309"/>
      <c r="J85" s="2024"/>
      <c r="K85" s="3586"/>
      <c r="L85" s="3061" t="s">
        <v>2877</v>
      </c>
      <c r="M85" s="3051">
        <f ca="1">IF(N69&gt;1000,N69*0.1%,IF(AND(N69&gt;500,N69&lt;=1000),N69*0.5%,IF(AND(N69&gt;50,N69&lt;=500),N69*1%,IF(AND(N69&gt;1,N69&lt;=50),N69*1.5%))))</f>
        <v>80.043999999999997</v>
      </c>
      <c r="N85" s="53">
        <f t="shared" ca="1" si="2"/>
        <v>80</v>
      </c>
      <c r="O85" s="2024" t="s">
        <v>2876</v>
      </c>
      <c r="P85" s="2024"/>
      <c r="Q85" s="2024"/>
      <c r="R85" s="2024"/>
      <c r="S85" s="2024"/>
      <c r="T85" s="2024"/>
      <c r="U85" s="2024"/>
      <c r="V85" s="2024"/>
    </row>
    <row r="86" spans="1:26" ht="13.5" thickBot="1">
      <c r="A86" s="384" t="s">
        <v>1829</v>
      </c>
      <c r="B86" s="385" t="s">
        <v>436</v>
      </c>
      <c r="C86" s="386">
        <f ca="1">IF(C85&lt;=0,0,ROUND(C85*D86,0))</f>
        <v>4157</v>
      </c>
      <c r="D86" s="387">
        <f>'数据-取费表'!B41</f>
        <v>5.6000000000000001E-2</v>
      </c>
      <c r="E86" s="388"/>
      <c r="F86" s="42"/>
      <c r="G86" s="42"/>
      <c r="H86" s="1000"/>
      <c r="I86" s="309"/>
      <c r="J86" s="2024"/>
      <c r="K86" s="3586"/>
      <c r="L86" s="3061" t="s">
        <v>2878</v>
      </c>
      <c r="M86" s="3051">
        <f ca="1">N69*0.5%</f>
        <v>400.22</v>
      </c>
      <c r="N86" s="53">
        <f ca="1">IF(M86&gt;0.5,0.5,ROUND(M86,0))</f>
        <v>0.5</v>
      </c>
      <c r="O86" s="2024" t="s">
        <v>2879</v>
      </c>
      <c r="P86" s="2024"/>
      <c r="Q86" s="2024"/>
      <c r="R86" s="2024"/>
      <c r="S86" s="2024"/>
      <c r="T86" s="2024"/>
      <c r="U86" s="2024"/>
      <c r="V86" s="2024"/>
    </row>
    <row r="87" spans="1:26" s="1251" customFormat="1" ht="14.25" customHeight="1">
      <c r="A87" s="1306"/>
      <c r="B87" s="1307"/>
      <c r="C87" s="1308"/>
      <c r="D87" s="1309"/>
      <c r="E87" s="1310"/>
      <c r="F87" s="42"/>
      <c r="G87" s="42"/>
      <c r="H87" s="1000"/>
      <c r="I87" s="309"/>
      <c r="J87" s="2024"/>
      <c r="K87" s="3586"/>
      <c r="L87" s="3061" t="s">
        <v>2880</v>
      </c>
      <c r="M87" s="3051">
        <f ca="1">IF(N69&gt;=10000,(8.25+(N69-10000)*0.01%),IF(AND(N69&gt;=8000,N69&lt;10000),(7.85+(N69-8000)*0.02%),IF(AND(N69&gt;=5000,N69&lt;8000),(6.65+(N69-5000)*0.04%),IF(AND(N69&gt;=2000,N69&lt;5000),(4.25+(PN69-2000)*0.08%),IF(AND(N69&gt;=1000,N69&lt;2000),(2.75+(N69-1000)*0.15%),IF(AND(N69&gt;=100,N69&lt;1000),(0.5+(N69-100)*0.25%),IF(AND(N69&gt;0,N69&lt;100),N69*0.5%)))))))</f>
        <v>15.2544</v>
      </c>
      <c r="N87" s="53">
        <f ca="1">ROUND(M87*0.9,1)</f>
        <v>13.7</v>
      </c>
      <c r="O87" s="3054"/>
      <c r="P87" s="309"/>
      <c r="Q87" s="2024"/>
      <c r="R87" s="2024"/>
      <c r="S87" s="2024"/>
      <c r="T87" s="2024"/>
      <c r="U87" s="2024"/>
      <c r="V87" s="2024"/>
      <c r="W87" s="290"/>
      <c r="X87" s="290"/>
      <c r="Y87" s="290"/>
      <c r="Z87" s="290"/>
    </row>
    <row r="88" spans="1:26" s="1311" customFormat="1" ht="15" thickBot="1">
      <c r="A88" s="3640" t="s">
        <v>437</v>
      </c>
      <c r="B88" s="3641"/>
      <c r="C88" s="3641"/>
      <c r="D88" s="3641"/>
      <c r="E88" s="3641"/>
      <c r="F88" s="3641"/>
      <c r="G88" s="3641"/>
      <c r="H88" s="3641"/>
      <c r="I88" s="1312"/>
      <c r="J88" s="2032"/>
      <c r="K88" s="3586"/>
      <c r="L88" s="3061" t="s">
        <v>2881</v>
      </c>
      <c r="M88" s="3051">
        <f ca="1">IF(N69&gt;10000,N69*0.5%,IF(AND(N69&gt;5000,N69&lt;=10000),N69*1%,IF(AND(N69&gt;1000,N69&lt;=5000),N69*2%,IF(AND(N69&gt;200,N69&lt;=1000),N69*3%,N69*5%))))</f>
        <v>400.22</v>
      </c>
      <c r="N88" s="53">
        <f ca="1">ROUND(M88,1)</f>
        <v>400.2</v>
      </c>
      <c r="O88" s="3054"/>
      <c r="P88" s="11"/>
      <c r="Q88" s="2029"/>
      <c r="R88" s="2029"/>
      <c r="S88" s="2029"/>
      <c r="T88" s="2029"/>
      <c r="U88" s="2029"/>
      <c r="V88" s="2029"/>
      <c r="W88" s="2033"/>
      <c r="X88" s="2033"/>
      <c r="Y88" s="2033"/>
      <c r="Z88" s="2033"/>
    </row>
    <row r="89" spans="1:26" s="1311" customFormat="1" ht="14.25">
      <c r="A89" s="3604" t="s">
        <v>428</v>
      </c>
      <c r="B89" s="3605"/>
      <c r="C89" s="991"/>
      <c r="D89" s="991" t="s">
        <v>429</v>
      </c>
      <c r="E89" s="389" t="s">
        <v>438</v>
      </c>
      <c r="F89" s="390"/>
      <c r="G89" s="390"/>
      <c r="H89" s="391"/>
      <c r="I89" s="1313"/>
      <c r="J89" s="2034"/>
      <c r="K89" s="3586"/>
      <c r="L89" s="3061" t="s">
        <v>27</v>
      </c>
      <c r="M89" s="3052"/>
      <c r="N89" s="53">
        <f ca="1">ROUND(SUM(N83:N88),0)</f>
        <v>1295</v>
      </c>
      <c r="O89" s="3062">
        <f ca="1">N89/N69</f>
        <v>1.6178601769027034E-2</v>
      </c>
      <c r="P89" s="2029"/>
      <c r="Q89" s="2029"/>
      <c r="R89" s="2029"/>
      <c r="S89" s="2029"/>
      <c r="T89" s="2029"/>
      <c r="U89" s="2029"/>
      <c r="V89" s="2029"/>
      <c r="W89" s="2033"/>
      <c r="X89" s="2033"/>
      <c r="Y89" s="2033"/>
      <c r="Z89" s="2033"/>
    </row>
    <row r="90" spans="1:26" s="1311" customFormat="1" ht="14.25">
      <c r="A90" s="379" t="s">
        <v>1824</v>
      </c>
      <c r="B90" s="380" t="s">
        <v>439</v>
      </c>
      <c r="C90" s="383">
        <f ca="1">ROUND(D63/(1+'数据-取费表'!C42),0)</f>
        <v>76232</v>
      </c>
      <c r="D90" s="376" t="s">
        <v>19</v>
      </c>
      <c r="E90" s="988"/>
      <c r="F90" s="987"/>
      <c r="G90" s="987"/>
      <c r="H90" s="392"/>
      <c r="I90" s="1313"/>
      <c r="J90" s="2034"/>
      <c r="K90" s="2029"/>
      <c r="L90" s="2029"/>
      <c r="M90" s="2029"/>
      <c r="N90" s="2029"/>
      <c r="O90" s="2029"/>
      <c r="P90" s="2029"/>
      <c r="Q90" s="2029"/>
      <c r="R90" s="2029"/>
      <c r="S90" s="2029"/>
      <c r="T90" s="2029"/>
      <c r="U90" s="2029"/>
      <c r="V90" s="2029"/>
      <c r="W90" s="2033"/>
      <c r="X90" s="2033"/>
      <c r="Y90" s="2033"/>
      <c r="Z90" s="2033"/>
    </row>
    <row r="91" spans="1:26" s="1311" customFormat="1" ht="14.25">
      <c r="A91" s="379" t="s">
        <v>1830</v>
      </c>
      <c r="B91" s="346" t="s">
        <v>440</v>
      </c>
      <c r="C91" s="383">
        <f ca="1">C92+C96</f>
        <v>3038</v>
      </c>
      <c r="D91" s="376" t="s">
        <v>19</v>
      </c>
      <c r="E91" s="988"/>
      <c r="F91" s="987"/>
      <c r="G91" s="987"/>
      <c r="H91" s="392"/>
      <c r="I91" s="1313"/>
      <c r="J91" s="2034"/>
      <c r="K91" s="2029"/>
      <c r="L91" s="2029"/>
      <c r="M91" s="2029"/>
      <c r="N91" s="2029"/>
      <c r="O91" s="2029"/>
      <c r="P91" s="2029"/>
      <c r="Q91" s="2029"/>
      <c r="R91" s="2029"/>
      <c r="S91" s="2029"/>
      <c r="T91" s="2029"/>
      <c r="U91" s="2029"/>
      <c r="V91" s="2029"/>
      <c r="W91" s="2033"/>
      <c r="X91" s="2033"/>
      <c r="Y91" s="2033"/>
      <c r="Z91" s="2033"/>
    </row>
    <row r="92" spans="1:26" s="1311" customFormat="1" ht="24">
      <c r="A92" s="393" t="s">
        <v>1831</v>
      </c>
      <c r="B92" s="374" t="s">
        <v>441</v>
      </c>
      <c r="C92" s="376">
        <f>ROUND(IF(G95="2016年5月1日后购买",C93/(1+'数据-取费表'!C30)+C94+C95,C93+C94+C95),0)</f>
        <v>2581</v>
      </c>
      <c r="D92" s="376" t="s">
        <v>19</v>
      </c>
      <c r="E92" s="988"/>
      <c r="F92" s="987"/>
      <c r="G92" s="987"/>
      <c r="H92" s="392"/>
      <c r="I92" s="1313"/>
      <c r="J92" s="2034"/>
      <c r="K92" s="2029"/>
      <c r="L92" s="2029"/>
      <c r="M92" s="2029"/>
      <c r="N92" s="2029"/>
      <c r="O92" s="2029"/>
      <c r="P92" s="2029"/>
      <c r="Q92" s="2029"/>
      <c r="R92" s="2029"/>
      <c r="S92" s="2029"/>
      <c r="T92" s="2029"/>
      <c r="U92" s="2029"/>
      <c r="V92" s="2029"/>
      <c r="W92" s="2033"/>
      <c r="X92" s="2033"/>
      <c r="Y92" s="2033"/>
      <c r="Z92" s="2033"/>
    </row>
    <row r="93" spans="1:26" s="1311" customFormat="1" ht="14.25">
      <c r="A93" s="393" t="s">
        <v>1832</v>
      </c>
      <c r="B93" s="374" t="s">
        <v>442</v>
      </c>
      <c r="C93" s="394">
        <v>2000</v>
      </c>
      <c r="D93" s="376" t="s">
        <v>19</v>
      </c>
      <c r="E93" s="395" t="s">
        <v>443</v>
      </c>
      <c r="F93" s="396" t="s">
        <v>444</v>
      </c>
      <c r="G93" s="395" t="s">
        <v>445</v>
      </c>
      <c r="H93" s="397">
        <v>5</v>
      </c>
      <c r="I93" s="11"/>
      <c r="J93" s="2029"/>
      <c r="K93" s="2029"/>
      <c r="L93" s="2029"/>
      <c r="M93" s="2029"/>
      <c r="N93" s="2029"/>
      <c r="O93" s="2029"/>
      <c r="P93" s="2029"/>
      <c r="Q93" s="2029"/>
      <c r="R93" s="2029"/>
      <c r="S93" s="2029"/>
      <c r="T93" s="2029"/>
      <c r="U93" s="2029"/>
      <c r="V93" s="2029"/>
      <c r="W93" s="2033"/>
      <c r="X93" s="2033"/>
      <c r="Y93" s="2033"/>
      <c r="Z93" s="2033"/>
    </row>
    <row r="94" spans="1:26" s="1311" customFormat="1" ht="24.75" customHeight="1">
      <c r="A94" s="393" t="s">
        <v>1833</v>
      </c>
      <c r="B94" s="398" t="s">
        <v>446</v>
      </c>
      <c r="C94" s="376">
        <f>IF(F93="购房发票",ROUND(C93*H93*5%,0),0)</f>
        <v>500</v>
      </c>
      <c r="D94" s="399">
        <v>0.05</v>
      </c>
      <c r="E94" s="3637" t="s">
        <v>447</v>
      </c>
      <c r="F94" s="3638"/>
      <c r="G94" s="3638"/>
      <c r="H94" s="3639"/>
      <c r="I94" s="1313"/>
      <c r="J94" s="2034"/>
      <c r="K94" s="2029"/>
      <c r="L94" s="2029"/>
      <c r="M94" s="2029"/>
      <c r="N94" s="2029"/>
      <c r="O94" s="2029"/>
      <c r="P94" s="2029"/>
      <c r="Q94" s="2029"/>
      <c r="R94" s="2029"/>
      <c r="S94" s="2029"/>
      <c r="T94" s="2029"/>
      <c r="U94" s="2029"/>
      <c r="V94" s="2029"/>
      <c r="W94" s="2033"/>
      <c r="X94" s="2033"/>
      <c r="Y94" s="2033"/>
      <c r="Z94" s="2033"/>
    </row>
    <row r="95" spans="1:26" s="1311" customFormat="1" ht="24.75" customHeight="1">
      <c r="A95" s="393" t="s">
        <v>1834</v>
      </c>
      <c r="B95" s="374" t="s">
        <v>448</v>
      </c>
      <c r="C95" s="376">
        <f>ROUND(IF(G95="个人买卖住房",0,IF(G95="2016年5月1日前购买",C93*D95,C93*D95/(1+'数据-取费表'!C42))),0)</f>
        <v>81</v>
      </c>
      <c r="D95" s="400">
        <f>'数据-取费表'!B48+'数据-取费表'!B49</f>
        <v>4.0500000000000001E-2</v>
      </c>
      <c r="E95" s="26" t="s">
        <v>449</v>
      </c>
      <c r="F95" s="401"/>
      <c r="G95" s="402" t="s">
        <v>2429</v>
      </c>
      <c r="H95" s="996" t="str">
        <f>IF(G95="个人买卖住房","免征印花税"," ")</f>
        <v xml:space="preserve"> </v>
      </c>
      <c r="I95" s="1313"/>
      <c r="J95" s="2034"/>
      <c r="K95" s="2029"/>
      <c r="L95" s="2029"/>
      <c r="M95" s="2029"/>
      <c r="N95" s="2029"/>
      <c r="O95" s="2029"/>
      <c r="P95" s="2029"/>
      <c r="Q95" s="2029"/>
      <c r="R95" s="2029"/>
      <c r="S95" s="2029"/>
      <c r="T95" s="2029"/>
      <c r="U95" s="2029"/>
      <c r="V95" s="2029"/>
      <c r="W95" s="2033"/>
      <c r="X95" s="2033"/>
      <c r="Y95" s="2033"/>
      <c r="Z95" s="2033"/>
    </row>
    <row r="96" spans="1:26" s="1311" customFormat="1" ht="24.75" customHeight="1">
      <c r="A96" s="393" t="s">
        <v>1835</v>
      </c>
      <c r="B96" s="374" t="s">
        <v>450</v>
      </c>
      <c r="C96" s="403">
        <f ca="1">ROUND(D63*D96/(1+'数据-取费表'!C42),0)</f>
        <v>457</v>
      </c>
      <c r="D96" s="404">
        <f>'数据-取费表'!B43</f>
        <v>6.000000000000001E-3</v>
      </c>
      <c r="E96" s="3627" t="s">
        <v>2428</v>
      </c>
      <c r="F96" s="3628"/>
      <c r="G96" s="3628"/>
      <c r="H96" s="3629"/>
      <c r="I96" s="1314"/>
      <c r="J96" s="2035"/>
      <c r="K96" s="2029"/>
      <c r="L96" s="2029"/>
      <c r="M96" s="2029"/>
      <c r="N96" s="2029"/>
      <c r="O96" s="2029"/>
      <c r="P96" s="2029"/>
      <c r="Q96" s="2029"/>
      <c r="R96" s="2029"/>
      <c r="S96" s="2029"/>
      <c r="T96" s="2029"/>
      <c r="U96" s="2029"/>
      <c r="V96" s="2029"/>
      <c r="W96" s="2033"/>
      <c r="X96" s="2033"/>
      <c r="Y96" s="2033"/>
      <c r="Z96" s="2033"/>
    </row>
    <row r="97" spans="1:26" s="1311" customFormat="1" ht="14.25">
      <c r="A97" s="1612" t="s">
        <v>1836</v>
      </c>
      <c r="B97" s="380" t="s">
        <v>451</v>
      </c>
      <c r="C97" s="383">
        <f ca="1">C90-C91</f>
        <v>73194</v>
      </c>
      <c r="D97" s="376" t="s">
        <v>19</v>
      </c>
      <c r="E97" s="988"/>
      <c r="F97" s="987"/>
      <c r="G97" s="987"/>
      <c r="H97" s="392"/>
      <c r="I97" s="1313"/>
      <c r="J97" s="2034"/>
      <c r="K97" s="2029"/>
      <c r="L97" s="2029"/>
      <c r="M97" s="2029"/>
      <c r="N97" s="2029"/>
      <c r="O97" s="2029"/>
      <c r="P97" s="2029"/>
      <c r="Q97" s="2029"/>
      <c r="R97" s="2029"/>
      <c r="S97" s="2029"/>
      <c r="T97" s="2029"/>
      <c r="U97" s="2029"/>
      <c r="V97" s="2029"/>
      <c r="W97" s="2033"/>
      <c r="X97" s="2033"/>
      <c r="Y97" s="2033"/>
      <c r="Z97" s="2033"/>
    </row>
    <row r="98" spans="1:26" s="1311" customFormat="1" ht="24">
      <c r="A98" s="1612" t="s">
        <v>1837</v>
      </c>
      <c r="B98" s="380" t="s">
        <v>452</v>
      </c>
      <c r="C98" s="405">
        <f ca="1">IF(C97&lt;=0,0,C97/C91)</f>
        <v>24.092824226464778</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13"/>
      <c r="J98" s="2034"/>
      <c r="K98" s="2029"/>
      <c r="L98" s="2029"/>
      <c r="M98" s="2029"/>
      <c r="N98" s="2029"/>
      <c r="O98" s="2029"/>
      <c r="P98" s="2029"/>
      <c r="Q98" s="2029"/>
      <c r="R98" s="2029"/>
      <c r="S98" s="2029"/>
      <c r="T98" s="2029"/>
      <c r="U98" s="2029"/>
      <c r="V98" s="2029"/>
      <c r="W98" s="2033"/>
      <c r="X98" s="2033"/>
      <c r="Y98" s="2033"/>
      <c r="Z98" s="2033"/>
    </row>
    <row r="99" spans="1:26" s="1311" customFormat="1" ht="24.75" thickBot="1">
      <c r="A99" s="1613" t="s">
        <v>1838</v>
      </c>
      <c r="B99" s="385" t="s">
        <v>453</v>
      </c>
      <c r="C99" s="406">
        <f ca="1">ROUND(IF(C97&lt;=0,0,IF(C98&gt;=200%,C97*60%-C91*35%,IF(C98&gt;=100%,C97*50%-C91*15%,IF(C98&gt;=50%,C97*40%-C91*5%,IF(C98&lt;50%,C97*30%,0))))),0)</f>
        <v>42853</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3"/>
      <c r="J99" s="2034"/>
      <c r="K99" s="2029"/>
      <c r="L99" s="2029"/>
      <c r="M99" s="2029"/>
      <c r="N99" s="2029"/>
      <c r="O99" s="2029"/>
      <c r="P99" s="2029"/>
      <c r="Q99" s="2029"/>
      <c r="R99" s="2029"/>
      <c r="S99" s="2029"/>
      <c r="T99" s="2029"/>
      <c r="U99" s="2029"/>
      <c r="V99" s="2029"/>
      <c r="W99" s="2033"/>
      <c r="X99" s="2033"/>
      <c r="Y99" s="2033"/>
      <c r="Z99" s="2033"/>
    </row>
    <row r="100" spans="1:26" s="1311" customFormat="1" ht="7.5" customHeight="1">
      <c r="A100" s="1315"/>
      <c r="B100" s="1316"/>
      <c r="C100" s="11"/>
      <c r="D100" s="11"/>
      <c r="E100" s="1316"/>
      <c r="F100" s="1316"/>
      <c r="G100" s="1316"/>
      <c r="H100" s="1317"/>
      <c r="I100" s="1314"/>
      <c r="J100" s="2035"/>
      <c r="K100" s="2029"/>
      <c r="L100" s="2029"/>
      <c r="M100" s="2029"/>
      <c r="N100" s="2029"/>
      <c r="O100" s="2029"/>
      <c r="P100" s="2029"/>
      <c r="Q100" s="2029"/>
      <c r="R100" s="2029"/>
      <c r="S100" s="2029"/>
      <c r="T100" s="2029"/>
      <c r="U100" s="2029"/>
      <c r="V100" s="2029"/>
      <c r="W100" s="2033"/>
      <c r="X100" s="2033"/>
      <c r="Y100" s="2033"/>
      <c r="Z100" s="2033"/>
    </row>
    <row r="101" spans="1:26" s="1311" customFormat="1" ht="15" thickBot="1">
      <c r="A101" s="3640" t="s">
        <v>454</v>
      </c>
      <c r="B101" s="3641"/>
      <c r="C101" s="3641"/>
      <c r="D101" s="3641"/>
      <c r="E101" s="3641"/>
      <c r="F101" s="3641"/>
      <c r="G101" s="3641"/>
      <c r="H101" s="3641"/>
      <c r="I101" s="11"/>
      <c r="J101" s="2029"/>
      <c r="K101" s="2029"/>
      <c r="L101" s="2029"/>
      <c r="M101" s="2029"/>
      <c r="N101" s="2029"/>
      <c r="O101" s="2029"/>
      <c r="P101" s="2029"/>
      <c r="Q101" s="2029"/>
      <c r="R101" s="2029"/>
      <c r="S101" s="2029"/>
      <c r="T101" s="2029"/>
      <c r="U101" s="2029"/>
      <c r="V101" s="2029"/>
      <c r="W101" s="2033"/>
      <c r="X101" s="2033"/>
      <c r="Y101" s="2033"/>
      <c r="Z101" s="2033"/>
    </row>
    <row r="102" spans="1:26" s="1311" customFormat="1" ht="14.25">
      <c r="A102" s="3604" t="s">
        <v>428</v>
      </c>
      <c r="B102" s="3605"/>
      <c r="C102" s="991"/>
      <c r="D102" s="991" t="s">
        <v>429</v>
      </c>
      <c r="E102" s="389" t="s">
        <v>438</v>
      </c>
      <c r="F102" s="390"/>
      <c r="G102" s="390"/>
      <c r="H102" s="411"/>
      <c r="I102" s="11"/>
      <c r="J102" s="2029"/>
      <c r="K102" s="2029"/>
      <c r="L102" s="2029"/>
      <c r="M102" s="2029"/>
      <c r="N102" s="2029"/>
      <c r="O102" s="2029"/>
      <c r="P102" s="2029"/>
      <c r="Q102" s="2029"/>
      <c r="R102" s="2029"/>
      <c r="S102" s="2029"/>
      <c r="T102" s="2029"/>
      <c r="U102" s="2029"/>
      <c r="V102" s="2029"/>
      <c r="W102" s="2033"/>
      <c r="X102" s="2033"/>
      <c r="Y102" s="2033"/>
      <c r="Z102" s="2033"/>
    </row>
    <row r="103" spans="1:26" s="1311" customFormat="1" ht="14.25">
      <c r="A103" s="379" t="s">
        <v>1824</v>
      </c>
      <c r="B103" s="380" t="s">
        <v>439</v>
      </c>
      <c r="C103" s="383">
        <f ca="1">ROUND(D63/(1+'数据-取费表'!C42),0)</f>
        <v>76232</v>
      </c>
      <c r="D103" s="376" t="s">
        <v>19</v>
      </c>
      <c r="E103" s="988"/>
      <c r="F103" s="987"/>
      <c r="G103" s="987"/>
      <c r="H103" s="412"/>
      <c r="I103" s="11"/>
      <c r="J103" s="2029"/>
      <c r="K103" s="2029"/>
      <c r="L103" s="2029"/>
      <c r="M103" s="2029"/>
      <c r="N103" s="2029"/>
      <c r="O103" s="2029"/>
      <c r="P103" s="2029"/>
      <c r="Q103" s="2029"/>
      <c r="R103" s="2029"/>
      <c r="S103" s="2029"/>
      <c r="T103" s="2029"/>
      <c r="U103" s="2029"/>
      <c r="V103" s="2029"/>
      <c r="W103" s="2033"/>
      <c r="X103" s="2033"/>
      <c r="Y103" s="2033"/>
      <c r="Z103" s="2033"/>
    </row>
    <row r="104" spans="1:26" s="1311" customFormat="1" ht="14.25">
      <c r="A104" s="379" t="s">
        <v>1830</v>
      </c>
      <c r="B104" s="346" t="s">
        <v>440</v>
      </c>
      <c r="C104" s="383">
        <f ca="1">IF(H106="仅含出让金",C105+C108+C109+C110+C111+C112,C105+C109+C110+C111+C112)</f>
        <v>1152</v>
      </c>
      <c r="D104" s="413"/>
      <c r="E104" s="988"/>
      <c r="F104" s="987"/>
      <c r="G104" s="987"/>
      <c r="H104" s="412"/>
      <c r="I104" s="11"/>
      <c r="J104" s="2029"/>
      <c r="K104" s="2029"/>
      <c r="L104" s="2029"/>
      <c r="M104" s="2029"/>
      <c r="N104" s="2029"/>
      <c r="O104" s="2029"/>
      <c r="P104" s="2029"/>
      <c r="Q104" s="2029"/>
      <c r="R104" s="2029"/>
      <c r="S104" s="2029"/>
      <c r="T104" s="2029"/>
      <c r="U104" s="2029"/>
      <c r="V104" s="2029"/>
      <c r="W104" s="2033"/>
      <c r="X104" s="2033"/>
      <c r="Y104" s="2033"/>
      <c r="Z104" s="2033"/>
    </row>
    <row r="105" spans="1:26" s="1311" customFormat="1" ht="14.25">
      <c r="A105" s="393" t="s">
        <v>1831</v>
      </c>
      <c r="B105" s="374" t="s">
        <v>455</v>
      </c>
      <c r="C105" s="403">
        <f>C106+C107</f>
        <v>577</v>
      </c>
      <c r="D105" s="404"/>
      <c r="E105" s="982"/>
      <c r="F105" s="983"/>
      <c r="G105" s="983"/>
      <c r="H105" s="984"/>
      <c r="I105" s="11"/>
      <c r="J105" s="2029"/>
      <c r="K105" s="2029"/>
      <c r="L105" s="2029"/>
      <c r="M105" s="2029"/>
      <c r="N105" s="2029"/>
      <c r="O105" s="2029"/>
      <c r="P105" s="2029"/>
      <c r="Q105" s="2029"/>
      <c r="R105" s="2029"/>
      <c r="S105" s="2029"/>
      <c r="T105" s="2029"/>
      <c r="U105" s="2029"/>
      <c r="V105" s="2029"/>
      <c r="W105" s="2033"/>
      <c r="X105" s="2033"/>
      <c r="Y105" s="2033"/>
      <c r="Z105" s="2033"/>
    </row>
    <row r="106" spans="1:26" s="1311" customFormat="1" ht="14.25">
      <c r="A106" s="393" t="s">
        <v>1832</v>
      </c>
      <c r="B106" s="374" t="s">
        <v>456</v>
      </c>
      <c r="C106" s="414">
        <v>555</v>
      </c>
      <c r="D106" s="404"/>
      <c r="E106" s="415" t="s">
        <v>457</v>
      </c>
      <c r="F106" s="983"/>
      <c r="G106" s="416" t="s">
        <v>458</v>
      </c>
      <c r="H106" s="417" t="s">
        <v>2439</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1" customFormat="1" ht="14.25">
      <c r="A107" s="393" t="s">
        <v>1833</v>
      </c>
      <c r="B107" s="374" t="s">
        <v>448</v>
      </c>
      <c r="C107" s="403">
        <f>ROUND(C106*D107,0)</f>
        <v>22</v>
      </c>
      <c r="D107" s="404">
        <f>'数据-取费表'!B48+'数据-取费表'!B49</f>
        <v>4.0500000000000001E-2</v>
      </c>
      <c r="E107" s="415" t="s">
        <v>459</v>
      </c>
      <c r="F107" s="983"/>
      <c r="G107" s="983"/>
      <c r="H107" s="984"/>
      <c r="I107" s="11"/>
      <c r="J107" s="2029"/>
      <c r="K107" s="2029"/>
      <c r="L107" s="2029"/>
      <c r="M107" s="2029"/>
      <c r="N107" s="2029"/>
      <c r="O107" s="2029"/>
      <c r="P107" s="2029"/>
      <c r="Q107" s="2029"/>
      <c r="R107" s="2029"/>
      <c r="S107" s="2029"/>
      <c r="T107" s="2029"/>
      <c r="U107" s="2029"/>
      <c r="V107" s="2029"/>
      <c r="W107" s="2033"/>
      <c r="X107" s="2033"/>
      <c r="Y107" s="2033"/>
      <c r="Z107" s="2033"/>
    </row>
    <row r="108" spans="1:26" s="1311" customFormat="1" ht="14.25">
      <c r="A108" s="393" t="s">
        <v>1835</v>
      </c>
      <c r="B108" s="374" t="s">
        <v>460</v>
      </c>
      <c r="C108" s="414"/>
      <c r="D108" s="404"/>
      <c r="E108" s="415" t="str">
        <f>IF(H106="-","土地取得成本中已包含该笔费用"," ")</f>
        <v xml:space="preserve"> </v>
      </c>
      <c r="F108" s="983"/>
      <c r="G108" s="983"/>
      <c r="H108" s="984"/>
      <c r="I108" s="11"/>
      <c r="J108" s="2029"/>
      <c r="K108" s="2029"/>
      <c r="L108" s="2029"/>
      <c r="M108" s="2029"/>
      <c r="N108" s="2029"/>
      <c r="O108" s="2029"/>
      <c r="P108" s="2029"/>
      <c r="Q108" s="2029"/>
      <c r="R108" s="2029"/>
      <c r="S108" s="2029"/>
      <c r="T108" s="2029"/>
      <c r="U108" s="2029"/>
      <c r="V108" s="2029"/>
      <c r="W108" s="2033"/>
      <c r="X108" s="2033"/>
      <c r="Y108" s="2033"/>
      <c r="Z108" s="2033"/>
    </row>
    <row r="109" spans="1:26" s="1311" customFormat="1" ht="24" customHeight="1">
      <c r="A109" s="1614" t="s">
        <v>1839</v>
      </c>
      <c r="B109" s="374" t="s">
        <v>461</v>
      </c>
      <c r="C109" s="403">
        <f>IF(H109="——",IF(F1="现房",'剩余法-现房'!C18,'剩余法-待开发'!C18),I109)</f>
        <v>55</v>
      </c>
      <c r="D109" s="404"/>
      <c r="E109" s="3630" t="s">
        <v>462</v>
      </c>
      <c r="F109" s="3628"/>
      <c r="G109" s="3628"/>
      <c r="H109" s="1937" t="s">
        <v>2279</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1" customFormat="1" ht="25.5" customHeight="1">
      <c r="A110" s="1614" t="s">
        <v>1840</v>
      </c>
      <c r="B110" s="374" t="s">
        <v>463</v>
      </c>
      <c r="C110" s="403">
        <f>ROUND((C105+C108+C109)*D110,0)</f>
        <v>63</v>
      </c>
      <c r="D110" s="404">
        <v>0.1</v>
      </c>
      <c r="E110" s="3630" t="s">
        <v>464</v>
      </c>
      <c r="F110" s="3628"/>
      <c r="G110" s="3628"/>
      <c r="H110" s="3629"/>
      <c r="I110" s="11"/>
      <c r="J110" s="2029"/>
      <c r="K110" s="2029"/>
      <c r="L110" s="2029"/>
      <c r="M110" s="2029"/>
      <c r="N110" s="2029"/>
      <c r="O110" s="2029"/>
      <c r="P110" s="2029"/>
      <c r="Q110" s="2029"/>
      <c r="R110" s="2029"/>
      <c r="S110" s="2029"/>
      <c r="T110" s="2029"/>
      <c r="U110" s="2029"/>
      <c r="V110" s="2029"/>
      <c r="W110" s="2033"/>
      <c r="X110" s="2033"/>
      <c r="Y110" s="2033"/>
      <c r="Z110" s="2033"/>
    </row>
    <row r="111" spans="1:26" s="1311" customFormat="1" ht="25.5" customHeight="1">
      <c r="A111" s="1614" t="s">
        <v>1841</v>
      </c>
      <c r="B111" s="374" t="s">
        <v>450</v>
      </c>
      <c r="C111" s="403">
        <f ca="1">ROUND(D63*D111/(1+'数据-取费表'!C42),0)</f>
        <v>457</v>
      </c>
      <c r="D111" s="404">
        <f>'数据-取费表'!B43</f>
        <v>6.000000000000001E-3</v>
      </c>
      <c r="E111" s="3627" t="s">
        <v>2428</v>
      </c>
      <c r="F111" s="3628"/>
      <c r="G111" s="3628"/>
      <c r="H111" s="3629"/>
      <c r="I111" s="11"/>
      <c r="J111" s="2029"/>
      <c r="K111" s="2029"/>
      <c r="L111" s="2029"/>
      <c r="M111" s="2029"/>
      <c r="N111" s="2029"/>
      <c r="O111" s="2029"/>
      <c r="P111" s="2029"/>
      <c r="Q111" s="2029"/>
      <c r="R111" s="2029"/>
      <c r="S111" s="2029"/>
      <c r="T111" s="2029"/>
      <c r="U111" s="2029"/>
      <c r="V111" s="2029"/>
      <c r="W111" s="2033"/>
      <c r="X111" s="2033"/>
      <c r="Y111" s="2033"/>
      <c r="Z111" s="2033"/>
    </row>
    <row r="112" spans="1:26" s="1311" customFormat="1" ht="25.5" customHeight="1">
      <c r="A112" s="1614" t="s">
        <v>1842</v>
      </c>
      <c r="B112" s="374" t="s">
        <v>465</v>
      </c>
      <c r="C112" s="403">
        <f>ROUND(C108*D112,0)</f>
        <v>0</v>
      </c>
      <c r="D112" s="404">
        <v>0.2</v>
      </c>
      <c r="E112" s="3630" t="s">
        <v>2453</v>
      </c>
      <c r="F112" s="3628"/>
      <c r="G112" s="3628"/>
      <c r="H112" s="3629"/>
      <c r="I112" s="11"/>
      <c r="J112" s="2029"/>
      <c r="K112" s="2029"/>
      <c r="L112" s="2029"/>
      <c r="M112" s="2029"/>
      <c r="N112" s="2029"/>
      <c r="O112" s="2029"/>
      <c r="P112" s="2029"/>
      <c r="Q112" s="2029"/>
      <c r="R112" s="2029"/>
      <c r="S112" s="2029"/>
      <c r="T112" s="2029"/>
      <c r="U112" s="2029"/>
      <c r="V112" s="2029"/>
      <c r="W112" s="2033"/>
      <c r="X112" s="2033"/>
      <c r="Y112" s="2033"/>
      <c r="Z112" s="2033"/>
    </row>
    <row r="113" spans="1:26" s="1311" customFormat="1" ht="14.25">
      <c r="A113" s="1612" t="s">
        <v>1836</v>
      </c>
      <c r="B113" s="380" t="s">
        <v>451</v>
      </c>
      <c r="C113" s="383">
        <f ca="1">ROUND(C103-C104,0)</f>
        <v>75080</v>
      </c>
      <c r="D113" s="376" t="s">
        <v>19</v>
      </c>
      <c r="E113" s="988"/>
      <c r="F113" s="987"/>
      <c r="G113" s="987"/>
      <c r="H113" s="412"/>
      <c r="I113" s="11"/>
      <c r="J113" s="2029"/>
      <c r="K113" s="2029"/>
      <c r="L113" s="2029"/>
      <c r="M113" s="2029"/>
      <c r="N113" s="2029"/>
      <c r="O113" s="2029"/>
      <c r="P113" s="2029"/>
      <c r="Q113" s="2029"/>
      <c r="R113" s="2029"/>
      <c r="S113" s="2029"/>
      <c r="T113" s="2029"/>
      <c r="U113" s="2029"/>
      <c r="V113" s="2029"/>
      <c r="W113" s="2033"/>
      <c r="X113" s="2033"/>
      <c r="Y113" s="2033"/>
      <c r="Z113" s="2033"/>
    </row>
    <row r="114" spans="1:26" s="1311" customFormat="1" ht="24">
      <c r="A114" s="1612" t="s">
        <v>1837</v>
      </c>
      <c r="B114" s="380" t="s">
        <v>452</v>
      </c>
      <c r="C114" s="405">
        <f ca="1">IF(C113&lt;=0,0,C113/C104)</f>
        <v>65.173611111111114</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29"/>
      <c r="K114" s="2029"/>
      <c r="L114" s="2029"/>
      <c r="M114" s="2029"/>
      <c r="N114" s="2029"/>
      <c r="O114" s="2029"/>
      <c r="P114" s="2029"/>
      <c r="Q114" s="2029"/>
      <c r="R114" s="2029"/>
      <c r="S114" s="2029"/>
      <c r="T114" s="2029"/>
      <c r="U114" s="2029"/>
      <c r="V114" s="2029"/>
      <c r="W114" s="2033"/>
      <c r="X114" s="2033"/>
      <c r="Y114" s="2033"/>
      <c r="Z114" s="2033"/>
    </row>
    <row r="115" spans="1:26" s="1311" customFormat="1" ht="24.75" thickBot="1">
      <c r="A115" s="1613" t="s">
        <v>1838</v>
      </c>
      <c r="B115" s="385" t="s">
        <v>453</v>
      </c>
      <c r="C115" s="406">
        <f ca="1">ROUND(IF(C113&lt;=0,0,IF(C114&gt;=200%,C113*60%-C104*35%,IF(C114&gt;=100%,C113*50%-C104*15%,IF(C114&gt;=50%,C113*40%-C104*5%,IF(C114&lt;50%,C113*30%,0))))),0)</f>
        <v>44645</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5" customFormat="1" ht="21.75" customHeight="1">
      <c r="K185" s="2037"/>
      <c r="L185" s="2037"/>
      <c r="M185" s="2037"/>
      <c r="N185" s="2037"/>
      <c r="O185" s="2037"/>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1" max="16383"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0" customWidth="1"/>
    <col min="2" max="2" width="10.75" style="1650" customWidth="1"/>
    <col min="3" max="4" width="11.625" style="1650" customWidth="1"/>
    <col min="5" max="5" width="6.625" style="1650" customWidth="1"/>
    <col min="6" max="16384" width="9" style="1650"/>
  </cols>
  <sheetData>
    <row r="36" spans="1:9">
      <c r="A36" s="1649" t="s">
        <v>1902</v>
      </c>
      <c r="B36" s="1649" t="s">
        <v>1903</v>
      </c>
    </row>
    <row r="37" spans="1:9" ht="28.5" customHeight="1">
      <c r="A37" s="1649"/>
      <c r="B37" s="3482" t="str">
        <f>项目基本情况!B1</f>
        <v>山东省青岛市高新区火炬路以北、规划中32号线以西370214005030GB00261号一宗住宅、商业用地出让国有建设用地使用权抵押价格预评估</v>
      </c>
      <c r="C37" s="3482"/>
      <c r="D37" s="3482"/>
      <c r="E37" s="3482"/>
      <c r="F37" s="3482"/>
      <c r="G37" s="3482"/>
      <c r="H37" s="3482"/>
      <c r="I37" s="3482"/>
    </row>
    <row r="38" spans="1:9">
      <c r="A38" s="1651"/>
      <c r="B38" s="1651"/>
    </row>
    <row r="39" spans="1:9">
      <c r="A39" s="1649" t="s">
        <v>1902</v>
      </c>
      <c r="B39" s="1649" t="s">
        <v>2046</v>
      </c>
    </row>
    <row r="40" spans="1:9">
      <c r="A40" s="1649"/>
      <c r="B40" s="1649" t="str">
        <f>项目基本情况!B5</f>
        <v>大业信托有限责任公司</v>
      </c>
    </row>
    <row r="41" spans="1:9">
      <c r="A41" s="1649"/>
      <c r="B41" s="1649"/>
    </row>
    <row r="42" spans="1:9">
      <c r="A42" s="1649" t="s">
        <v>1902</v>
      </c>
      <c r="B42" s="1649" t="s">
        <v>2047</v>
      </c>
    </row>
    <row r="43" spans="1:9">
      <c r="A43" s="1649"/>
      <c r="B43" s="1649" t="s">
        <v>1904</v>
      </c>
    </row>
    <row r="44" spans="1:9">
      <c r="A44" s="1649"/>
      <c r="B44" s="1649"/>
    </row>
    <row r="45" spans="1:9">
      <c r="A45" s="1649" t="s">
        <v>1902</v>
      </c>
      <c r="B45" s="1649" t="s">
        <v>2045</v>
      </c>
    </row>
    <row r="46" spans="1:9" s="1649" customFormat="1" ht="12.75">
      <c r="B46" s="1649" t="str">
        <f>项目基本情况!K4</f>
        <v>王鹏、崔锴</v>
      </c>
    </row>
    <row r="47" spans="1:9">
      <c r="A47" s="1649"/>
      <c r="B47" s="1649"/>
    </row>
    <row r="48" spans="1:9">
      <c r="A48" s="1649" t="s">
        <v>1902</v>
      </c>
      <c r="B48" s="1649" t="s">
        <v>2048</v>
      </c>
    </row>
    <row r="49" spans="2:2">
      <c r="B49" s="164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19" t="s">
        <v>466</v>
      </c>
      <c r="B1" s="2805"/>
      <c r="C1" s="2100"/>
      <c r="D1" s="2100"/>
      <c r="E1" s="2100"/>
      <c r="F1" s="2100"/>
      <c r="G1" s="2100"/>
      <c r="H1" s="2100"/>
      <c r="I1" s="2100"/>
      <c r="J1" s="2100"/>
      <c r="K1" s="420">
        <f>MATCH(B1,'数据-取费表'!A6:A16,0)+5</f>
        <v>11</v>
      </c>
    </row>
    <row r="2" spans="1:41" s="2037" customFormat="1" ht="18" customHeight="1">
      <c r="A2" s="421" t="s">
        <v>467</v>
      </c>
      <c r="B2" s="422">
        <f ca="1">C32</f>
        <v>0</v>
      </c>
      <c r="C2" s="2100"/>
      <c r="D2" s="2100"/>
      <c r="E2" s="2100"/>
      <c r="F2" s="2100"/>
      <c r="G2" s="2100"/>
      <c r="H2" s="2100"/>
      <c r="I2" s="2100"/>
      <c r="J2" s="2100"/>
      <c r="K2" s="2100"/>
    </row>
    <row r="3" spans="1:41" s="2037" customFormat="1" ht="18" customHeight="1">
      <c r="A3" s="1374" t="s">
        <v>1685</v>
      </c>
      <c r="B3" s="423">
        <f ca="1">ROUND(B2*10000/IF(B1="",'数据-汇总表'!E3,INDIRECT("'数据-取费表'!K"&amp;$K$1)),0)</f>
        <v>0</v>
      </c>
      <c r="C3" s="2100"/>
      <c r="D3" s="2100"/>
      <c r="E3" s="2100"/>
      <c r="F3" s="2100"/>
      <c r="G3" s="2100"/>
      <c r="H3" s="2100"/>
      <c r="I3" s="2100"/>
      <c r="J3" s="2100"/>
      <c r="K3" s="2100"/>
    </row>
    <row r="4" spans="1:41" s="2037" customFormat="1" ht="18" customHeight="1">
      <c r="A4" s="424" t="s">
        <v>468</v>
      </c>
      <c r="B4" s="425">
        <f ca="1">ROUND(B2*10000/IF(B1="",'数据-汇总表'!D3,INDIRECT("'数据-取费表'!R"&amp;$K$1)),0)</f>
        <v>0</v>
      </c>
      <c r="C4" s="2057"/>
      <c r="D4" s="2100"/>
      <c r="E4" s="2100"/>
      <c r="F4" s="2100"/>
      <c r="G4" s="2100"/>
      <c r="H4" s="2100"/>
      <c r="I4" s="2100"/>
      <c r="J4" s="2100"/>
      <c r="K4" s="2100"/>
    </row>
    <row r="5" spans="1:41" s="2037" customFormat="1" ht="18" customHeight="1" thickBot="1">
      <c r="A5" s="427"/>
      <c r="B5" s="428">
        <f ca="1">ROUND(B2/(IF(B1="",'数据-汇总表'!D3,INDIRECT("'数据-取费表'!R"&amp;$K$1))/666.67),0)</f>
        <v>0</v>
      </c>
      <c r="C5" s="429" t="s">
        <v>469</v>
      </c>
      <c r="D5" s="2100"/>
      <c r="E5" s="2100"/>
      <c r="F5" s="2100"/>
      <c r="G5" s="2100"/>
      <c r="H5" s="2100"/>
      <c r="I5" s="2100"/>
      <c r="J5" s="2100"/>
      <c r="K5" s="2100"/>
    </row>
    <row r="6" spans="1:41" s="2107" customFormat="1" ht="16.5" customHeight="1">
      <c r="A6" s="430" t="s">
        <v>2651</v>
      </c>
      <c r="B6" s="431"/>
      <c r="C6" s="1618">
        <f>SUM(C10:K10)</f>
        <v>0</v>
      </c>
      <c r="D6" s="2105"/>
      <c r="E6" s="2105"/>
      <c r="F6" s="2105"/>
      <c r="G6" s="2105"/>
      <c r="H6" s="2105"/>
      <c r="I6" s="2105"/>
      <c r="J6" s="2105"/>
      <c r="K6" s="2106"/>
    </row>
    <row r="7" spans="1:41" s="2109" customFormat="1" ht="15">
      <c r="A7" s="432" t="s">
        <v>470</v>
      </c>
      <c r="B7" s="433" t="s">
        <v>471</v>
      </c>
      <c r="C7" s="434"/>
      <c r="D7" s="434"/>
      <c r="E7" s="434"/>
      <c r="F7" s="434"/>
      <c r="G7" s="434"/>
      <c r="H7" s="434"/>
      <c r="I7" s="434"/>
      <c r="J7" s="434"/>
      <c r="K7" s="435"/>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6" t="s">
        <v>1846</v>
      </c>
      <c r="B8" s="436" t="s">
        <v>472</v>
      </c>
      <c r="C8" s="437"/>
      <c r="D8" s="437"/>
      <c r="E8" s="437"/>
      <c r="F8" s="437"/>
      <c r="G8" s="437"/>
      <c r="H8" s="437"/>
      <c r="I8" s="437"/>
      <c r="J8" s="437"/>
      <c r="K8" s="438"/>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6" t="s">
        <v>1847</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7" t="s">
        <v>1848</v>
      </c>
      <c r="B10" s="1619" t="s">
        <v>474</v>
      </c>
      <c r="C10" s="1620"/>
      <c r="D10" s="1620"/>
      <c r="E10" s="1620"/>
      <c r="F10" s="1621"/>
      <c r="G10" s="1621"/>
      <c r="H10" s="1621"/>
      <c r="I10" s="1621"/>
      <c r="J10" s="1621"/>
      <c r="K10" s="1622"/>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5" t="s">
        <v>1865</v>
      </c>
      <c r="B11" s="1616"/>
      <c r="C11" s="1616"/>
      <c r="D11" s="1616"/>
      <c r="E11" s="1616"/>
      <c r="F11" s="1616"/>
      <c r="G11" s="1616"/>
      <c r="H11" s="1616"/>
      <c r="I11" s="1616"/>
      <c r="J11" s="1616"/>
      <c r="K11" s="1617"/>
    </row>
    <row r="12" spans="1:41" s="2081" customFormat="1" ht="13.5" customHeight="1">
      <c r="A12" s="432" t="s">
        <v>470</v>
      </c>
      <c r="B12" s="442" t="s">
        <v>471</v>
      </c>
      <c r="C12" s="443" t="s">
        <v>475</v>
      </c>
      <c r="D12" s="444" t="s">
        <v>476</v>
      </c>
      <c r="E12" s="444" t="s">
        <v>477</v>
      </c>
      <c r="F12" s="444" t="s">
        <v>478</v>
      </c>
      <c r="G12" s="442"/>
      <c r="H12" s="445"/>
      <c r="I12" s="445"/>
      <c r="J12" s="445"/>
      <c r="K12" s="446"/>
    </row>
    <row r="13" spans="1:41" s="2112" customFormat="1" ht="13.5" customHeight="1">
      <c r="A13" s="1628" t="s">
        <v>1849</v>
      </c>
      <c r="B13" s="447" t="s">
        <v>479</v>
      </c>
      <c r="C13" s="448">
        <f ca="1">IF(B1="",'数据-取费表'!M16,INDIRECT("'数据-取费表'!M"&amp;$K$1)+INDIRECT("'数据-取费表'!t"&amp;$K$1))</f>
        <v>44677</v>
      </c>
      <c r="D13" s="449"/>
      <c r="E13" s="363"/>
      <c r="F13" s="450"/>
      <c r="G13" s="442"/>
      <c r="H13" s="445"/>
      <c r="I13" s="445"/>
      <c r="J13" s="445"/>
      <c r="K13" s="446"/>
    </row>
    <row r="14" spans="1:41" s="2112" customFormat="1" ht="13.5" customHeight="1">
      <c r="A14" s="1628" t="s">
        <v>1850</v>
      </c>
      <c r="B14" s="447" t="s">
        <v>480</v>
      </c>
      <c r="C14" s="53">
        <f ca="1">ROUND(C13*F14,0)</f>
        <v>1340</v>
      </c>
      <c r="D14" s="449"/>
      <c r="E14" s="363"/>
      <c r="F14" s="451">
        <f>'数据-取费表'!B33</f>
        <v>0.03</v>
      </c>
      <c r="G14" s="442" t="s">
        <v>502</v>
      </c>
      <c r="H14" s="445"/>
      <c r="I14" s="445"/>
      <c r="J14" s="445"/>
      <c r="K14" s="446"/>
    </row>
    <row r="15" spans="1:41" s="2112" customFormat="1" ht="13.5" customHeight="1">
      <c r="A15" s="1628" t="s">
        <v>1851</v>
      </c>
      <c r="B15" s="447" t="s">
        <v>482</v>
      </c>
      <c r="C15" s="53">
        <f ca="1">ROUND(IF(B1="",SUMIF('数据-取费表'!C:C,"住宅",'数据-取费表'!M:M)*F15,IF(INDIRECT("'数据-取费表'!c"&amp;$K$1)="住宅",INDIRECT("'数据-取费表'!M"&amp;$K$1)*F15,0)),0)</f>
        <v>675</v>
      </c>
      <c r="D15" s="449"/>
      <c r="E15" s="363"/>
      <c r="F15" s="451">
        <f>'数据-取费表'!B34</f>
        <v>0.02</v>
      </c>
      <c r="G15" s="442" t="s">
        <v>502</v>
      </c>
      <c r="H15" s="445"/>
      <c r="I15" s="445"/>
      <c r="J15" s="445"/>
      <c r="K15" s="446"/>
    </row>
    <row r="16" spans="1:41" s="2113" customFormat="1" ht="13.5" customHeight="1">
      <c r="A16" s="1628" t="s">
        <v>1852</v>
      </c>
      <c r="B16" s="447" t="s">
        <v>484</v>
      </c>
      <c r="C16" s="53">
        <f ca="1">ROUND(D16*E16/10000,0)</f>
        <v>3616</v>
      </c>
      <c r="D16" s="449">
        <f ca="1">IF(B1="",'数据-汇总表'!E3,INDIRECT("'数据-取费表'!K"&amp;$K$1)+INDIRECT("'数据-取费表'!S"&amp;$K$1))</f>
        <v>180792</v>
      </c>
      <c r="E16" s="53">
        <f>'数据-取费表'!B35</f>
        <v>200</v>
      </c>
      <c r="F16" s="451"/>
      <c r="G16" s="442"/>
      <c r="H16" s="445"/>
      <c r="I16" s="445"/>
      <c r="J16" s="445"/>
      <c r="K16" s="446"/>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28" t="s">
        <v>1853</v>
      </c>
      <c r="B17" s="447" t="s">
        <v>485</v>
      </c>
      <c r="C17" s="452">
        <f ca="1">ROUND(C13*F17,0)</f>
        <v>670</v>
      </c>
      <c r="D17" s="453"/>
      <c r="E17" s="452"/>
      <c r="F17" s="454">
        <f>'数据-取费表'!B36</f>
        <v>1.4999999999999999E-2</v>
      </c>
      <c r="G17" s="442" t="s">
        <v>502</v>
      </c>
      <c r="H17" s="455"/>
      <c r="I17" s="455"/>
      <c r="J17" s="455"/>
      <c r="K17" s="456"/>
    </row>
    <row r="18" spans="1:14" s="2115" customFormat="1" ht="13.5" customHeight="1">
      <c r="A18" s="1629" t="s">
        <v>1854</v>
      </c>
      <c r="B18" s="457" t="s">
        <v>487</v>
      </c>
      <c r="C18" s="458">
        <f ca="1">SUM(C13:C17)</f>
        <v>50978</v>
      </c>
      <c r="D18" s="459"/>
      <c r="E18" s="460"/>
      <c r="F18" s="460"/>
      <c r="G18" s="1324" t="s">
        <v>2432</v>
      </c>
      <c r="H18" s="445"/>
      <c r="I18" s="445"/>
      <c r="J18" s="445"/>
      <c r="K18" s="446"/>
    </row>
    <row r="19" spans="1:14" s="2115" customFormat="1" ht="13.5" customHeight="1">
      <c r="A19" s="1629" t="s">
        <v>1855</v>
      </c>
      <c r="B19" s="457" t="s">
        <v>493</v>
      </c>
      <c r="C19" s="458">
        <f ca="1">ROUND(C18*F19,0)</f>
        <v>765</v>
      </c>
      <c r="D19" s="460"/>
      <c r="E19" s="460"/>
      <c r="F19" s="464">
        <f>'数据-取费表'!B37</f>
        <v>1.4999999999999999E-2</v>
      </c>
      <c r="G19" s="442" t="s">
        <v>503</v>
      </c>
      <c r="H19" s="445"/>
      <c r="I19" s="445"/>
      <c r="J19" s="445"/>
      <c r="K19" s="446"/>
      <c r="L19" s="2117"/>
      <c r="M19" s="2117"/>
      <c r="N19" s="2117"/>
    </row>
    <row r="20" spans="1:14" s="2115" customFormat="1" ht="13.5" customHeight="1">
      <c r="A20" s="1629" t="s">
        <v>1856</v>
      </c>
      <c r="B20" s="457" t="s">
        <v>504</v>
      </c>
      <c r="C20" s="3025">
        <f>F20</f>
        <v>0.01</v>
      </c>
      <c r="D20" s="467" t="s">
        <v>505</v>
      </c>
      <c r="E20" s="467"/>
      <c r="F20" s="484">
        <f>'数据-取费表'!B38</f>
        <v>0.01</v>
      </c>
      <c r="G20" s="1324" t="s">
        <v>506</v>
      </c>
      <c r="H20" s="445"/>
      <c r="I20" s="445"/>
      <c r="J20" s="445"/>
      <c r="K20" s="446"/>
      <c r="L20" s="2117"/>
      <c r="M20" s="2117"/>
      <c r="N20" s="2117"/>
    </row>
    <row r="21" spans="1:14" s="2117" customFormat="1" ht="13.5" customHeight="1">
      <c r="A21" s="1629" t="s">
        <v>1859</v>
      </c>
      <c r="B21" s="459" t="s">
        <v>494</v>
      </c>
      <c r="C21" s="468">
        <f ca="1">C22</f>
        <v>1833</v>
      </c>
      <c r="D21" s="465">
        <f ca="1">C23</f>
        <v>4.0000000000000002E-4</v>
      </c>
      <c r="E21" s="467" t="s">
        <v>507</v>
      </c>
      <c r="F21" s="469">
        <f ca="1">'数据-取费表'!B40</f>
        <v>4.7500000000000001E-2</v>
      </c>
      <c r="G21" s="1324" t="str">
        <f>IF('数据-取费表'!B22&lt;=1,"单利计息。","复利计息。")&amp;"建造成本、管理费用及销售费用产生的利息。"</f>
        <v>复利计息。建造成本、管理费用及销售费用产生的利息。</v>
      </c>
      <c r="H21" s="445"/>
      <c r="I21" s="445"/>
      <c r="J21" s="445"/>
      <c r="K21" s="446"/>
      <c r="L21" s="2114" t="s">
        <v>2454</v>
      </c>
    </row>
    <row r="22" spans="1:14" s="2116" customFormat="1" ht="13.5" customHeight="1">
      <c r="A22" s="1628" t="s">
        <v>1849</v>
      </c>
      <c r="B22" s="1325" t="s">
        <v>2435</v>
      </c>
      <c r="C22" s="485">
        <f ca="1">ROUND(IF('数据-取费表'!B22&lt;=1,(C18+C19)*F21*'数据-取费表'!B20/2,(C18+C19)*(POWER((1+F21),'数据-取费表'!B20/2)-1)),0)</f>
        <v>1833</v>
      </c>
      <c r="D22" s="470"/>
      <c r="E22" s="471"/>
      <c r="F22" s="472"/>
      <c r="G22" s="2563" t="str">
        <f>IF('数据-取费表'!B22&lt;=1,"((1)+(2))×年利率×建设期÷2","((1)+(2))×((1+年利率)^(建设期÷2)-1)")</f>
        <v>((1)+(2))×((1+年利率)^(建设期÷2)-1)</v>
      </c>
      <c r="H22" s="455"/>
      <c r="I22" s="455"/>
      <c r="J22" s="455"/>
      <c r="K22" s="456"/>
    </row>
    <row r="23" spans="1:14" s="2116" customFormat="1" ht="13.5" customHeight="1">
      <c r="A23" s="1628" t="s">
        <v>1850</v>
      </c>
      <c r="B23" s="1325" t="s">
        <v>508</v>
      </c>
      <c r="C23" s="486">
        <f ca="1">ROUND(IF('数据-取费表'!B22&lt;=1,F20*F21*'数据-取费表'!B20/2,F20*(POWER((1+F21),'数据-取费表'!B20/2)-1)),4)</f>
        <v>4.0000000000000002E-4</v>
      </c>
      <c r="D23" s="470"/>
      <c r="E23" s="471"/>
      <c r="F23" s="472"/>
      <c r="G23" s="2563" t="str">
        <f>IF('数据-取费表'!B22&lt;=1,"销售费用率×年利率×建设期÷2","销售费用率×((1+年利率)^(建设期÷2)-1)")</f>
        <v>销售费用率×((1+年利率)^(建设期÷2)-1)</v>
      </c>
      <c r="H23" s="455"/>
      <c r="I23" s="455"/>
      <c r="J23" s="455"/>
      <c r="K23" s="456"/>
    </row>
    <row r="24" spans="1:14" s="2116" customFormat="1" ht="13.5" customHeight="1">
      <c r="A24" s="1629" t="s">
        <v>1860</v>
      </c>
      <c r="B24" s="3027" t="s">
        <v>2831</v>
      </c>
      <c r="C24" s="476">
        <f ca="1">C25</f>
        <v>3622</v>
      </c>
      <c r="D24" s="487">
        <f ca="1">C26</f>
        <v>6.9999999999999999E-4</v>
      </c>
      <c r="E24" s="467" t="s">
        <v>507</v>
      </c>
      <c r="F24" s="477">
        <f ca="1">IF(B1="",'数据-取费表'!Q16,INDIRECT("'数据-取费表'!q"&amp;$K$1))</f>
        <v>7.0000000000000007E-2</v>
      </c>
      <c r="G24" s="442"/>
      <c r="H24" s="445"/>
      <c r="I24" s="445"/>
      <c r="J24" s="445"/>
      <c r="K24" s="446"/>
    </row>
    <row r="25" spans="1:14" s="2116" customFormat="1" ht="13.5" customHeight="1">
      <c r="A25" s="1628" t="s">
        <v>1849</v>
      </c>
      <c r="B25" s="1325" t="s">
        <v>2436</v>
      </c>
      <c r="C25" s="488">
        <f ca="1">ROUND((C18+C19)*F24,0)</f>
        <v>3622</v>
      </c>
      <c r="D25" s="470"/>
      <c r="E25" s="471"/>
      <c r="F25" s="478"/>
      <c r="G25" s="1323" t="s">
        <v>2433</v>
      </c>
      <c r="H25" s="455"/>
      <c r="I25" s="455"/>
      <c r="J25" s="455"/>
      <c r="K25" s="456"/>
    </row>
    <row r="26" spans="1:14" s="2116" customFormat="1" ht="13.5" customHeight="1">
      <c r="A26" s="1628" t="s">
        <v>1850</v>
      </c>
      <c r="B26" s="1325" t="s">
        <v>509</v>
      </c>
      <c r="C26" s="489">
        <f ca="1">ROUND(F20*F24,4)</f>
        <v>6.9999999999999999E-4</v>
      </c>
      <c r="D26" s="470"/>
      <c r="E26" s="479"/>
      <c r="F26" s="478"/>
      <c r="G26" s="1323" t="s">
        <v>510</v>
      </c>
      <c r="H26" s="455"/>
      <c r="I26" s="455"/>
      <c r="J26" s="455"/>
      <c r="K26" s="456"/>
    </row>
    <row r="27" spans="1:14" s="2116" customFormat="1" ht="13.5" customHeight="1">
      <c r="A27" s="1632" t="s">
        <v>1868</v>
      </c>
      <c r="B27" s="457" t="s">
        <v>511</v>
      </c>
      <c r="C27" s="3026">
        <f>ROUND(F27/(1+'数据-取费表'!C42),4)</f>
        <v>5.33E-2</v>
      </c>
      <c r="D27" s="460" t="s">
        <v>2829</v>
      </c>
      <c r="E27" s="460"/>
      <c r="F27" s="464">
        <f>'数据-取费表'!B41</f>
        <v>5.6000000000000001E-2</v>
      </c>
      <c r="G27" s="1956" t="s">
        <v>2291</v>
      </c>
      <c r="H27" s="445"/>
      <c r="I27" s="445"/>
      <c r="J27" s="445"/>
      <c r="K27" s="446"/>
    </row>
    <row r="28" spans="1:14" s="2117" customFormat="1" ht="13.5" customHeight="1">
      <c r="A28" s="1632" t="s">
        <v>1869</v>
      </c>
      <c r="B28" s="474" t="s">
        <v>512</v>
      </c>
      <c r="C28" s="468">
        <f ca="1">ROUND((C18+C19+C21+C24)/(1-C20-D21-D24-C27),0)</f>
        <v>61135</v>
      </c>
      <c r="D28" s="475"/>
      <c r="E28" s="467"/>
      <c r="F28" s="469"/>
      <c r="G28" s="1324" t="s">
        <v>2434</v>
      </c>
      <c r="H28" s="445"/>
      <c r="I28" s="445"/>
      <c r="J28" s="445"/>
      <c r="K28" s="446"/>
    </row>
    <row r="29" spans="1:14" s="2117" customFormat="1" ht="13.5" customHeight="1">
      <c r="A29" s="1632" t="s">
        <v>1870</v>
      </c>
      <c r="B29" s="474" t="s">
        <v>513</v>
      </c>
      <c r="C29" s="490">
        <f ca="1">IF(B1="",'数据-取费表'!N16,INDIRECT("'数据-取费表'!N"&amp;$K$1))</f>
        <v>0</v>
      </c>
      <c r="D29" s="491"/>
      <c r="E29" s="492"/>
      <c r="F29" s="493"/>
      <c r="G29" s="442"/>
      <c r="H29" s="445"/>
      <c r="I29" s="445"/>
      <c r="J29" s="445"/>
      <c r="K29" s="446"/>
    </row>
    <row r="30" spans="1:14" s="2117" customFormat="1" ht="13.5" customHeight="1">
      <c r="A30" s="441">
        <v>2</v>
      </c>
      <c r="B30" s="474" t="s">
        <v>514</v>
      </c>
      <c r="C30" s="495">
        <f ca="1">ROUND(C28*C29,0)</f>
        <v>0</v>
      </c>
      <c r="D30" s="491"/>
      <c r="E30" s="496"/>
      <c r="F30" s="497"/>
      <c r="G30" s="1326" t="s">
        <v>515</v>
      </c>
      <c r="H30" s="494"/>
      <c r="I30" s="494"/>
      <c r="J30" s="445"/>
      <c r="K30" s="446"/>
    </row>
    <row r="31" spans="1:14" s="2122" customFormat="1" ht="13.5" customHeight="1">
      <c r="A31" s="2478" t="s">
        <v>1866</v>
      </c>
      <c r="B31" s="1327"/>
      <c r="C31" s="498">
        <f>ROUND(C6*F31/(1+'数据-取费表'!C42),0)</f>
        <v>0</v>
      </c>
      <c r="D31" s="1328"/>
      <c r="E31" s="1328"/>
      <c r="F31" s="499">
        <f>'数据-取费表'!B41</f>
        <v>5.6000000000000001E-2</v>
      </c>
      <c r="G31" s="1329"/>
      <c r="H31" s="1329"/>
      <c r="I31" s="1329"/>
      <c r="J31" s="1330"/>
      <c r="K31" s="1331"/>
    </row>
    <row r="32" spans="1:14" s="2081" customFormat="1" ht="13.5" customHeight="1" thickBot="1">
      <c r="A32" s="480" t="s">
        <v>1867</v>
      </c>
      <c r="B32" s="481"/>
      <c r="C32" s="482">
        <f ca="1">IF('数据-取费表'!B20&lt;=1,(C6-C30-C31)/(1+F21*'数据-取费表'!B20+F24)/(1+'数据-取费表'!B48+'数据-取费表'!B49),(C6-C30-C31)/(1+(POWER((1+F21),'数据-取费表'!B20)-1)+F24)/(1+'数据-取费表'!B48+'数据-取费表'!B49))</f>
        <v>0</v>
      </c>
      <c r="D32" s="481"/>
      <c r="E32" s="481"/>
      <c r="F32" s="481"/>
      <c r="G32" s="2479" t="s">
        <v>2974</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C41" sqref="C41"/>
    </sheetView>
  </sheetViews>
  <sheetFormatPr defaultRowHeight="14.25"/>
  <cols>
    <col min="1" max="1" width="15.625" style="1334" customWidth="1"/>
    <col min="2" max="2" width="15.75" style="1334" customWidth="1"/>
    <col min="3" max="3" width="15.2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500" t="s">
        <v>516</v>
      </c>
      <c r="B1" s="501"/>
      <c r="C1" s="502" t="s">
        <v>517</v>
      </c>
      <c r="D1" s="503" t="s">
        <v>518</v>
      </c>
      <c r="E1" s="504"/>
      <c r="F1" s="426"/>
      <c r="G1" s="504"/>
      <c r="H1" s="504"/>
      <c r="I1" s="504"/>
      <c r="J1" s="504"/>
      <c r="K1" s="505"/>
      <c r="L1" s="1557"/>
      <c r="M1" s="1558"/>
      <c r="N1" s="1558"/>
      <c r="O1" s="1558"/>
      <c r="P1" s="1559"/>
      <c r="Q1" s="1559"/>
      <c r="R1" s="1559"/>
      <c r="S1" s="1559"/>
      <c r="T1" s="1559"/>
      <c r="U1" s="1559"/>
      <c r="V1" s="1559"/>
      <c r="W1" s="1559"/>
      <c r="X1" s="1559"/>
      <c r="Y1" s="1559"/>
      <c r="Z1" s="1559"/>
      <c r="AA1" s="1559"/>
      <c r="AB1" s="1559"/>
      <c r="AC1" s="1560"/>
      <c r="AD1" s="1332"/>
    </row>
    <row r="2" spans="1:30" s="1333" customFormat="1" ht="28.5" customHeight="1">
      <c r="A2" s="421" t="s">
        <v>467</v>
      </c>
      <c r="B2" s="506">
        <f>F68</f>
        <v>72829</v>
      </c>
      <c r="C2" s="2123"/>
      <c r="D2" s="2123"/>
      <c r="E2" s="2124"/>
      <c r="F2" s="2125"/>
      <c r="G2" s="2124"/>
      <c r="H2" s="2124"/>
      <c r="I2" s="2124"/>
      <c r="J2" s="2124"/>
      <c r="K2" s="2126"/>
      <c r="L2" s="2127"/>
      <c r="M2" s="2128"/>
      <c r="N2" s="2128"/>
      <c r="O2" s="2128"/>
      <c r="P2" s="1559"/>
      <c r="Q2" s="1559"/>
      <c r="R2" s="1559"/>
      <c r="S2" s="1559"/>
      <c r="T2" s="1559"/>
      <c r="U2" s="1559"/>
      <c r="V2" s="1559"/>
      <c r="W2" s="1559"/>
      <c r="X2" s="1559"/>
      <c r="Y2" s="1559"/>
      <c r="Z2" s="1559"/>
      <c r="AA2" s="1559"/>
      <c r="AB2" s="1559"/>
      <c r="AC2" s="1560"/>
      <c r="AD2" s="1332"/>
    </row>
    <row r="3" spans="1:30" s="1333" customFormat="1" ht="28.5" customHeight="1">
      <c r="A3" s="1374" t="s">
        <v>1685</v>
      </c>
      <c r="B3" s="508">
        <f>ROUND(B2*10000/'数据-汇总表'!E3,0)</f>
        <v>4028</v>
      </c>
      <c r="C3" s="2057"/>
      <c r="D3" s="2566"/>
      <c r="E3" s="2057"/>
      <c r="F3" s="2057"/>
      <c r="G3" s="2124"/>
      <c r="H3" s="2124"/>
      <c r="I3" s="2124"/>
      <c r="J3" s="2124"/>
      <c r="K3" s="2126"/>
      <c r="L3" s="2127"/>
      <c r="M3" s="2128"/>
      <c r="N3" s="2128"/>
      <c r="O3" s="2128"/>
      <c r="P3" s="1559"/>
      <c r="Q3" s="1559"/>
      <c r="R3" s="1559"/>
      <c r="S3" s="1559"/>
      <c r="T3" s="1559"/>
      <c r="U3" s="1559"/>
      <c r="V3" s="1559"/>
      <c r="W3" s="1559"/>
      <c r="X3" s="1559"/>
      <c r="Y3" s="1559"/>
      <c r="Z3" s="1559"/>
      <c r="AA3" s="1559"/>
      <c r="AB3" s="1561"/>
      <c r="AC3" s="426"/>
    </row>
    <row r="4" spans="1:30" s="1333" customFormat="1" ht="28.5" customHeight="1">
      <c r="A4" s="509" t="s">
        <v>520</v>
      </c>
      <c r="B4" s="425">
        <f>IF(B48="单位面积地价",C50,ROUND(B2*10000/'数据-汇总表'!D3,0))</f>
        <v>9998</v>
      </c>
      <c r="C4" s="2057"/>
      <c r="D4" s="2566"/>
      <c r="E4" s="2057"/>
      <c r="F4" s="2057"/>
      <c r="G4" s="2124"/>
      <c r="H4" s="2124"/>
      <c r="I4" s="2124"/>
      <c r="J4" s="2124"/>
      <c r="K4" s="2126"/>
      <c r="L4" s="2127"/>
      <c r="M4" s="2128"/>
      <c r="N4" s="2128"/>
      <c r="O4" s="2128"/>
      <c r="P4" s="1559"/>
      <c r="Q4" s="1559"/>
      <c r="R4" s="1559"/>
      <c r="S4" s="1559"/>
      <c r="T4" s="1559"/>
      <c r="U4" s="1559"/>
      <c r="V4" s="1559"/>
      <c r="W4" s="1559"/>
      <c r="X4" s="1559"/>
      <c r="Y4" s="1559"/>
      <c r="Z4" s="1559"/>
      <c r="AA4" s="1559"/>
      <c r="AB4" s="1559"/>
      <c r="AC4" s="426"/>
    </row>
    <row r="5" spans="1:30" s="1333" customFormat="1" ht="28.5" customHeight="1" thickBot="1">
      <c r="A5" s="427"/>
      <c r="B5" s="428">
        <f>ROUND(B2/('数据-汇总表'!D3/666.67),0)</f>
        <v>667</v>
      </c>
      <c r="C5" s="429" t="s">
        <v>469</v>
      </c>
      <c r="D5" s="2057"/>
      <c r="E5" s="2057"/>
      <c r="F5" s="2057"/>
      <c r="G5" s="2124"/>
      <c r="H5" s="2124"/>
      <c r="I5" s="2124"/>
      <c r="J5" s="2124"/>
      <c r="K5" s="2126"/>
      <c r="L5" s="2127"/>
      <c r="M5" s="2128"/>
      <c r="N5" s="2128"/>
      <c r="O5" s="2128"/>
      <c r="P5" s="1559"/>
      <c r="Q5" s="1559"/>
      <c r="R5" s="1559"/>
      <c r="S5" s="1559"/>
      <c r="T5" s="1559"/>
      <c r="U5" s="1559"/>
      <c r="V5" s="1559"/>
      <c r="W5" s="1559"/>
      <c r="X5" s="1559"/>
      <c r="Y5" s="1559"/>
      <c r="Z5" s="1559"/>
      <c r="AA5" s="1559"/>
      <c r="AB5" s="1559"/>
      <c r="AC5" s="426"/>
    </row>
    <row r="6" spans="1:30" ht="20.25">
      <c r="A6" s="510" t="s">
        <v>521</v>
      </c>
      <c r="B6" s="511"/>
      <c r="C6" s="3685" t="s">
        <v>522</v>
      </c>
      <c r="D6" s="3686"/>
      <c r="E6" s="3685" t="s">
        <v>523</v>
      </c>
      <c r="F6" s="3686"/>
      <c r="G6" s="3685" t="s">
        <v>524</v>
      </c>
      <c r="H6" s="3686"/>
      <c r="I6" s="3685" t="s">
        <v>525</v>
      </c>
      <c r="J6" s="3686"/>
      <c r="K6" s="512" t="s">
        <v>526</v>
      </c>
      <c r="L6" s="2129"/>
      <c r="M6" s="2128"/>
      <c r="N6" s="2128"/>
      <c r="O6" s="2130"/>
      <c r="P6" s="3687" t="s">
        <v>527</v>
      </c>
      <c r="Q6" s="3688"/>
      <c r="R6" s="3673" t="s">
        <v>523</v>
      </c>
      <c r="S6" s="3674"/>
      <c r="T6" s="3673" t="s">
        <v>524</v>
      </c>
      <c r="U6" s="3674"/>
      <c r="V6" s="3693" t="s">
        <v>525</v>
      </c>
      <c r="W6" s="3693"/>
      <c r="X6" s="1562"/>
      <c r="Y6" s="3673" t="s">
        <v>527</v>
      </c>
      <c r="Z6" s="3674"/>
      <c r="AA6" s="3668" t="s">
        <v>523</v>
      </c>
      <c r="AB6" s="3669" t="s">
        <v>524</v>
      </c>
      <c r="AC6" s="3668" t="s">
        <v>525</v>
      </c>
    </row>
    <row r="7" spans="1:30" ht="20.25">
      <c r="A7" s="513"/>
      <c r="B7" s="514"/>
      <c r="C7" s="3696" t="s">
        <v>2928</v>
      </c>
      <c r="D7" s="3697"/>
      <c r="E7" s="3696" t="str">
        <f>土地案例1!A2</f>
        <v>高新区新业路以南、规划中34号线以东、规划中32号线以西</v>
      </c>
      <c r="F7" s="3697"/>
      <c r="G7" s="3696" t="str">
        <f>土地案例1!A5</f>
        <v>高新区河东路以南、聚贤桥路以西、广盛支路两侧</v>
      </c>
      <c r="H7" s="3697"/>
      <c r="I7" s="3696" t="str">
        <f>土地案例1!A6</f>
        <v>高新区河东路以南、聚贤桥路以西、广盛支路两侧</v>
      </c>
      <c r="J7" s="3697"/>
      <c r="K7" s="512"/>
      <c r="L7" s="2129"/>
      <c r="M7" s="2128"/>
      <c r="N7" s="2128"/>
      <c r="O7" s="2130"/>
      <c r="P7" s="3689"/>
      <c r="Q7" s="3690"/>
      <c r="R7" s="3675"/>
      <c r="S7" s="3676"/>
      <c r="T7" s="3675"/>
      <c r="U7" s="3676"/>
      <c r="V7" s="3693"/>
      <c r="W7" s="3693"/>
      <c r="X7" s="1562"/>
      <c r="Y7" s="3675"/>
      <c r="Z7" s="3676"/>
      <c r="AA7" s="3669"/>
      <c r="AB7" s="3669"/>
      <c r="AC7" s="3669"/>
    </row>
    <row r="8" spans="1:30" ht="21" thickBot="1">
      <c r="A8" s="513"/>
      <c r="B8" s="514"/>
      <c r="C8" s="3698" t="s">
        <v>2932</v>
      </c>
      <c r="D8" s="3699"/>
      <c r="E8" s="3698" t="str">
        <f>土地案例1!G2</f>
        <v>G-2018-024</v>
      </c>
      <c r="F8" s="3699"/>
      <c r="G8" s="3694" t="str">
        <f>土地案例1!G5</f>
        <v>G-2018-007-1</v>
      </c>
      <c r="H8" s="3695"/>
      <c r="I8" s="3694" t="str">
        <f>土地案例1!G6</f>
        <v>G-2018-007-2</v>
      </c>
      <c r="J8" s="3695"/>
      <c r="K8" s="512" t="s">
        <v>528</v>
      </c>
      <c r="L8" s="2129"/>
      <c r="M8" s="2128"/>
      <c r="N8" s="2128"/>
      <c r="O8" s="2130"/>
      <c r="P8" s="3691"/>
      <c r="Q8" s="3692"/>
      <c r="R8" s="3675"/>
      <c r="S8" s="3676"/>
      <c r="T8" s="3677"/>
      <c r="U8" s="3678"/>
      <c r="V8" s="3693"/>
      <c r="W8" s="3693"/>
      <c r="X8" s="1562"/>
      <c r="Y8" s="3677"/>
      <c r="Z8" s="3678"/>
      <c r="AA8" s="3670"/>
      <c r="AB8" s="3670"/>
      <c r="AC8" s="3670"/>
    </row>
    <row r="9" spans="1:30" s="1217" customFormat="1" ht="21" thickBot="1">
      <c r="A9" s="2908"/>
      <c r="B9" s="2915" t="s">
        <v>529</v>
      </c>
      <c r="C9" s="2907">
        <f>'数据-取费表'!B2</f>
        <v>43346</v>
      </c>
      <c r="D9" s="518">
        <v>100</v>
      </c>
      <c r="E9" s="519" t="str">
        <f>土地案例1!L2</f>
        <v>2018-07-30</v>
      </c>
      <c r="F9" s="520">
        <f>SUMIF(72:72,YEAR(E9)&amp;"-"&amp;INT((MONTH(E9)+2)/3),73:73)</f>
        <v>100</v>
      </c>
      <c r="G9" s="521" t="str">
        <f>土地案例1!L5</f>
        <v>2018-03-30</v>
      </c>
      <c r="H9" s="518">
        <f>SUMIF(72:72,YEAR(G9)&amp;"-"&amp;INT((MONTH(G9)+2)/3),73:73)</f>
        <v>98</v>
      </c>
      <c r="I9" s="521" t="str">
        <f>土地案例1!L6</f>
        <v>2018-03-30</v>
      </c>
      <c r="J9" s="518">
        <f>SUMIF(72:72,YEAR(I9)&amp;"-"&amp;INT((MONTH(I9)+2)/3),73:73)</f>
        <v>98</v>
      </c>
      <c r="K9" s="522"/>
      <c r="L9" s="2131"/>
      <c r="M9" s="2128"/>
      <c r="N9" s="2128"/>
      <c r="O9" s="2132"/>
      <c r="P9" s="3671" t="s">
        <v>530</v>
      </c>
      <c r="Q9" s="3680"/>
      <c r="R9" s="1563" t="s">
        <v>8</v>
      </c>
      <c r="S9" s="1564">
        <f t="shared" ref="S9:S17" si="0">F9</f>
        <v>100</v>
      </c>
      <c r="T9" s="1563" t="s">
        <v>8</v>
      </c>
      <c r="U9" s="1564">
        <f t="shared" ref="U9:U17" si="1">H9</f>
        <v>98</v>
      </c>
      <c r="V9" s="1563" t="s">
        <v>8</v>
      </c>
      <c r="W9" s="1564">
        <f t="shared" ref="W9:W17" si="2">J9</f>
        <v>98</v>
      </c>
      <c r="X9" s="1565"/>
      <c r="Y9" s="3671" t="s">
        <v>530</v>
      </c>
      <c r="Z9" s="3672"/>
      <c r="AA9" s="1566">
        <f>D9/F9</f>
        <v>1</v>
      </c>
      <c r="AB9" s="1566">
        <f>D9/H9</f>
        <v>1.0204081632653061</v>
      </c>
      <c r="AC9" s="1566">
        <f>D9/J9</f>
        <v>1.0204081632653061</v>
      </c>
    </row>
    <row r="10" spans="1:30" s="1217" customFormat="1" ht="21" thickBot="1">
      <c r="A10" s="2909"/>
      <c r="B10" s="2916" t="s">
        <v>531</v>
      </c>
      <c r="C10" s="854" t="s">
        <v>532</v>
      </c>
      <c r="D10" s="518">
        <v>100</v>
      </c>
      <c r="E10" s="523" t="s">
        <v>3398</v>
      </c>
      <c r="F10" s="520">
        <f>SUMIF(75:75,E10,76:76)-SUMIF(75:75,C10,76:76)+100</f>
        <v>100</v>
      </c>
      <c r="G10" s="523" t="s">
        <v>3398</v>
      </c>
      <c r="H10" s="518">
        <f>SUMIF(75:75,G10,76:76)-SUMIF(75:75,C10,76:76)+100</f>
        <v>100</v>
      </c>
      <c r="I10" s="523" t="s">
        <v>3398</v>
      </c>
      <c r="J10" s="518">
        <f>SUMIF(75:75,I10,76:76)-SUMIF(75:75,C10,76:76)+100</f>
        <v>100</v>
      </c>
      <c r="K10" s="522"/>
      <c r="L10" s="2131"/>
      <c r="M10" s="2128"/>
      <c r="N10" s="2128"/>
      <c r="O10" s="2132"/>
      <c r="P10" s="3671" t="s">
        <v>533</v>
      </c>
      <c r="Q10" s="3672"/>
      <c r="R10" s="1563" t="s">
        <v>8</v>
      </c>
      <c r="S10" s="1564">
        <f t="shared" si="0"/>
        <v>100</v>
      </c>
      <c r="T10" s="1563" t="s">
        <v>8</v>
      </c>
      <c r="U10" s="1564">
        <f t="shared" si="1"/>
        <v>100</v>
      </c>
      <c r="V10" s="1563" t="s">
        <v>8</v>
      </c>
      <c r="W10" s="1564">
        <f t="shared" si="2"/>
        <v>100</v>
      </c>
      <c r="X10" s="1565"/>
      <c r="Y10" s="3671" t="s">
        <v>533</v>
      </c>
      <c r="Z10" s="3672"/>
      <c r="AA10" s="1566">
        <f t="shared" ref="AA10:AA47" si="3">D10/F10</f>
        <v>1</v>
      </c>
      <c r="AB10" s="1566">
        <f t="shared" ref="AB10:AB47" si="4">D10/H10</f>
        <v>1</v>
      </c>
      <c r="AC10" s="1566">
        <f t="shared" ref="AC10:AC47" si="5">D10/J10</f>
        <v>1</v>
      </c>
    </row>
    <row r="11" spans="1:30" s="1217" customFormat="1" ht="28.5">
      <c r="A11" s="2910"/>
      <c r="B11" s="2917" t="s">
        <v>2755</v>
      </c>
      <c r="C11" s="2904" t="s">
        <v>3399</v>
      </c>
      <c r="D11" s="252">
        <v>100</v>
      </c>
      <c r="E11" s="524" t="s">
        <v>3220</v>
      </c>
      <c r="F11" s="252">
        <f>SUMIF(77:77,E11,78:78)-SUMIF(77:77,C11,78:78)+100</f>
        <v>100</v>
      </c>
      <c r="G11" s="524" t="s">
        <v>3233</v>
      </c>
      <c r="H11" s="252">
        <f>SUMIF(77:77,G11,78:78)-SUMIF(77:77,C11,78:78)+100</f>
        <v>100</v>
      </c>
      <c r="I11" s="524" t="s">
        <v>3233</v>
      </c>
      <c r="J11" s="252">
        <f>SUMIF(77:77,I11,78:78)-SUMIF(77:77,C11,78:78)+100</f>
        <v>100</v>
      </c>
      <c r="K11" s="522"/>
      <c r="L11" s="2131"/>
      <c r="M11" s="2128"/>
      <c r="N11" s="2128"/>
      <c r="O11" s="2133"/>
      <c r="P11" s="3679" t="s">
        <v>535</v>
      </c>
      <c r="Q11" s="1148" t="str">
        <f t="shared" ref="Q11:Q17" si="6">B11</f>
        <v>用途</v>
      </c>
      <c r="R11" s="1563" t="s">
        <v>8</v>
      </c>
      <c r="S11" s="1564">
        <f t="shared" si="0"/>
        <v>100</v>
      </c>
      <c r="T11" s="1563" t="s">
        <v>8</v>
      </c>
      <c r="U11" s="1564">
        <f t="shared" si="1"/>
        <v>100</v>
      </c>
      <c r="V11" s="1563" t="s">
        <v>8</v>
      </c>
      <c r="W11" s="1564">
        <f t="shared" si="2"/>
        <v>100</v>
      </c>
      <c r="X11" s="1565"/>
      <c r="Y11" s="3636" t="s">
        <v>536</v>
      </c>
      <c r="Z11" s="1147" t="str">
        <f t="shared" ref="Z11:Z17" si="7">Q11</f>
        <v>用途</v>
      </c>
      <c r="AA11" s="1566">
        <f t="shared" si="3"/>
        <v>1</v>
      </c>
      <c r="AB11" s="1566">
        <f t="shared" si="4"/>
        <v>1</v>
      </c>
      <c r="AC11" s="1566">
        <f t="shared" si="5"/>
        <v>1</v>
      </c>
    </row>
    <row r="12" spans="1:30" s="1335" customFormat="1" ht="27">
      <c r="A12" s="2911"/>
      <c r="B12" s="2916" t="s">
        <v>2756</v>
      </c>
      <c r="C12" s="907">
        <f>项目基本情况!D20</f>
        <v>0</v>
      </c>
      <c r="D12" s="253">
        <v>100</v>
      </c>
      <c r="E12" s="527"/>
      <c r="F12" s="253">
        <f>ROUND(100/'数据-取费表'!G16,0)</f>
        <v>100</v>
      </c>
      <c r="G12" s="528"/>
      <c r="H12" s="253">
        <f>ROUND(100/'数据-取费表'!G16,0)</f>
        <v>100</v>
      </c>
      <c r="I12" s="528"/>
      <c r="J12" s="253">
        <f>ROUND(100/'数据-取费表'!G16,0)</f>
        <v>100</v>
      </c>
      <c r="K12" s="529"/>
      <c r="L12" s="2134"/>
      <c r="M12" s="2128"/>
      <c r="N12" s="2128"/>
      <c r="O12" s="2135"/>
      <c r="P12" s="3679"/>
      <c r="Q12" s="1148" t="str">
        <f t="shared" si="6"/>
        <v>土地使用年限（年）</v>
      </c>
      <c r="R12" s="1563" t="s">
        <v>8</v>
      </c>
      <c r="S12" s="1564">
        <f t="shared" si="0"/>
        <v>100</v>
      </c>
      <c r="T12" s="1563" t="s">
        <v>8</v>
      </c>
      <c r="U12" s="1564">
        <f t="shared" si="1"/>
        <v>100</v>
      </c>
      <c r="V12" s="1563" t="s">
        <v>8</v>
      </c>
      <c r="W12" s="1564">
        <f t="shared" si="2"/>
        <v>100</v>
      </c>
      <c r="X12" s="1565"/>
      <c r="Y12" s="3636"/>
      <c r="Z12" s="1147" t="str">
        <f t="shared" si="7"/>
        <v>土地使用年限（年）</v>
      </c>
      <c r="AA12" s="1566">
        <f t="shared" si="3"/>
        <v>1</v>
      </c>
      <c r="AB12" s="1566">
        <f t="shared" si="4"/>
        <v>1</v>
      </c>
      <c r="AC12" s="1566">
        <f t="shared" si="5"/>
        <v>1</v>
      </c>
    </row>
    <row r="13" spans="1:30" ht="20.25">
      <c r="A13" s="2912"/>
      <c r="B13" s="2916" t="s">
        <v>2757</v>
      </c>
      <c r="C13" s="532">
        <f>'数据-汇总表'!I6</f>
        <v>1.8</v>
      </c>
      <c r="D13" s="253">
        <v>100</v>
      </c>
      <c r="E13" s="531">
        <v>1.8</v>
      </c>
      <c r="F13" s="253">
        <f>LOOKUP(E13,82:82,83:83)-LOOKUP(C13,82:82,83:83)+100</f>
        <v>100</v>
      </c>
      <c r="G13" s="532">
        <v>1.8</v>
      </c>
      <c r="H13" s="253">
        <f>LOOKUP(G13,82:82,83:83)-LOOKUP(C13,82:82,83:83)+100</f>
        <v>100</v>
      </c>
      <c r="I13" s="531">
        <v>1.8</v>
      </c>
      <c r="J13" s="253">
        <f>LOOKUP(I13,82:82,83:83)-LOOKUP(C13,82:82,83:83)+100</f>
        <v>100</v>
      </c>
      <c r="K13" s="533">
        <v>3</v>
      </c>
      <c r="L13" s="2136"/>
      <c r="M13" s="2128"/>
      <c r="N13" s="2128"/>
      <c r="O13" s="2137"/>
      <c r="P13" s="3679"/>
      <c r="Q13" s="1148" t="str">
        <f t="shared" si="6"/>
        <v>容积率</v>
      </c>
      <c r="R13" s="1563" t="s">
        <v>8</v>
      </c>
      <c r="S13" s="1564">
        <f t="shared" si="0"/>
        <v>100</v>
      </c>
      <c r="T13" s="1563" t="s">
        <v>8</v>
      </c>
      <c r="U13" s="1564">
        <f t="shared" si="1"/>
        <v>100</v>
      </c>
      <c r="V13" s="1563" t="s">
        <v>8</v>
      </c>
      <c r="W13" s="1564">
        <f t="shared" si="2"/>
        <v>100</v>
      </c>
      <c r="X13" s="1565"/>
      <c r="Y13" s="3636"/>
      <c r="Z13" s="1147" t="str">
        <f t="shared" si="7"/>
        <v>容积率</v>
      </c>
      <c r="AA13" s="1566">
        <f t="shared" si="3"/>
        <v>1</v>
      </c>
      <c r="AB13" s="1566">
        <f t="shared" si="4"/>
        <v>1</v>
      </c>
      <c r="AC13" s="1566">
        <f t="shared" si="5"/>
        <v>1</v>
      </c>
    </row>
    <row r="14" spans="1:30" s="1217" customFormat="1" ht="20.25">
      <c r="A14" s="2909"/>
      <c r="B14" s="2918" t="s">
        <v>2758</v>
      </c>
      <c r="C14" s="2905" t="s">
        <v>3402</v>
      </c>
      <c r="D14" s="536">
        <v>100</v>
      </c>
      <c r="E14" s="2905" t="s">
        <v>3402</v>
      </c>
      <c r="F14" s="253">
        <f>SUMIF(84:84,E14,85:85)-SUMIF(84:84,C14,85:85)+100</f>
        <v>100</v>
      </c>
      <c r="G14" s="2905" t="s">
        <v>3402</v>
      </c>
      <c r="H14" s="253">
        <f>SUMIF(84:84,G14,85:85)-SUMIF(84:84,C14,85:85)+100</f>
        <v>100</v>
      </c>
      <c r="I14" s="2905" t="s">
        <v>3402</v>
      </c>
      <c r="J14" s="253">
        <f>SUMIF(84:84,I14,85:85)-SUMIF(84:84,C14,85:85)+100</f>
        <v>100</v>
      </c>
      <c r="K14" s="529"/>
      <c r="L14" s="2131"/>
      <c r="M14" s="2128"/>
      <c r="N14" s="2128"/>
      <c r="O14" s="2133"/>
      <c r="P14" s="3679"/>
      <c r="Q14" s="1148" t="str">
        <f t="shared" si="6"/>
        <v>配建</v>
      </c>
      <c r="R14" s="1563" t="s">
        <v>8</v>
      </c>
      <c r="S14" s="1564">
        <f t="shared" si="0"/>
        <v>100</v>
      </c>
      <c r="T14" s="1563" t="s">
        <v>8</v>
      </c>
      <c r="U14" s="1564">
        <f t="shared" si="1"/>
        <v>100</v>
      </c>
      <c r="V14" s="1563" t="s">
        <v>8</v>
      </c>
      <c r="W14" s="1564">
        <f t="shared" si="2"/>
        <v>100</v>
      </c>
      <c r="X14" s="1565"/>
      <c r="Y14" s="3636"/>
      <c r="Z14" s="1147" t="str">
        <f t="shared" si="7"/>
        <v>配建</v>
      </c>
      <c r="AA14" s="1566">
        <f>D14/F14</f>
        <v>1</v>
      </c>
      <c r="AB14" s="1566">
        <f>D14/H14</f>
        <v>1</v>
      </c>
      <c r="AC14" s="1566">
        <f>D14/J14</f>
        <v>1</v>
      </c>
    </row>
    <row r="15" spans="1:30" ht="20.25">
      <c r="A15" s="2913"/>
      <c r="B15" s="2919" t="s">
        <v>3400</v>
      </c>
      <c r="C15" s="909">
        <v>50129.264000000003</v>
      </c>
      <c r="D15" s="538">
        <v>100</v>
      </c>
      <c r="E15" s="539">
        <v>50619.807999999997</v>
      </c>
      <c r="F15" s="253">
        <f>SUMIF(86:86,E15,87:87)-SUMIF(86:86,C15,87:87)+100</f>
        <v>100</v>
      </c>
      <c r="G15" s="540">
        <v>17218.184000000001</v>
      </c>
      <c r="H15" s="538">
        <f>SUMIF(86:86,G15,87:87)-SUMIF(86:86,C15,87:87)+100</f>
        <v>100</v>
      </c>
      <c r="I15" s="540">
        <v>41689.216</v>
      </c>
      <c r="J15" s="538">
        <f>SUMIF(86:86,I15,87:87)-SUMIF(86:86,C15,87:87)+100</f>
        <v>100</v>
      </c>
      <c r="K15" s="529"/>
      <c r="L15" s="2138"/>
      <c r="M15" s="2128"/>
      <c r="N15" s="2128"/>
      <c r="O15" s="2137"/>
      <c r="P15" s="3679"/>
      <c r="Q15" s="1148" t="str">
        <f t="shared" si="6"/>
        <v>人才公寓面积</v>
      </c>
      <c r="R15" s="1563" t="s">
        <v>8</v>
      </c>
      <c r="S15" s="1564">
        <f t="shared" si="0"/>
        <v>100</v>
      </c>
      <c r="T15" s="1563" t="s">
        <v>8</v>
      </c>
      <c r="U15" s="1564">
        <f t="shared" si="1"/>
        <v>100</v>
      </c>
      <c r="V15" s="1563" t="s">
        <v>8</v>
      </c>
      <c r="W15" s="1564">
        <f t="shared" si="2"/>
        <v>100</v>
      </c>
      <c r="X15" s="1565"/>
      <c r="Y15" s="3636"/>
      <c r="Z15" s="1147" t="str">
        <f t="shared" si="7"/>
        <v>人才公寓面积</v>
      </c>
      <c r="AA15" s="1566">
        <f>D15/F15</f>
        <v>1</v>
      </c>
      <c r="AB15" s="1566">
        <f>D15/H15</f>
        <v>1</v>
      </c>
      <c r="AC15" s="1566">
        <f>D15/J15</f>
        <v>1</v>
      </c>
    </row>
    <row r="16" spans="1:30" ht="21" thickBot="1">
      <c r="A16" s="2914"/>
      <c r="B16" s="2920" t="s">
        <v>3401</v>
      </c>
      <c r="C16" s="912">
        <v>7992</v>
      </c>
      <c r="D16" s="544">
        <v>100</v>
      </c>
      <c r="E16" s="539">
        <v>7992</v>
      </c>
      <c r="F16" s="544">
        <f>SUMIF(88:88,E16,89:89)-SUMIF(88:88,C16,89:89)+100</f>
        <v>100</v>
      </c>
      <c r="G16" s="540">
        <v>7980</v>
      </c>
      <c r="H16" s="544">
        <f>SUMIF(88:88,G16,89:89)-SUMIF(88:88,C16,89:89)+100</f>
        <v>100</v>
      </c>
      <c r="I16" s="540">
        <v>7980</v>
      </c>
      <c r="J16" s="544">
        <f>SUMIF(88:88,I16,89:89)-SUMIF(88:88,C16,89:89)+100</f>
        <v>100</v>
      </c>
      <c r="K16" s="529"/>
      <c r="L16" s="2138"/>
      <c r="M16" s="2128"/>
      <c r="N16" s="2128"/>
      <c r="O16" s="2137"/>
      <c r="P16" s="3679"/>
      <c r="Q16" s="1148" t="str">
        <f t="shared" si="6"/>
        <v>销售均价</v>
      </c>
      <c r="R16" s="1563" t="s">
        <v>8</v>
      </c>
      <c r="S16" s="1564">
        <f t="shared" si="0"/>
        <v>100</v>
      </c>
      <c r="T16" s="1563" t="s">
        <v>8</v>
      </c>
      <c r="U16" s="1564">
        <f t="shared" si="1"/>
        <v>100</v>
      </c>
      <c r="V16" s="1563" t="s">
        <v>8</v>
      </c>
      <c r="W16" s="1564">
        <f t="shared" si="2"/>
        <v>100</v>
      </c>
      <c r="X16" s="1565"/>
      <c r="Y16" s="3636"/>
      <c r="Z16" s="1147" t="str">
        <f t="shared" si="7"/>
        <v>销售均价</v>
      </c>
      <c r="AA16" s="1566">
        <f>D16/F16</f>
        <v>1</v>
      </c>
      <c r="AB16" s="1566">
        <f>D16/H16</f>
        <v>1</v>
      </c>
      <c r="AC16" s="1566">
        <f>D16/J16</f>
        <v>1</v>
      </c>
    </row>
    <row r="17" spans="1:29" ht="99.75">
      <c r="A17" s="2906" t="s">
        <v>2753</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50"/>
      <c r="H17" s="547">
        <f>SUMIF(90:90,G18,91:91)-SUMIF(90:90,C18,91:91)+100</f>
        <v>100</v>
      </c>
      <c r="I17" s="550"/>
      <c r="J17" s="547">
        <f>SUMIF(90:90,I18,91:91)-SUMIF(90:90,C18,91:91)+100</f>
        <v>100</v>
      </c>
      <c r="K17" s="533">
        <v>3</v>
      </c>
      <c r="L17" s="2138"/>
      <c r="M17" s="2128"/>
      <c r="N17" s="2128"/>
      <c r="O17" s="2137"/>
      <c r="P17" s="3681" t="s">
        <v>540</v>
      </c>
      <c r="Q17" s="1567" t="str">
        <f t="shared" si="6"/>
        <v>居住社区成熟度</v>
      </c>
      <c r="R17" s="1568" t="s">
        <v>8</v>
      </c>
      <c r="S17" s="1569">
        <f t="shared" si="0"/>
        <v>100</v>
      </c>
      <c r="T17" s="1568" t="s">
        <v>8</v>
      </c>
      <c r="U17" s="1569">
        <f t="shared" si="1"/>
        <v>100</v>
      </c>
      <c r="V17" s="1568" t="s">
        <v>8</v>
      </c>
      <c r="W17" s="1569">
        <f t="shared" si="2"/>
        <v>100</v>
      </c>
      <c r="X17" s="1562"/>
      <c r="Y17" s="3681" t="s">
        <v>540</v>
      </c>
      <c r="Z17" s="1570" t="str">
        <f t="shared" si="7"/>
        <v>居住社区成熟度</v>
      </c>
      <c r="AA17" s="1571">
        <f t="shared" si="3"/>
        <v>1</v>
      </c>
      <c r="AB17" s="1571">
        <f t="shared" si="4"/>
        <v>1</v>
      </c>
      <c r="AC17" s="1571">
        <f t="shared" si="5"/>
        <v>1</v>
      </c>
    </row>
    <row r="18" spans="1:29" ht="20.25">
      <c r="A18" s="530"/>
      <c r="B18" s="551"/>
      <c r="C18" s="552" t="s">
        <v>3404</v>
      </c>
      <c r="D18" s="555"/>
      <c r="E18" s="556" t="s">
        <v>3404</v>
      </c>
      <c r="F18" s="553"/>
      <c r="G18" s="556" t="s">
        <v>3404</v>
      </c>
      <c r="H18" s="557"/>
      <c r="I18" s="556" t="s">
        <v>3404</v>
      </c>
      <c r="J18" s="553"/>
      <c r="K18" s="529"/>
      <c r="L18" s="2138"/>
      <c r="M18" s="2128"/>
      <c r="N18" s="2128"/>
      <c r="O18" s="2137"/>
      <c r="P18" s="3682"/>
      <c r="Q18" s="1567"/>
      <c r="R18" s="1568"/>
      <c r="S18" s="1569"/>
      <c r="T18" s="1568"/>
      <c r="U18" s="1569"/>
      <c r="V18" s="1568"/>
      <c r="W18" s="1569"/>
      <c r="X18" s="1562"/>
      <c r="Y18" s="3682"/>
      <c r="Z18" s="1570"/>
      <c r="AA18" s="1571">
        <v>1</v>
      </c>
      <c r="AB18" s="1571">
        <v>1</v>
      </c>
      <c r="AC18" s="1571">
        <v>1</v>
      </c>
    </row>
    <row r="19" spans="1:29" ht="71.25">
      <c r="A19" s="530"/>
      <c r="B19" s="558" t="s">
        <v>541</v>
      </c>
      <c r="C19" s="559" t="str">
        <f>估价对象房地状况!C16</f>
        <v>估价对象位于XX商圈，周边商业氛围成熟，人流量大，商业繁华度好</v>
      </c>
      <c r="D19" s="561">
        <v>100</v>
      </c>
      <c r="E19" s="562"/>
      <c r="F19" s="557">
        <f>SUMIF(92:92,E20,93:93)-SUMIF(92:92,C20,93:93)+100</f>
        <v>100</v>
      </c>
      <c r="G19" s="562"/>
      <c r="H19" s="563">
        <f>SUMIF(92:92,G20,93:93)-SUMIF(92:92,C20,93:93)+100</f>
        <v>100</v>
      </c>
      <c r="I19" s="562"/>
      <c r="J19" s="563">
        <f>SUMIF(92:92,I20,93:93)-SUMIF(92:92,C20,93:93)+100</f>
        <v>100</v>
      </c>
      <c r="K19" s="533">
        <v>2</v>
      </c>
      <c r="L19" s="2138"/>
      <c r="M19" s="2128"/>
      <c r="N19" s="2128"/>
      <c r="O19" s="2137"/>
      <c r="P19" s="3682"/>
      <c r="Q19" s="1567" t="str">
        <f>B19</f>
        <v>商业繁华度</v>
      </c>
      <c r="R19" s="1568" t="s">
        <v>8</v>
      </c>
      <c r="S19" s="1569">
        <f>F19</f>
        <v>100</v>
      </c>
      <c r="T19" s="1568" t="s">
        <v>8</v>
      </c>
      <c r="U19" s="1569">
        <f>H19</f>
        <v>100</v>
      </c>
      <c r="V19" s="1568" t="s">
        <v>8</v>
      </c>
      <c r="W19" s="1569">
        <f>J19</f>
        <v>100</v>
      </c>
      <c r="X19" s="1562"/>
      <c r="Y19" s="3682"/>
      <c r="Z19" s="1570" t="str">
        <f>Q19</f>
        <v>商业繁华度</v>
      </c>
      <c r="AA19" s="1571">
        <f t="shared" si="3"/>
        <v>1</v>
      </c>
      <c r="AB19" s="1571">
        <f t="shared" si="4"/>
        <v>1</v>
      </c>
      <c r="AC19" s="1571">
        <f t="shared" si="5"/>
        <v>1</v>
      </c>
    </row>
    <row r="20" spans="1:29" ht="20.25">
      <c r="A20" s="530"/>
      <c r="B20" s="564"/>
      <c r="C20" s="565" t="s">
        <v>3403</v>
      </c>
      <c r="D20" s="561"/>
      <c r="E20" s="567" t="s">
        <v>3403</v>
      </c>
      <c r="F20" s="557"/>
      <c r="G20" s="567" t="s">
        <v>3403</v>
      </c>
      <c r="H20" s="553"/>
      <c r="I20" s="567" t="s">
        <v>3403</v>
      </c>
      <c r="J20" s="553"/>
      <c r="K20" s="529"/>
      <c r="L20" s="2138"/>
      <c r="M20" s="2128"/>
      <c r="N20" s="2128"/>
      <c r="O20" s="2137"/>
      <c r="P20" s="3682"/>
      <c r="Q20" s="1567"/>
      <c r="R20" s="1568"/>
      <c r="S20" s="1569"/>
      <c r="T20" s="1568"/>
      <c r="U20" s="1569"/>
      <c r="V20" s="1568"/>
      <c r="W20" s="1569"/>
      <c r="X20" s="1562"/>
      <c r="Y20" s="3682"/>
      <c r="Z20" s="1570"/>
      <c r="AA20" s="1571">
        <v>1</v>
      </c>
      <c r="AB20" s="1571">
        <v>1</v>
      </c>
      <c r="AC20" s="1571">
        <v>1</v>
      </c>
    </row>
    <row r="21" spans="1:29" ht="71.25" hidden="1">
      <c r="A21" s="530"/>
      <c r="B21" s="558" t="s">
        <v>542</v>
      </c>
      <c r="C21" s="559" t="str">
        <f>估价对象房地状况!C17</f>
        <v>估价对象位于XX商圈，周边办公楼项目较多，入驻率高，办公集聚程度较好</v>
      </c>
      <c r="D21" s="569">
        <v>100</v>
      </c>
      <c r="E21" s="570"/>
      <c r="F21" s="563">
        <f>SUMIF(94:94,E22,95:95)-SUMIF(94:94,C22,95:95)+100</f>
        <v>100</v>
      </c>
      <c r="G21" s="570"/>
      <c r="H21" s="557">
        <f>SUMIF(94:94,G22,95:95)-SUMIF(94:94,C22,95:95)+100</f>
        <v>100</v>
      </c>
      <c r="I21" s="570"/>
      <c r="J21" s="557">
        <f>SUMIF(94:94,I22,95:95)-SUMIF(94:94,C22,95:95)+100</f>
        <v>100</v>
      </c>
      <c r="K21" s="533"/>
      <c r="L21" s="2138"/>
      <c r="M21" s="2128"/>
      <c r="N21" s="2128"/>
      <c r="O21" s="2137"/>
      <c r="P21" s="3682"/>
      <c r="Q21" s="1567" t="str">
        <f>B21</f>
        <v>办公集聚程度</v>
      </c>
      <c r="R21" s="1568" t="s">
        <v>8</v>
      </c>
      <c r="S21" s="1569">
        <f>F21</f>
        <v>100</v>
      </c>
      <c r="T21" s="1568" t="s">
        <v>8</v>
      </c>
      <c r="U21" s="1569">
        <f>H21</f>
        <v>100</v>
      </c>
      <c r="V21" s="1568" t="s">
        <v>8</v>
      </c>
      <c r="W21" s="1569">
        <f>J21</f>
        <v>100</v>
      </c>
      <c r="X21" s="1562"/>
      <c r="Y21" s="3682"/>
      <c r="Z21" s="1570" t="str">
        <f>Q21</f>
        <v>办公集聚程度</v>
      </c>
      <c r="AA21" s="1571">
        <f t="shared" si="3"/>
        <v>1</v>
      </c>
      <c r="AB21" s="1571">
        <f t="shared" si="4"/>
        <v>1</v>
      </c>
      <c r="AC21" s="1571">
        <f t="shared" si="5"/>
        <v>1</v>
      </c>
    </row>
    <row r="22" spans="1:29" ht="20.25" hidden="1">
      <c r="A22" s="530"/>
      <c r="B22" s="564"/>
      <c r="C22" s="552"/>
      <c r="D22" s="555"/>
      <c r="E22" s="556"/>
      <c r="F22" s="553"/>
      <c r="G22" s="556"/>
      <c r="H22" s="553"/>
      <c r="I22" s="556"/>
      <c r="J22" s="553"/>
      <c r="K22" s="529"/>
      <c r="L22" s="2138"/>
      <c r="M22" s="2128"/>
      <c r="N22" s="2128"/>
      <c r="O22" s="2137"/>
      <c r="P22" s="3682"/>
      <c r="Q22" s="1567"/>
      <c r="R22" s="1568"/>
      <c r="S22" s="1569"/>
      <c r="T22" s="1568"/>
      <c r="U22" s="1569"/>
      <c r="V22" s="1568"/>
      <c r="W22" s="1569"/>
      <c r="X22" s="1562"/>
      <c r="Y22" s="3682"/>
      <c r="Z22" s="1570"/>
      <c r="AA22" s="1571">
        <v>1</v>
      </c>
      <c r="AB22" s="1571">
        <v>1</v>
      </c>
      <c r="AC22" s="1571">
        <v>1</v>
      </c>
    </row>
    <row r="23" spans="1:29" ht="85.5">
      <c r="A23" s="530"/>
      <c r="B23" s="558" t="s">
        <v>543</v>
      </c>
      <c r="C23" s="571" t="str">
        <f>估价对象房地状况!C18</f>
        <v>估价对象周边道路状况、公共交通通达情况、停车便捷程度，综合评价交通便捷度较好</v>
      </c>
      <c r="D23" s="561">
        <v>100</v>
      </c>
      <c r="E23" s="562"/>
      <c r="F23" s="563">
        <f>SUMIF(96:96,E24,97:97)-SUMIF(96:96,C24,97:97)+100</f>
        <v>100</v>
      </c>
      <c r="G23" s="562"/>
      <c r="H23" s="557">
        <f>SUMIF(96:96,G24,97:97)-SUMIF(96:96,C24,97:97)+100</f>
        <v>100</v>
      </c>
      <c r="I23" s="562"/>
      <c r="J23" s="557">
        <f>SUMIF(96:96,I24,97:97)-SUMIF(96:96,C24,97:97)+100</f>
        <v>100</v>
      </c>
      <c r="K23" s="533">
        <v>3</v>
      </c>
      <c r="L23" s="2138"/>
      <c r="M23" s="2128"/>
      <c r="N23" s="2128"/>
      <c r="O23" s="2137"/>
      <c r="P23" s="3682"/>
      <c r="Q23" s="1567" t="str">
        <f>B23</f>
        <v>交通便捷度</v>
      </c>
      <c r="R23" s="1568" t="s">
        <v>8</v>
      </c>
      <c r="S23" s="1569">
        <f>F23</f>
        <v>100</v>
      </c>
      <c r="T23" s="1568" t="s">
        <v>8</v>
      </c>
      <c r="U23" s="1569">
        <f>H23</f>
        <v>100</v>
      </c>
      <c r="V23" s="1568" t="s">
        <v>8</v>
      </c>
      <c r="W23" s="1569">
        <f>J23</f>
        <v>100</v>
      </c>
      <c r="X23" s="1562"/>
      <c r="Y23" s="3682"/>
      <c r="Z23" s="1570" t="str">
        <f>Q23</f>
        <v>交通便捷度</v>
      </c>
      <c r="AA23" s="1571">
        <f t="shared" si="3"/>
        <v>1</v>
      </c>
      <c r="AB23" s="1571">
        <f t="shared" si="4"/>
        <v>1</v>
      </c>
      <c r="AC23" s="1571">
        <f t="shared" si="5"/>
        <v>1</v>
      </c>
    </row>
    <row r="24" spans="1:29" ht="20.25">
      <c r="A24" s="530"/>
      <c r="B24" s="576"/>
      <c r="C24" s="552" t="s">
        <v>3404</v>
      </c>
      <c r="D24" s="555"/>
      <c r="E24" s="556" t="s">
        <v>3404</v>
      </c>
      <c r="F24" s="553"/>
      <c r="G24" s="556" t="s">
        <v>3404</v>
      </c>
      <c r="H24" s="553"/>
      <c r="I24" s="556" t="s">
        <v>3404</v>
      </c>
      <c r="J24" s="553"/>
      <c r="K24" s="529"/>
      <c r="L24" s="2138"/>
      <c r="M24" s="2128"/>
      <c r="N24" s="2128"/>
      <c r="O24" s="2137"/>
      <c r="P24" s="3682"/>
      <c r="Q24" s="1567"/>
      <c r="R24" s="1568"/>
      <c r="S24" s="1569"/>
      <c r="T24" s="1568"/>
      <c r="U24" s="1569"/>
      <c r="V24" s="1568"/>
      <c r="W24" s="1569"/>
      <c r="X24" s="1562"/>
      <c r="Y24" s="3682"/>
      <c r="Z24" s="1570"/>
      <c r="AA24" s="1571">
        <v>1</v>
      </c>
      <c r="AB24" s="1571">
        <v>1</v>
      </c>
      <c r="AC24" s="1571">
        <v>1</v>
      </c>
    </row>
    <row r="25" spans="1:29" ht="27">
      <c r="A25" s="513"/>
      <c r="B25" s="257" t="s">
        <v>544</v>
      </c>
      <c r="C25" s="571">
        <f>估价对象房地状况!C19</f>
        <v>0</v>
      </c>
      <c r="D25" s="561">
        <v>100</v>
      </c>
      <c r="E25" s="562"/>
      <c r="F25" s="563">
        <f>SUMIF(98:98,E26,99:99)-SUMIF(98:98,C26,99:99)+100</f>
        <v>100</v>
      </c>
      <c r="G25" s="562"/>
      <c r="H25" s="557">
        <f>SUMIF(98:98,G26,99:99)-SUMIF(98:98,C26,99:99)+100</f>
        <v>100</v>
      </c>
      <c r="I25" s="562"/>
      <c r="J25" s="557">
        <f>SUMIF(98:98,I26,99:99)-SUMIF(98:98,C26,99:99)+100</f>
        <v>100</v>
      </c>
      <c r="K25" s="533">
        <v>5</v>
      </c>
      <c r="L25" s="2138"/>
      <c r="M25" s="2128"/>
      <c r="N25" s="2128"/>
      <c r="O25" s="2137"/>
      <c r="P25" s="3682"/>
      <c r="Q25" s="1567" t="str">
        <f t="shared" ref="Q25:Q39" si="8">B25</f>
        <v>区域土地利用方向</v>
      </c>
      <c r="R25" s="1568" t="s">
        <v>8</v>
      </c>
      <c r="S25" s="1569">
        <f>F25</f>
        <v>100</v>
      </c>
      <c r="T25" s="1568" t="s">
        <v>8</v>
      </c>
      <c r="U25" s="1569">
        <f>H25</f>
        <v>100</v>
      </c>
      <c r="V25" s="1568" t="s">
        <v>8</v>
      </c>
      <c r="W25" s="1569">
        <f>J25</f>
        <v>100</v>
      </c>
      <c r="X25" s="1562"/>
      <c r="Y25" s="3682"/>
      <c r="Z25" s="1570" t="str">
        <f>Q25</f>
        <v>区域土地利用方向</v>
      </c>
      <c r="AA25" s="1571">
        <f t="shared" si="3"/>
        <v>1</v>
      </c>
      <c r="AB25" s="1571">
        <f t="shared" si="4"/>
        <v>1</v>
      </c>
      <c r="AC25" s="1571">
        <f t="shared" si="5"/>
        <v>1</v>
      </c>
    </row>
    <row r="26" spans="1:29" ht="20.25">
      <c r="A26" s="513"/>
      <c r="B26" s="1004"/>
      <c r="C26" s="552" t="s">
        <v>3405</v>
      </c>
      <c r="D26" s="555"/>
      <c r="E26" s="556" t="s">
        <v>3405</v>
      </c>
      <c r="F26" s="553"/>
      <c r="G26" s="556" t="s">
        <v>3405</v>
      </c>
      <c r="H26" s="553"/>
      <c r="I26" s="556" t="s">
        <v>3405</v>
      </c>
      <c r="J26" s="553"/>
      <c r="K26" s="529"/>
      <c r="L26" s="2138"/>
      <c r="M26" s="2128"/>
      <c r="N26" s="2128"/>
      <c r="O26" s="2137"/>
      <c r="P26" s="3682"/>
      <c r="Q26" s="1567"/>
      <c r="R26" s="1568"/>
      <c r="S26" s="1569"/>
      <c r="T26" s="1568"/>
      <c r="U26" s="1569"/>
      <c r="V26" s="1568"/>
      <c r="W26" s="1569"/>
      <c r="X26" s="1562"/>
      <c r="Y26" s="3682"/>
      <c r="Z26" s="1570"/>
      <c r="AA26" s="1571"/>
      <c r="AB26" s="1571"/>
      <c r="AC26" s="1571"/>
    </row>
    <row r="27" spans="1:29" ht="57">
      <c r="A27" s="513"/>
      <c r="B27" s="576" t="s">
        <v>545</v>
      </c>
      <c r="C27" s="559" t="str">
        <f>估价对象房地状况!C20</f>
        <v>区域自然环境：；人文环境；综合评价环境状况一般</v>
      </c>
      <c r="D27" s="561">
        <v>100</v>
      </c>
      <c r="E27" s="562"/>
      <c r="F27" s="557">
        <f>SUMIF(100:100,E28,101:101)-SUMIF(100:100,C28,101:101)+100</f>
        <v>100</v>
      </c>
      <c r="G27" s="562"/>
      <c r="H27" s="557">
        <f>SUMIF(100:100,G28,101:101)-SUMIF(100:100,C28,101:101)+100</f>
        <v>100</v>
      </c>
      <c r="I27" s="562"/>
      <c r="J27" s="557">
        <f>SUMIF(100:100,I28,101:101)-SUMIF(100:100,C28,101:101)+100</f>
        <v>100</v>
      </c>
      <c r="K27" s="533">
        <v>3</v>
      </c>
      <c r="L27" s="2138"/>
      <c r="M27" s="2128"/>
      <c r="N27" s="2128"/>
      <c r="O27" s="2137"/>
      <c r="P27" s="3682"/>
      <c r="Q27" s="1567" t="str">
        <f t="shared" si="8"/>
        <v>自然及人文环境状况</v>
      </c>
      <c r="R27" s="1568" t="s">
        <v>8</v>
      </c>
      <c r="S27" s="1569">
        <f>F27</f>
        <v>100</v>
      </c>
      <c r="T27" s="1568" t="s">
        <v>8</v>
      </c>
      <c r="U27" s="1569">
        <f>H27</f>
        <v>100</v>
      </c>
      <c r="V27" s="1568" t="s">
        <v>8</v>
      </c>
      <c r="W27" s="1569">
        <f>J27</f>
        <v>100</v>
      </c>
      <c r="X27" s="1562"/>
      <c r="Y27" s="3682"/>
      <c r="Z27" s="1570" t="str">
        <f>Q27</f>
        <v>自然及人文环境状况</v>
      </c>
      <c r="AA27" s="1571">
        <f t="shared" si="3"/>
        <v>1</v>
      </c>
      <c r="AB27" s="1571">
        <f t="shared" si="4"/>
        <v>1</v>
      </c>
      <c r="AC27" s="1571">
        <f t="shared" si="5"/>
        <v>1</v>
      </c>
    </row>
    <row r="28" spans="1:29" ht="20.25">
      <c r="A28" s="513"/>
      <c r="B28" s="564"/>
      <c r="C28" s="552" t="s">
        <v>3405</v>
      </c>
      <c r="D28" s="555"/>
      <c r="E28" s="574" t="s">
        <v>3405</v>
      </c>
      <c r="F28" s="553"/>
      <c r="G28" s="574" t="s">
        <v>3405</v>
      </c>
      <c r="H28" s="553"/>
      <c r="I28" s="574" t="s">
        <v>3405</v>
      </c>
      <c r="J28" s="553"/>
      <c r="K28" s="529"/>
      <c r="L28" s="2138"/>
      <c r="M28" s="2128"/>
      <c r="N28" s="2128"/>
      <c r="O28" s="2137"/>
      <c r="P28" s="3682"/>
      <c r="Q28" s="1567"/>
      <c r="R28" s="1568"/>
      <c r="S28" s="1569"/>
      <c r="T28" s="1568"/>
      <c r="U28" s="1569"/>
      <c r="V28" s="1568"/>
      <c r="W28" s="1569"/>
      <c r="X28" s="1562"/>
      <c r="Y28" s="3682"/>
      <c r="Z28" s="1570"/>
      <c r="AA28" s="1571">
        <v>1</v>
      </c>
      <c r="AB28" s="1571">
        <v>1</v>
      </c>
      <c r="AC28" s="1571">
        <v>1</v>
      </c>
    </row>
    <row r="29" spans="1:29" s="1217" customFormat="1" ht="42.75">
      <c r="A29" s="575"/>
      <c r="B29" s="2587" t="s">
        <v>2548</v>
      </c>
      <c r="C29" s="571" t="str">
        <f>估价对象房地状况!C21</f>
        <v>估价对象所在区域公共配套设施齐备情况</v>
      </c>
      <c r="D29" s="561">
        <v>100</v>
      </c>
      <c r="E29" s="562"/>
      <c r="F29" s="557">
        <f>SUMIF(102:102,E30,103:103)-SUMIF(102:102,C30,103:103)+100</f>
        <v>100</v>
      </c>
      <c r="G29" s="562"/>
      <c r="H29" s="557">
        <f>SUMIF(102:102,G30,103:103)-SUMIF(102:102,C30,103:103)+100</f>
        <v>100</v>
      </c>
      <c r="I29" s="562"/>
      <c r="J29" s="557">
        <f>SUMIF(102:102,I30,103:103)-SUMIF(102:102,C30,103:103)+100</f>
        <v>100</v>
      </c>
      <c r="K29" s="533">
        <v>3</v>
      </c>
      <c r="L29" s="2131"/>
      <c r="M29" s="2128"/>
      <c r="N29" s="2128"/>
      <c r="O29" s="2133"/>
      <c r="P29" s="3682"/>
      <c r="Q29" s="1148" t="str">
        <f t="shared" si="8"/>
        <v>公共配套设施</v>
      </c>
      <c r="R29" s="1563" t="s">
        <v>8</v>
      </c>
      <c r="S29" s="1564">
        <f>F29</f>
        <v>100</v>
      </c>
      <c r="T29" s="1563" t="s">
        <v>8</v>
      </c>
      <c r="U29" s="1564">
        <f>H29</f>
        <v>100</v>
      </c>
      <c r="V29" s="1563" t="s">
        <v>8</v>
      </c>
      <c r="W29" s="1564">
        <f>J29</f>
        <v>100</v>
      </c>
      <c r="X29" s="1565"/>
      <c r="Y29" s="3682"/>
      <c r="Z29" s="1147" t="str">
        <f>Q29</f>
        <v>公共配套设施</v>
      </c>
      <c r="AA29" s="1571">
        <f>D29/F29</f>
        <v>1</v>
      </c>
      <c r="AB29" s="1571">
        <f>D29/H29</f>
        <v>1</v>
      </c>
      <c r="AC29" s="1571">
        <f>D29/J29</f>
        <v>1</v>
      </c>
    </row>
    <row r="30" spans="1:29" s="1217" customFormat="1" ht="20.25">
      <c r="A30" s="575"/>
      <c r="B30" s="564"/>
      <c r="C30" s="577" t="s">
        <v>3404</v>
      </c>
      <c r="D30" s="555"/>
      <c r="E30" s="574" t="s">
        <v>3404</v>
      </c>
      <c r="F30" s="553"/>
      <c r="G30" s="574" t="s">
        <v>3404</v>
      </c>
      <c r="H30" s="553"/>
      <c r="I30" s="574" t="s">
        <v>3404</v>
      </c>
      <c r="J30" s="553"/>
      <c r="K30" s="529"/>
      <c r="L30" s="2131"/>
      <c r="M30" s="2128"/>
      <c r="N30" s="2128"/>
      <c r="O30" s="2133"/>
      <c r="P30" s="3682"/>
      <c r="Q30" s="1148"/>
      <c r="R30" s="1563"/>
      <c r="S30" s="1564"/>
      <c r="T30" s="1563"/>
      <c r="U30" s="1564"/>
      <c r="V30" s="1563"/>
      <c r="W30" s="1564"/>
      <c r="X30" s="1565"/>
      <c r="Y30" s="3682"/>
      <c r="Z30" s="1147"/>
      <c r="AA30" s="1571">
        <v>1</v>
      </c>
      <c r="AB30" s="1571">
        <v>1</v>
      </c>
      <c r="AC30" s="1571">
        <v>1</v>
      </c>
    </row>
    <row r="31" spans="1:29" s="1217" customFormat="1" ht="28.5">
      <c r="A31" s="575"/>
      <c r="B31" s="2587" t="s">
        <v>2549</v>
      </c>
      <c r="C31" s="571" t="str">
        <f>估价对象房地状况!C22</f>
        <v>估价对象所在区域基础设施水平</v>
      </c>
      <c r="D31" s="561">
        <v>100</v>
      </c>
      <c r="E31" s="562"/>
      <c r="F31" s="557">
        <f>SUMIF(104:104,E32,105:105)-SUMIF(104:104,C32,105:105)+100</f>
        <v>100</v>
      </c>
      <c r="G31" s="562"/>
      <c r="H31" s="557">
        <f>SUMIF(104:104,G32,105:105)-SUMIF(104:104,C32,105:105)+100</f>
        <v>100</v>
      </c>
      <c r="I31" s="562"/>
      <c r="J31" s="557">
        <f>SUMIF(104:104,I32,105:105)-SUMIF(104:104,C32,105:105)+100</f>
        <v>100</v>
      </c>
      <c r="K31" s="533">
        <v>2</v>
      </c>
      <c r="L31" s="2131"/>
      <c r="M31" s="2128"/>
      <c r="N31" s="2128"/>
      <c r="O31" s="2133"/>
      <c r="P31" s="3682"/>
      <c r="Q31" s="2574" t="str">
        <f t="shared" ref="Q31" si="9">B31</f>
        <v>基础设施水平</v>
      </c>
      <c r="R31" s="1563" t="s">
        <v>8</v>
      </c>
      <c r="S31" s="1564">
        <f>F31</f>
        <v>100</v>
      </c>
      <c r="T31" s="1563" t="s">
        <v>8</v>
      </c>
      <c r="U31" s="1564">
        <f>H31</f>
        <v>100</v>
      </c>
      <c r="V31" s="1563" t="s">
        <v>8</v>
      </c>
      <c r="W31" s="1564">
        <f>J31</f>
        <v>100</v>
      </c>
      <c r="X31" s="1565"/>
      <c r="Y31" s="3682"/>
      <c r="Z31" s="2571" t="str">
        <f>Q31</f>
        <v>基础设施水平</v>
      </c>
      <c r="AA31" s="1571">
        <f>D31/F31</f>
        <v>1</v>
      </c>
      <c r="AB31" s="1571">
        <f>D31/H31</f>
        <v>1</v>
      </c>
      <c r="AC31" s="1571">
        <f>D31/J31</f>
        <v>1</v>
      </c>
    </row>
    <row r="32" spans="1:29" s="1217" customFormat="1" ht="20.25">
      <c r="A32" s="575"/>
      <c r="B32" s="564"/>
      <c r="C32" s="577" t="s">
        <v>3406</v>
      </c>
      <c r="D32" s="555"/>
      <c r="E32" s="2588" t="s">
        <v>3406</v>
      </c>
      <c r="F32" s="553"/>
      <c r="G32" s="2588" t="s">
        <v>3406</v>
      </c>
      <c r="H32" s="553"/>
      <c r="I32" s="2588" t="s">
        <v>3406</v>
      </c>
      <c r="J32" s="553"/>
      <c r="K32" s="529"/>
      <c r="L32" s="2131"/>
      <c r="M32" s="2128"/>
      <c r="N32" s="2128"/>
      <c r="O32" s="2133"/>
      <c r="P32" s="3682"/>
      <c r="Q32" s="2574"/>
      <c r="R32" s="1563"/>
      <c r="S32" s="1564"/>
      <c r="T32" s="1563"/>
      <c r="U32" s="1564"/>
      <c r="V32" s="1563"/>
      <c r="W32" s="1564"/>
      <c r="X32" s="1565"/>
      <c r="Y32" s="3682"/>
      <c r="Z32" s="2571"/>
      <c r="AA32" s="1571">
        <v>1</v>
      </c>
      <c r="AB32" s="1571">
        <v>1</v>
      </c>
      <c r="AC32" s="1571">
        <v>1</v>
      </c>
    </row>
    <row r="33" spans="1:29" ht="20.25" hidden="1">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38"/>
      <c r="M33" s="2128"/>
      <c r="N33" s="2128"/>
      <c r="O33" s="2137"/>
      <c r="P33" s="3682"/>
      <c r="Q33" s="1567" t="str">
        <f t="shared" si="8"/>
        <v>临街状况</v>
      </c>
      <c r="R33" s="1568" t="s">
        <v>8</v>
      </c>
      <c r="S33" s="1569">
        <f t="shared" ref="S33:S47" si="10">F33</f>
        <v>100</v>
      </c>
      <c r="T33" s="1568" t="s">
        <v>8</v>
      </c>
      <c r="U33" s="1569">
        <f t="shared" ref="U33:U47" si="11">H33</f>
        <v>100</v>
      </c>
      <c r="V33" s="1568" t="s">
        <v>8</v>
      </c>
      <c r="W33" s="1569">
        <f t="shared" ref="W33:W47" si="12">J33</f>
        <v>100</v>
      </c>
      <c r="X33" s="1562"/>
      <c r="Y33" s="3682"/>
      <c r="Z33" s="1570" t="str">
        <f t="shared" ref="Z33:Z47" si="13">Q33</f>
        <v>临街状况</v>
      </c>
      <c r="AA33" s="1571">
        <f t="shared" si="3"/>
        <v>1</v>
      </c>
      <c r="AB33" s="1571">
        <f t="shared" si="4"/>
        <v>1</v>
      </c>
      <c r="AC33" s="1571">
        <f t="shared" si="5"/>
        <v>1</v>
      </c>
    </row>
    <row r="34" spans="1:29" ht="27">
      <c r="A34" s="530"/>
      <c r="B34" s="576" t="s">
        <v>548</v>
      </c>
      <c r="C34" s="3383" t="s">
        <v>3414</v>
      </c>
      <c r="D34" s="561">
        <v>100</v>
      </c>
      <c r="E34" s="3385" t="s">
        <v>3415</v>
      </c>
      <c r="F34" s="557">
        <f>SUMIF(108:108,E35,109:109)-SUMIF(108:108,C35,109:109)+100</f>
        <v>100</v>
      </c>
      <c r="G34" s="3383" t="s">
        <v>3416</v>
      </c>
      <c r="H34" s="557">
        <f>SUMIF(108:108,G35,109:109)-SUMIF(108:108,C35,109:109)+100</f>
        <v>100</v>
      </c>
      <c r="I34" s="3383" t="s">
        <v>3416</v>
      </c>
      <c r="J34" s="557">
        <f>SUMIF(108:108,I35,109:109)-SUMIF(108:108,C35,109:109)+100</f>
        <v>100</v>
      </c>
      <c r="K34" s="533">
        <v>2</v>
      </c>
      <c r="L34" s="2138"/>
      <c r="M34" s="2128"/>
      <c r="N34" s="2128"/>
      <c r="O34" s="2137"/>
      <c r="P34" s="3682"/>
      <c r="Q34" s="1567" t="str">
        <f t="shared" si="8"/>
        <v>毗邻道路的类型与等级</v>
      </c>
      <c r="R34" s="1568" t="s">
        <v>8</v>
      </c>
      <c r="S34" s="1569">
        <f t="shared" si="10"/>
        <v>100</v>
      </c>
      <c r="T34" s="1568" t="s">
        <v>8</v>
      </c>
      <c r="U34" s="1569">
        <f t="shared" si="11"/>
        <v>100</v>
      </c>
      <c r="V34" s="1568" t="s">
        <v>8</v>
      </c>
      <c r="W34" s="1569">
        <f t="shared" si="12"/>
        <v>100</v>
      </c>
      <c r="X34" s="1562"/>
      <c r="Y34" s="3682"/>
      <c r="Z34" s="1570" t="str">
        <f t="shared" si="13"/>
        <v>毗邻道路的类型与等级</v>
      </c>
      <c r="AA34" s="1571">
        <f t="shared" si="3"/>
        <v>1</v>
      </c>
      <c r="AB34" s="1571">
        <f t="shared" si="4"/>
        <v>1</v>
      </c>
      <c r="AC34" s="1571">
        <f t="shared" si="5"/>
        <v>1</v>
      </c>
    </row>
    <row r="35" spans="1:29" ht="21" thickBot="1">
      <c r="A35" s="530"/>
      <c r="B35" s="564"/>
      <c r="C35" s="3384" t="s">
        <v>3407</v>
      </c>
      <c r="D35" s="555"/>
      <c r="E35" s="3386" t="s">
        <v>3407</v>
      </c>
      <c r="F35" s="553"/>
      <c r="G35" s="3384" t="s">
        <v>3407</v>
      </c>
      <c r="H35" s="553"/>
      <c r="I35" s="3384" t="s">
        <v>3407</v>
      </c>
      <c r="J35" s="553"/>
      <c r="K35" s="579"/>
      <c r="L35" s="2138"/>
      <c r="M35" s="2128"/>
      <c r="N35" s="2128"/>
      <c r="O35" s="2137"/>
      <c r="P35" s="3682"/>
      <c r="Q35" s="1567"/>
      <c r="R35" s="1568"/>
      <c r="S35" s="1569"/>
      <c r="T35" s="1568"/>
      <c r="U35" s="1569"/>
      <c r="V35" s="1568"/>
      <c r="W35" s="1569"/>
      <c r="X35" s="1562"/>
      <c r="Y35" s="3682"/>
      <c r="Z35" s="1570"/>
      <c r="AA35" s="1571">
        <v>1</v>
      </c>
      <c r="AB35" s="1571">
        <v>1</v>
      </c>
      <c r="AC35" s="1571">
        <v>1</v>
      </c>
    </row>
    <row r="36" spans="1:29" ht="20.25"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38"/>
      <c r="M36" s="2128"/>
      <c r="N36" s="2128"/>
      <c r="O36" s="2137"/>
      <c r="P36" s="3682"/>
      <c r="Q36" s="1567" t="str">
        <f t="shared" si="8"/>
        <v>土地级别</v>
      </c>
      <c r="R36" s="1568" t="s">
        <v>8</v>
      </c>
      <c r="S36" s="1569">
        <f t="shared" si="10"/>
        <v>100</v>
      </c>
      <c r="T36" s="1568" t="s">
        <v>8</v>
      </c>
      <c r="U36" s="1569">
        <f t="shared" si="11"/>
        <v>100</v>
      </c>
      <c r="V36" s="1568" t="s">
        <v>8</v>
      </c>
      <c r="W36" s="1569">
        <f t="shared" si="12"/>
        <v>100</v>
      </c>
      <c r="X36" s="1562"/>
      <c r="Y36" s="3682"/>
      <c r="Z36" s="1570" t="str">
        <f t="shared" si="13"/>
        <v>土地级别</v>
      </c>
      <c r="AA36" s="1571">
        <f t="shared" si="3"/>
        <v>1</v>
      </c>
      <c r="AB36" s="1571">
        <f t="shared" si="4"/>
        <v>1</v>
      </c>
      <c r="AC36" s="1571">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38"/>
      <c r="M37" s="2128"/>
      <c r="N37" s="2128"/>
      <c r="O37" s="2137"/>
      <c r="P37" s="3682"/>
      <c r="Q37" s="1567">
        <f t="shared" si="8"/>
        <v>111</v>
      </c>
      <c r="R37" s="1568" t="s">
        <v>8</v>
      </c>
      <c r="S37" s="1569">
        <f t="shared" si="10"/>
        <v>100</v>
      </c>
      <c r="T37" s="1568" t="s">
        <v>8</v>
      </c>
      <c r="U37" s="1569">
        <f t="shared" si="11"/>
        <v>100</v>
      </c>
      <c r="V37" s="1568" t="s">
        <v>8</v>
      </c>
      <c r="W37" s="1569">
        <f t="shared" si="12"/>
        <v>100</v>
      </c>
      <c r="X37" s="1562"/>
      <c r="Y37" s="3682"/>
      <c r="Z37" s="1570">
        <f t="shared" si="13"/>
        <v>111</v>
      </c>
      <c r="AA37" s="1571">
        <f t="shared" si="3"/>
        <v>1</v>
      </c>
      <c r="AB37" s="1571">
        <f t="shared" si="4"/>
        <v>1</v>
      </c>
      <c r="AC37" s="1571">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38"/>
      <c r="M38" s="2128"/>
      <c r="N38" s="2128"/>
      <c r="O38" s="2137"/>
      <c r="P38" s="3683" t="s">
        <v>550</v>
      </c>
      <c r="Q38" s="1567">
        <f t="shared" si="8"/>
        <v>111</v>
      </c>
      <c r="R38" s="1568" t="s">
        <v>8</v>
      </c>
      <c r="S38" s="1569">
        <f t="shared" si="10"/>
        <v>100</v>
      </c>
      <c r="T38" s="1568" t="s">
        <v>8</v>
      </c>
      <c r="U38" s="1569">
        <f t="shared" si="11"/>
        <v>100</v>
      </c>
      <c r="V38" s="1568" t="s">
        <v>8</v>
      </c>
      <c r="W38" s="1569">
        <f t="shared" si="12"/>
        <v>100</v>
      </c>
      <c r="X38" s="1562"/>
      <c r="Y38" s="3684" t="s">
        <v>550</v>
      </c>
      <c r="Z38" s="1570">
        <f t="shared" si="13"/>
        <v>111</v>
      </c>
      <c r="AA38" s="1571">
        <f t="shared" si="3"/>
        <v>1</v>
      </c>
      <c r="AB38" s="1571">
        <f t="shared" si="4"/>
        <v>1</v>
      </c>
      <c r="AC38" s="1571">
        <f t="shared" si="5"/>
        <v>1</v>
      </c>
    </row>
    <row r="39" spans="1:29" s="1336"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6"/>
      <c r="M39" s="2128"/>
      <c r="N39" s="2128"/>
      <c r="O39" s="2139"/>
      <c r="P39" s="3684"/>
      <c r="Q39" s="1567">
        <f t="shared" si="8"/>
        <v>111</v>
      </c>
      <c r="R39" s="1572" t="s">
        <v>8</v>
      </c>
      <c r="S39" s="1573">
        <f t="shared" si="10"/>
        <v>100</v>
      </c>
      <c r="T39" s="1572" t="s">
        <v>8</v>
      </c>
      <c r="U39" s="1573">
        <f t="shared" si="11"/>
        <v>100</v>
      </c>
      <c r="V39" s="1572" t="s">
        <v>8</v>
      </c>
      <c r="W39" s="1573">
        <f t="shared" si="12"/>
        <v>100</v>
      </c>
      <c r="X39" s="1574"/>
      <c r="Y39" s="3684"/>
      <c r="Z39" s="1575">
        <f t="shared" si="13"/>
        <v>111</v>
      </c>
      <c r="AA39" s="1571">
        <f t="shared" si="3"/>
        <v>1</v>
      </c>
      <c r="AB39" s="1571">
        <f t="shared" si="4"/>
        <v>1</v>
      </c>
      <c r="AC39" s="1571">
        <f t="shared" si="5"/>
        <v>1</v>
      </c>
    </row>
    <row r="40" spans="1:29" ht="20.25">
      <c r="A40" s="2903" t="s">
        <v>2754</v>
      </c>
      <c r="B40" s="593" t="s">
        <v>552</v>
      </c>
      <c r="C40" s="594">
        <f>'数据-汇总表'!D3</f>
        <v>72846.2</v>
      </c>
      <c r="D40" s="595">
        <v>100</v>
      </c>
      <c r="E40" s="594">
        <f>土地案例1!I2</f>
        <v>72416.399999999994</v>
      </c>
      <c r="F40" s="595">
        <f>LOOKUP(E40,119:119,120:120)-LOOKUP(C40,119:119,120:120)+100</f>
        <v>100</v>
      </c>
      <c r="G40" s="594">
        <f>土地案例1!I5</f>
        <v>24219.7</v>
      </c>
      <c r="H40" s="595">
        <f>LOOKUP(G40,119:119,120:120)-LOOKUP(C40,119:119,120:120)+100</f>
        <v>100</v>
      </c>
      <c r="I40" s="596">
        <f>土地案例1!I6</f>
        <v>61512.800000000003</v>
      </c>
      <c r="J40" s="595">
        <f>LOOKUP(I40,119:119,120:120)-LOOKUP(C40,119:119,120:120)+100</f>
        <v>100</v>
      </c>
      <c r="K40" s="579"/>
      <c r="L40" s="2138"/>
      <c r="M40" s="2128"/>
      <c r="N40" s="2128"/>
      <c r="O40" s="2137"/>
      <c r="P40" s="3684"/>
      <c r="Q40" s="1567" t="str">
        <f>B40</f>
        <v>宗地面积</v>
      </c>
      <c r="R40" s="1568" t="s">
        <v>8</v>
      </c>
      <c r="S40" s="1569">
        <f t="shared" si="10"/>
        <v>100</v>
      </c>
      <c r="T40" s="1568" t="s">
        <v>8</v>
      </c>
      <c r="U40" s="1569">
        <f t="shared" si="11"/>
        <v>100</v>
      </c>
      <c r="V40" s="1568" t="s">
        <v>8</v>
      </c>
      <c r="W40" s="1569">
        <f t="shared" si="12"/>
        <v>100</v>
      </c>
      <c r="X40" s="1562"/>
      <c r="Y40" s="3684"/>
      <c r="Z40" s="1570" t="str">
        <f t="shared" si="13"/>
        <v>宗地面积</v>
      </c>
      <c r="AA40" s="1571">
        <f t="shared" si="3"/>
        <v>1</v>
      </c>
      <c r="AB40" s="1571">
        <f t="shared" si="4"/>
        <v>1</v>
      </c>
      <c r="AC40" s="1571">
        <f t="shared" si="5"/>
        <v>1</v>
      </c>
    </row>
    <row r="41" spans="1:29" ht="20.25">
      <c r="A41" s="592"/>
      <c r="B41" s="525" t="s">
        <v>553</v>
      </c>
      <c r="C41" s="597" t="s">
        <v>3409</v>
      </c>
      <c r="D41" s="538">
        <v>100</v>
      </c>
      <c r="E41" s="597" t="s">
        <v>3409</v>
      </c>
      <c r="F41" s="538">
        <f>SUMIF(121:121,E41,122:122)-SUMIF(121:121,C41,122:122)+100</f>
        <v>100</v>
      </c>
      <c r="G41" s="597" t="s">
        <v>3409</v>
      </c>
      <c r="H41" s="538">
        <f>SUMIF(121:121,G41,122:122)-SUMIF(121:121,C41,122:122)+100</f>
        <v>100</v>
      </c>
      <c r="I41" s="597" t="s">
        <v>3409</v>
      </c>
      <c r="J41" s="538">
        <f>SUMIF(121:121,I41,122:122)-SUMIF(121:121,C41,122:122)+100</f>
        <v>100</v>
      </c>
      <c r="K41" s="582">
        <v>2</v>
      </c>
      <c r="L41" s="2138"/>
      <c r="M41" s="2128"/>
      <c r="N41" s="2128"/>
      <c r="O41" s="2137"/>
      <c r="P41" s="3684"/>
      <c r="Q41" s="1567" t="str">
        <f t="shared" ref="Q41:Q47" si="14">B41</f>
        <v>宗地形状</v>
      </c>
      <c r="R41" s="1568" t="s">
        <v>8</v>
      </c>
      <c r="S41" s="1569">
        <f t="shared" si="10"/>
        <v>100</v>
      </c>
      <c r="T41" s="1568" t="s">
        <v>8</v>
      </c>
      <c r="U41" s="1569">
        <f t="shared" si="11"/>
        <v>100</v>
      </c>
      <c r="V41" s="1568" t="s">
        <v>8</v>
      </c>
      <c r="W41" s="1569">
        <f t="shared" si="12"/>
        <v>100</v>
      </c>
      <c r="X41" s="1562"/>
      <c r="Y41" s="3684"/>
      <c r="Z41" s="1570" t="str">
        <f t="shared" si="13"/>
        <v>宗地形状</v>
      </c>
      <c r="AA41" s="1571">
        <f t="shared" si="3"/>
        <v>1</v>
      </c>
      <c r="AB41" s="1571">
        <f t="shared" si="4"/>
        <v>1</v>
      </c>
      <c r="AC41" s="1571">
        <f t="shared" si="5"/>
        <v>1</v>
      </c>
    </row>
    <row r="42" spans="1:29" ht="20.25" hidden="1">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38"/>
      <c r="M42" s="2128"/>
      <c r="N42" s="2128"/>
      <c r="O42" s="2137"/>
      <c r="P42" s="3684"/>
      <c r="Q42" s="1567" t="str">
        <f t="shared" si="14"/>
        <v>临街宽度及深度</v>
      </c>
      <c r="R42" s="1568" t="s">
        <v>8</v>
      </c>
      <c r="S42" s="1569">
        <f t="shared" si="10"/>
        <v>100</v>
      </c>
      <c r="T42" s="1568" t="s">
        <v>8</v>
      </c>
      <c r="U42" s="1569">
        <f t="shared" si="11"/>
        <v>100</v>
      </c>
      <c r="V42" s="1568" t="s">
        <v>8</v>
      </c>
      <c r="W42" s="1569">
        <f t="shared" si="12"/>
        <v>100</v>
      </c>
      <c r="X42" s="1562"/>
      <c r="Y42" s="3684"/>
      <c r="Z42" s="1570" t="str">
        <f t="shared" si="13"/>
        <v>临街宽度及深度</v>
      </c>
      <c r="AA42" s="1571">
        <f t="shared" si="3"/>
        <v>1</v>
      </c>
      <c r="AB42" s="1571">
        <f t="shared" si="4"/>
        <v>1</v>
      </c>
      <c r="AC42" s="1571">
        <f t="shared" si="5"/>
        <v>1</v>
      </c>
    </row>
    <row r="43" spans="1:29" s="1217" customFormat="1" ht="20.25">
      <c r="A43" s="598"/>
      <c r="B43" s="1891" t="s">
        <v>2424</v>
      </c>
      <c r="C43" s="599" t="s">
        <v>3411</v>
      </c>
      <c r="D43" s="253">
        <v>100</v>
      </c>
      <c r="E43" s="599" t="s">
        <v>3411</v>
      </c>
      <c r="F43" s="538">
        <f>SUMIF(125:125,E43,126:126)-SUMIF(125:125,C43,126:126)+100</f>
        <v>100</v>
      </c>
      <c r="G43" s="599" t="s">
        <v>3411</v>
      </c>
      <c r="H43" s="538">
        <f>SUMIF(125:125,G43,126:126)-SUMIF(125:125,C43,126:126)+100</f>
        <v>100</v>
      </c>
      <c r="I43" s="599" t="s">
        <v>3411</v>
      </c>
      <c r="J43" s="538">
        <f>SUMIF(125:125,I43,126:126)-SUMIF(125:125,C43,126:126)+100</f>
        <v>100</v>
      </c>
      <c r="K43" s="582">
        <v>2</v>
      </c>
      <c r="L43" s="2131"/>
      <c r="M43" s="2128"/>
      <c r="N43" s="2128"/>
      <c r="O43" s="2133"/>
      <c r="P43" s="3684"/>
      <c r="Q43" s="1567" t="str">
        <f t="shared" si="14"/>
        <v>宗地开发程度</v>
      </c>
      <c r="R43" s="1563" t="s">
        <v>8</v>
      </c>
      <c r="S43" s="1564">
        <f t="shared" si="10"/>
        <v>100</v>
      </c>
      <c r="T43" s="1563" t="s">
        <v>8</v>
      </c>
      <c r="U43" s="1564">
        <f t="shared" si="11"/>
        <v>100</v>
      </c>
      <c r="V43" s="1563" t="s">
        <v>8</v>
      </c>
      <c r="W43" s="1564">
        <f t="shared" si="12"/>
        <v>100</v>
      </c>
      <c r="X43" s="1565"/>
      <c r="Y43" s="3684"/>
      <c r="Z43" s="1147" t="str">
        <f t="shared" si="13"/>
        <v>宗地开发程度</v>
      </c>
      <c r="AA43" s="1566">
        <f t="shared" si="3"/>
        <v>1</v>
      </c>
      <c r="AB43" s="1566">
        <f t="shared" si="4"/>
        <v>1</v>
      </c>
      <c r="AC43" s="1566">
        <f t="shared" si="5"/>
        <v>1</v>
      </c>
    </row>
    <row r="44" spans="1:29" ht="21" thickBot="1">
      <c r="A44" s="592"/>
      <c r="B44" s="525" t="s">
        <v>555</v>
      </c>
      <c r="C44" s="597" t="s">
        <v>3405</v>
      </c>
      <c r="D44" s="538">
        <v>100</v>
      </c>
      <c r="E44" s="597" t="s">
        <v>3405</v>
      </c>
      <c r="F44" s="538">
        <f>SUMIF(127:127,E44,128:128)-SUMIF(127:127,C44,128:128)+100</f>
        <v>100</v>
      </c>
      <c r="G44" s="597" t="s">
        <v>3405</v>
      </c>
      <c r="H44" s="538">
        <f>SUMIF(127:127,G44,128:128)-SUMIF(127:127,C44,128:128)+100</f>
        <v>100</v>
      </c>
      <c r="I44" s="597" t="s">
        <v>3405</v>
      </c>
      <c r="J44" s="538">
        <f>SUMIF(127:127,I44,128:128)-SUMIF(127:127,C44,128:128)+100</f>
        <v>100</v>
      </c>
      <c r="K44" s="582">
        <v>2</v>
      </c>
      <c r="L44" s="2138"/>
      <c r="M44" s="2128"/>
      <c r="N44" s="2128"/>
      <c r="O44" s="2137"/>
      <c r="P44" s="3684" t="s">
        <v>550</v>
      </c>
      <c r="Q44" s="1567" t="str">
        <f t="shared" si="14"/>
        <v>工程地质条件</v>
      </c>
      <c r="R44" s="1568" t="s">
        <v>8</v>
      </c>
      <c r="S44" s="1569">
        <f t="shared" si="10"/>
        <v>100</v>
      </c>
      <c r="T44" s="1568" t="s">
        <v>8</v>
      </c>
      <c r="U44" s="1569">
        <f t="shared" si="11"/>
        <v>100</v>
      </c>
      <c r="V44" s="1568" t="s">
        <v>8</v>
      </c>
      <c r="W44" s="1569">
        <f t="shared" si="12"/>
        <v>100</v>
      </c>
      <c r="X44" s="1562"/>
      <c r="Y44" s="3684" t="s">
        <v>550</v>
      </c>
      <c r="Z44" s="1570" t="str">
        <f t="shared" si="13"/>
        <v>工程地质条件</v>
      </c>
      <c r="AA44" s="1571">
        <f t="shared" si="3"/>
        <v>1</v>
      </c>
      <c r="AB44" s="1571">
        <f t="shared" si="4"/>
        <v>1</v>
      </c>
      <c r="AC44" s="1571">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38"/>
      <c r="M45" s="2128"/>
      <c r="N45" s="2128"/>
      <c r="O45" s="2137"/>
      <c r="P45" s="3684"/>
      <c r="Q45" s="1567">
        <f t="shared" si="14"/>
        <v>111</v>
      </c>
      <c r="R45" s="1568" t="s">
        <v>8</v>
      </c>
      <c r="S45" s="1569">
        <f t="shared" si="10"/>
        <v>100</v>
      </c>
      <c r="T45" s="1568" t="s">
        <v>8</v>
      </c>
      <c r="U45" s="1569">
        <f t="shared" si="11"/>
        <v>100</v>
      </c>
      <c r="V45" s="1568" t="s">
        <v>8</v>
      </c>
      <c r="W45" s="1569">
        <f t="shared" si="12"/>
        <v>100</v>
      </c>
      <c r="X45" s="1562"/>
      <c r="Y45" s="3684"/>
      <c r="Z45" s="1570">
        <f t="shared" si="13"/>
        <v>111</v>
      </c>
      <c r="AA45" s="1571">
        <f t="shared" si="3"/>
        <v>1</v>
      </c>
      <c r="AB45" s="1571">
        <f t="shared" si="4"/>
        <v>1</v>
      </c>
      <c r="AC45" s="1571">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38"/>
      <c r="M46" s="2128"/>
      <c r="N46" s="2128"/>
      <c r="O46" s="2137"/>
      <c r="P46" s="3684"/>
      <c r="Q46" s="1567">
        <f t="shared" si="14"/>
        <v>111</v>
      </c>
      <c r="R46" s="1568" t="s">
        <v>8</v>
      </c>
      <c r="S46" s="1569">
        <f t="shared" si="10"/>
        <v>100</v>
      </c>
      <c r="T46" s="1568" t="s">
        <v>8</v>
      </c>
      <c r="U46" s="1569">
        <f t="shared" si="11"/>
        <v>100</v>
      </c>
      <c r="V46" s="1568" t="s">
        <v>8</v>
      </c>
      <c r="W46" s="1569">
        <f t="shared" si="12"/>
        <v>100</v>
      </c>
      <c r="X46" s="1562"/>
      <c r="Y46" s="3684"/>
      <c r="Z46" s="1570">
        <f t="shared" si="13"/>
        <v>111</v>
      </c>
      <c r="AA46" s="1571">
        <f t="shared" si="3"/>
        <v>1</v>
      </c>
      <c r="AB46" s="1571">
        <f t="shared" si="4"/>
        <v>1</v>
      </c>
      <c r="AC46" s="1571">
        <f t="shared" si="5"/>
        <v>1</v>
      </c>
    </row>
    <row r="47" spans="1:29" s="1336"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6"/>
      <c r="M47" s="2128"/>
      <c r="N47" s="2128"/>
      <c r="O47" s="2139"/>
      <c r="P47" s="3684"/>
      <c r="Q47" s="1567">
        <f t="shared" si="14"/>
        <v>111</v>
      </c>
      <c r="R47" s="1572" t="s">
        <v>8</v>
      </c>
      <c r="S47" s="1573">
        <f t="shared" si="10"/>
        <v>100</v>
      </c>
      <c r="T47" s="1572" t="s">
        <v>8</v>
      </c>
      <c r="U47" s="1573">
        <f t="shared" si="11"/>
        <v>100</v>
      </c>
      <c r="V47" s="1572" t="s">
        <v>8</v>
      </c>
      <c r="W47" s="1573">
        <f t="shared" si="12"/>
        <v>100</v>
      </c>
      <c r="X47" s="1574"/>
      <c r="Y47" s="3684"/>
      <c r="Z47" s="1575">
        <f t="shared" si="13"/>
        <v>111</v>
      </c>
      <c r="AA47" s="1571">
        <f t="shared" si="3"/>
        <v>1</v>
      </c>
      <c r="AB47" s="1571">
        <f t="shared" si="4"/>
        <v>1</v>
      </c>
      <c r="AC47" s="1571">
        <f t="shared" si="5"/>
        <v>1</v>
      </c>
    </row>
    <row r="48" spans="1:29" ht="20.25">
      <c r="A48" s="605" t="s">
        <v>556</v>
      </c>
      <c r="B48" s="606" t="s">
        <v>3443</v>
      </c>
      <c r="C48" s="607" t="s">
        <v>1</v>
      </c>
      <c r="D48" s="608"/>
      <c r="E48" s="609">
        <f>土地案例1!Q2</f>
        <v>5399.97</v>
      </c>
      <c r="F48" s="610"/>
      <c r="G48" s="611">
        <f>土地案例1!Q5</f>
        <v>5649.93</v>
      </c>
      <c r="H48" s="612"/>
      <c r="I48" s="609">
        <f>土地案例1!Q6</f>
        <v>5650</v>
      </c>
      <c r="J48" s="612"/>
      <c r="K48" s="1337"/>
      <c r="L48" s="2140"/>
      <c r="M48" s="2128"/>
      <c r="N48" s="2128"/>
      <c r="O48" s="2141"/>
      <c r="P48" s="3679" t="str">
        <f>A48</f>
        <v>成交单价</v>
      </c>
      <c r="Q48" s="3679"/>
      <c r="R48" s="3693">
        <f>E48</f>
        <v>5399.97</v>
      </c>
      <c r="S48" s="3693"/>
      <c r="T48" s="3693">
        <f>G48</f>
        <v>5649.93</v>
      </c>
      <c r="U48" s="3693"/>
      <c r="V48" s="3693">
        <f>I48</f>
        <v>5650</v>
      </c>
      <c r="W48" s="3693"/>
      <c r="X48" s="1554"/>
      <c r="Y48" s="1576"/>
      <c r="Z48" s="1554"/>
      <c r="AA48" s="1554"/>
      <c r="AB48" s="1554"/>
      <c r="AC48" s="1554"/>
    </row>
    <row r="49" spans="1:29" ht="21" thickBot="1">
      <c r="A49" s="613" t="s">
        <v>2692</v>
      </c>
      <c r="B49" s="614"/>
      <c r="C49" s="615">
        <f>R50</f>
        <v>5643</v>
      </c>
      <c r="D49" s="616"/>
      <c r="E49" s="615">
        <f>R49</f>
        <v>5400</v>
      </c>
      <c r="F49" s="617"/>
      <c r="G49" s="618">
        <f>T49</f>
        <v>5765</v>
      </c>
      <c r="H49" s="616"/>
      <c r="I49" s="615">
        <f>V49</f>
        <v>5765</v>
      </c>
      <c r="J49" s="616"/>
      <c r="K49" s="1338"/>
      <c r="L49" s="2140"/>
      <c r="M49" s="2128"/>
      <c r="N49" s="2128"/>
      <c r="O49" s="2141"/>
      <c r="P49" s="3679" t="str">
        <f>A49</f>
        <v>比较价格（元/平方米）</v>
      </c>
      <c r="Q49" s="3679"/>
      <c r="R49" s="3703">
        <f>ROUND(PRODUCT(R48,AA9:AA47),0)</f>
        <v>5400</v>
      </c>
      <c r="S49" s="3703"/>
      <c r="T49" s="3703">
        <f>ROUND(PRODUCT(T48,AB9:AB47),0)</f>
        <v>5765</v>
      </c>
      <c r="U49" s="3703"/>
      <c r="V49" s="3703">
        <f>ROUND(PRODUCT(V48,AC9:AC47),0)</f>
        <v>5765</v>
      </c>
      <c r="W49" s="3703"/>
      <c r="X49" s="1554"/>
      <c r="Y49" s="1554"/>
      <c r="Z49" s="1554"/>
      <c r="AA49" s="1554"/>
      <c r="AB49" s="1554"/>
      <c r="AC49" s="1554"/>
    </row>
    <row r="50" spans="1:29" ht="21" thickBot="1">
      <c r="A50" s="619" t="s">
        <v>2934</v>
      </c>
      <c r="B50" s="620"/>
      <c r="C50" s="621">
        <f>R50</f>
        <v>5643</v>
      </c>
      <c r="D50" s="621"/>
      <c r="E50" s="621"/>
      <c r="F50" s="621"/>
      <c r="G50" s="621"/>
      <c r="H50" s="621"/>
      <c r="I50" s="621"/>
      <c r="J50" s="621"/>
      <c r="K50" s="1339"/>
      <c r="L50" s="2140"/>
      <c r="M50" s="2128"/>
      <c r="N50" s="2128"/>
      <c r="O50" s="2141"/>
      <c r="P50" s="3700" t="str">
        <f>A50</f>
        <v>估价对象XX用房的比较价格（楼面单价，元/平方米）</v>
      </c>
      <c r="Q50" s="3701"/>
      <c r="R50" s="3702">
        <f>ROUND(AVERAGE(R49:V49),0)</f>
        <v>5643</v>
      </c>
      <c r="S50" s="3702"/>
      <c r="T50" s="3702"/>
      <c r="U50" s="3702"/>
      <c r="V50" s="3702"/>
      <c r="W50" s="3702"/>
      <c r="X50" s="1554"/>
      <c r="Y50" s="1554"/>
      <c r="Z50" s="1554"/>
      <c r="AA50" s="1554"/>
      <c r="AB50" s="1554"/>
      <c r="AC50" s="1554"/>
    </row>
    <row r="51" spans="1:29" ht="20.25">
      <c r="A51" s="2141"/>
      <c r="B51" s="2141"/>
      <c r="C51" s="2141"/>
      <c r="D51" s="2141"/>
      <c r="E51" s="2141"/>
      <c r="F51" s="2141"/>
      <c r="G51" s="2144"/>
      <c r="H51" s="2141"/>
      <c r="I51" s="2141"/>
      <c r="J51" s="2141"/>
      <c r="K51" s="2145"/>
      <c r="L51" s="2146"/>
      <c r="M51" s="2128"/>
      <c r="N51" s="2128"/>
      <c r="O51" s="2141"/>
      <c r="P51" s="1554"/>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4"/>
      <c r="Q52" s="2141"/>
      <c r="R52" s="2141"/>
      <c r="S52" s="2141"/>
      <c r="T52" s="2141"/>
      <c r="U52" s="2141"/>
      <c r="V52" s="2141"/>
      <c r="W52" s="2141"/>
      <c r="X52" s="2141"/>
      <c r="Y52" s="2141"/>
      <c r="Z52" s="2141"/>
      <c r="AA52" s="2141"/>
      <c r="AB52" s="2141"/>
      <c r="AC52" s="2141"/>
    </row>
    <row r="53" spans="1:29" ht="13.5" customHeight="1">
      <c r="A53" s="2141"/>
      <c r="B53" s="2141"/>
      <c r="C53" s="622" t="s">
        <v>557</v>
      </c>
      <c r="D53" s="623"/>
      <c r="E53" s="624">
        <f>IF(E48&lt;E49,E49/E48-1,E48/E49-1)</f>
        <v>5.5555864197920357E-6</v>
      </c>
      <c r="F53" s="625" t="str">
        <f>IF(OR(E53&gt;=0.3,E53&lt;=-0.3),"超过30%","")</f>
        <v/>
      </c>
      <c r="G53" s="624">
        <f>IF(G48&lt;G49,G49/G48-1,G48/G49-1)</f>
        <v>2.0366624011270984E-2</v>
      </c>
      <c r="H53" s="625" t="str">
        <f>IF(OR(G53&gt;=0.3,G53&lt;=-0.3),"超过30%","")</f>
        <v/>
      </c>
      <c r="I53" s="624">
        <f>IF(I48&lt;I49,I49/I48-1,I48/I49-1)</f>
        <v>2.0353982300884921E-2</v>
      </c>
      <c r="J53" s="625" t="str">
        <f>IF(OR(I53&gt;=0.3,I53&lt;=-0.3),"超过30%","")</f>
        <v/>
      </c>
      <c r="K53" s="2145"/>
      <c r="L53" s="2146"/>
      <c r="M53" s="2128"/>
      <c r="N53" s="2128"/>
      <c r="O53" s="2141"/>
      <c r="P53" s="1554"/>
      <c r="Q53" s="2141"/>
      <c r="R53" s="2141"/>
      <c r="S53" s="2141"/>
      <c r="T53" s="2141"/>
      <c r="U53" s="2141"/>
      <c r="V53" s="2141"/>
      <c r="W53" s="2141"/>
      <c r="X53" s="2141"/>
      <c r="Y53" s="2141"/>
      <c r="Z53" s="2141"/>
      <c r="AA53" s="2141"/>
      <c r="AB53" s="2141"/>
      <c r="AC53" s="2141"/>
    </row>
    <row r="54" spans="1:29" ht="13.5" customHeight="1">
      <c r="A54" s="2141"/>
      <c r="B54" s="2141"/>
      <c r="C54" s="622" t="s">
        <v>558</v>
      </c>
      <c r="D54" s="626"/>
      <c r="E54" s="624">
        <f>IF(E49&lt;G49,G49/E49-1,E49/G49-1)</f>
        <v>6.7592592592592649E-2</v>
      </c>
      <c r="F54" s="625" t="str">
        <f>IF(OR(E54&gt;=0.2,E54&lt;=-0.2),"超过20%","")</f>
        <v/>
      </c>
      <c r="G54" s="624">
        <f>IF(G49&lt;I49,I49/G49-1,G49/I49-1)</f>
        <v>0</v>
      </c>
      <c r="H54" s="625" t="str">
        <f>IF(OR(G54&gt;=0.2,G54&lt;=-0.2),"超过20%","")</f>
        <v/>
      </c>
      <c r="I54" s="624">
        <f>IF(I49&lt;E49,E49/I49-1,I49/E49-1)</f>
        <v>6.7592592592592649E-2</v>
      </c>
      <c r="J54" s="625" t="str">
        <f>IF(OR(I54&gt;=0.2,I54&lt;=-0.2),"超过20%","")</f>
        <v/>
      </c>
      <c r="K54" s="2145"/>
      <c r="L54" s="2146"/>
      <c r="M54" s="2128"/>
      <c r="N54" s="2128"/>
      <c r="O54" s="2141"/>
      <c r="P54" s="1554"/>
      <c r="Q54" s="2141"/>
      <c r="R54" s="2141"/>
      <c r="S54" s="2141"/>
      <c r="T54" s="2141"/>
      <c r="U54" s="2141"/>
      <c r="V54" s="2141"/>
      <c r="W54" s="2141"/>
      <c r="X54" s="2141"/>
      <c r="Y54" s="2141"/>
      <c r="Z54" s="2141"/>
      <c r="AA54" s="2141"/>
      <c r="AB54" s="2141"/>
      <c r="AC54" s="2141"/>
    </row>
    <row r="55" spans="1:29" s="1342" customFormat="1" ht="13.5" customHeight="1">
      <c r="A55" s="2142"/>
      <c r="B55" s="2142"/>
      <c r="C55" s="622" t="s">
        <v>559</v>
      </c>
      <c r="D55" s="626"/>
      <c r="E55" s="624">
        <f>IF(E48&lt;G48,G48/E48-1,E48/G48-1)</f>
        <v>4.6289146050811469E-2</v>
      </c>
      <c r="F55" s="625" t="str">
        <f>IF(OR(E55&gt;=0.3,E55&lt;=-0.3),"超过30%","")</f>
        <v/>
      </c>
      <c r="G55" s="624">
        <f>IF(G48&lt;I48,I48/G48-1,G48/I48-1)</f>
        <v>1.2389534029599858E-5</v>
      </c>
      <c r="H55" s="625" t="str">
        <f>IF(OR(G55&gt;=0.3,G55&lt;=-0.3),"超过30%","")</f>
        <v/>
      </c>
      <c r="I55" s="624">
        <f>IF(I48&lt;E48,E48/I48-1,I48/E48-1)</f>
        <v>4.6302109085791132E-2</v>
      </c>
      <c r="J55" s="625" t="str">
        <f>IF(OR(I55&gt;=0.3,I55&lt;=-0.3),"超过30%","")</f>
        <v/>
      </c>
      <c r="K55" s="2148"/>
      <c r="L55" s="2149"/>
      <c r="M55" s="2128"/>
      <c r="N55" s="2128"/>
      <c r="O55" s="2142"/>
      <c r="P55" s="1552"/>
      <c r="Q55" s="2142"/>
      <c r="R55" s="2142"/>
      <c r="S55" s="2142"/>
      <c r="T55" s="2142"/>
      <c r="U55" s="2142"/>
      <c r="V55" s="2142"/>
      <c r="W55" s="2142"/>
      <c r="X55" s="2142"/>
      <c r="Y55" s="2142"/>
      <c r="Z55" s="2142"/>
      <c r="AA55" s="2142"/>
      <c r="AB55" s="2142"/>
      <c r="AC55" s="2142"/>
    </row>
    <row r="56" spans="1:29" s="1342" customFormat="1" ht="21" thickBot="1">
      <c r="A56" s="2142"/>
      <c r="B56" s="2143"/>
      <c r="C56" s="2147"/>
      <c r="D56" s="2142"/>
      <c r="E56" s="2142"/>
      <c r="F56" s="2142"/>
      <c r="G56" s="2142"/>
      <c r="H56" s="2142"/>
      <c r="I56" s="2142"/>
      <c r="J56" s="2142"/>
      <c r="K56" s="2148"/>
      <c r="L56" s="2149"/>
      <c r="M56" s="2128"/>
      <c r="N56" s="2128"/>
      <c r="O56" s="2142"/>
      <c r="P56" s="1552"/>
      <c r="Q56" s="2142"/>
      <c r="R56" s="2142"/>
      <c r="S56" s="2142"/>
      <c r="T56" s="2142"/>
      <c r="U56" s="2142"/>
      <c r="V56" s="2142"/>
      <c r="W56" s="2142"/>
      <c r="X56" s="2142"/>
      <c r="Y56" s="2142"/>
      <c r="Z56" s="2142"/>
      <c r="AA56" s="2142"/>
      <c r="AB56" s="2142"/>
      <c r="AC56" s="2142"/>
    </row>
    <row r="57" spans="1:29" ht="26.25" customHeight="1">
      <c r="A57" s="627" t="s">
        <v>560</v>
      </c>
      <c r="B57" s="628" t="s">
        <v>561</v>
      </c>
      <c r="C57" s="1555" t="s">
        <v>1725</v>
      </c>
      <c r="D57" s="2223" t="s">
        <v>2293</v>
      </c>
      <c r="E57" s="629" t="s">
        <v>562</v>
      </c>
      <c r="F57" s="630" t="s">
        <v>563</v>
      </c>
      <c r="G57" s="3663" t="s">
        <v>2281</v>
      </c>
      <c r="H57" s="3664"/>
      <c r="I57" s="1550" t="s">
        <v>1723</v>
      </c>
      <c r="J57" s="1550" t="str">
        <f>项目基本情况!F41</f>
        <v>山东省青岛市</v>
      </c>
      <c r="K57" s="2150" t="s">
        <v>1724</v>
      </c>
      <c r="L57" s="2146"/>
      <c r="M57" s="2141"/>
      <c r="N57" s="2141"/>
      <c r="O57" s="2141"/>
      <c r="P57" s="2141"/>
      <c r="Q57" s="2141"/>
      <c r="R57" s="2141"/>
      <c r="S57" s="2141"/>
      <c r="T57" s="2141"/>
      <c r="U57" s="2141"/>
      <c r="V57" s="2141"/>
      <c r="W57" s="2141"/>
      <c r="X57" s="2141"/>
      <c r="Y57" s="2141"/>
      <c r="Z57" s="2141"/>
      <c r="AA57" s="2141"/>
      <c r="AB57" s="2141"/>
      <c r="AC57" s="2141"/>
    </row>
    <row r="58" spans="1:29" s="1343" customFormat="1" ht="12.75">
      <c r="A58" s="631" t="s">
        <v>564</v>
      </c>
      <c r="B58" s="632">
        <f>C50</f>
        <v>5643</v>
      </c>
      <c r="C58" s="633">
        <v>1</v>
      </c>
      <c r="D58" s="2224">
        <v>1</v>
      </c>
      <c r="E58" s="633">
        <f>'数据-汇总表'!E8+'数据-汇总表'!E9</f>
        <v>129061</v>
      </c>
      <c r="F58" s="634">
        <f t="shared" ref="F58:F67" si="15">ROUND(B58*E58/10000,0)</f>
        <v>72829</v>
      </c>
      <c r="G58" s="3665"/>
      <c r="H58" s="3666"/>
      <c r="I58" s="1551">
        <v>1</v>
      </c>
      <c r="J58" s="1551">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3" customFormat="1" ht="12.75">
      <c r="A59" s="635" t="s">
        <v>565</v>
      </c>
      <c r="B59" s="636">
        <f>ROUND($C$50*C59*D59,0)</f>
        <v>0</v>
      </c>
      <c r="C59" s="376">
        <f t="shared" ref="C59:C67" si="16">IF($C$57="北京市系数",I59,J59)</f>
        <v>0</v>
      </c>
      <c r="D59" s="2225">
        <v>0.25</v>
      </c>
      <c r="E59" s="637">
        <v>0</v>
      </c>
      <c r="F59" s="634">
        <f t="shared" si="15"/>
        <v>0</v>
      </c>
      <c r="G59" s="3667" t="s">
        <v>2282</v>
      </c>
      <c r="H59" s="1944">
        <f>项目基本情况!B43</f>
        <v>0</v>
      </c>
      <c r="I59" s="1551">
        <f>SUMIF(修正!$A$45:$A$56,H59,修正!B45:B56)</f>
        <v>0</v>
      </c>
      <c r="J59" s="1553"/>
      <c r="K59" s="2151"/>
      <c r="L59" s="2151"/>
      <c r="M59" s="2151"/>
      <c r="N59" s="2151"/>
      <c r="O59" s="2151"/>
      <c r="P59" s="2151"/>
      <c r="Q59" s="2151"/>
      <c r="R59" s="2151"/>
      <c r="S59" s="2151"/>
      <c r="T59" s="2151"/>
      <c r="U59" s="2151"/>
      <c r="V59" s="2151"/>
      <c r="W59" s="2151"/>
      <c r="X59" s="2151"/>
      <c r="Y59" s="2151"/>
      <c r="Z59" s="2151"/>
      <c r="AA59" s="2151"/>
      <c r="AB59" s="2151"/>
      <c r="AC59" s="2151"/>
    </row>
    <row r="60" spans="1:29" s="1343" customFormat="1" ht="12.75">
      <c r="A60" s="635" t="s">
        <v>566</v>
      </c>
      <c r="B60" s="636">
        <f t="shared" ref="B60:B67" si="17">ROUND($C$50*C60*D60,0)</f>
        <v>0</v>
      </c>
      <c r="C60" s="376">
        <f t="shared" si="16"/>
        <v>0</v>
      </c>
      <c r="D60" s="2225">
        <v>0.25</v>
      </c>
      <c r="E60" s="637">
        <v>0</v>
      </c>
      <c r="F60" s="634">
        <f t="shared" si="15"/>
        <v>0</v>
      </c>
      <c r="G60" s="3667"/>
      <c r="H60" s="1944">
        <f>项目基本情况!B43</f>
        <v>0</v>
      </c>
      <c r="I60" s="1551">
        <f>SUMIF(修正!$A$45:$A$56,H60,修正!C45:C56)</f>
        <v>0</v>
      </c>
      <c r="J60" s="1553"/>
      <c r="K60" s="2151"/>
      <c r="L60" s="2151"/>
      <c r="M60" s="2151"/>
      <c r="N60" s="2151"/>
      <c r="O60" s="2151"/>
      <c r="P60" s="2151"/>
      <c r="Q60" s="2151"/>
      <c r="R60" s="2151"/>
      <c r="S60" s="2151"/>
      <c r="T60" s="2151"/>
      <c r="U60" s="2151"/>
      <c r="V60" s="2151"/>
      <c r="W60" s="2151"/>
      <c r="X60" s="2151"/>
      <c r="Y60" s="2151"/>
      <c r="Z60" s="2151"/>
      <c r="AA60" s="2151"/>
      <c r="AB60" s="2151"/>
      <c r="AC60" s="2151"/>
    </row>
    <row r="61" spans="1:29" s="1343" customFormat="1" ht="12.75">
      <c r="A61" s="635" t="s">
        <v>567</v>
      </c>
      <c r="B61" s="636">
        <f t="shared" si="17"/>
        <v>0</v>
      </c>
      <c r="C61" s="376">
        <f t="shared" si="16"/>
        <v>0</v>
      </c>
      <c r="D61" s="2225">
        <v>0.25</v>
      </c>
      <c r="E61" s="637">
        <v>0</v>
      </c>
      <c r="F61" s="634">
        <f t="shared" si="15"/>
        <v>0</v>
      </c>
      <c r="G61" s="3667"/>
      <c r="H61" s="1944">
        <f>项目基本情况!B43</f>
        <v>0</v>
      </c>
      <c r="I61" s="1551">
        <f>SUMIF(修正!$A$45:$A$56,H61,修正!D45:D56)</f>
        <v>0</v>
      </c>
      <c r="J61" s="1553"/>
      <c r="K61" s="2151"/>
      <c r="L61" s="2151"/>
      <c r="M61" s="2151"/>
      <c r="N61" s="2151"/>
      <c r="O61" s="2151"/>
      <c r="P61" s="2151"/>
      <c r="Q61" s="2151"/>
      <c r="R61" s="2151"/>
      <c r="S61" s="2151"/>
      <c r="T61" s="2151"/>
      <c r="U61" s="2151"/>
      <c r="V61" s="2151"/>
      <c r="W61" s="2151"/>
      <c r="X61" s="2151"/>
      <c r="Y61" s="2151"/>
      <c r="Z61" s="2151"/>
      <c r="AA61" s="2151"/>
      <c r="AB61" s="2151"/>
      <c r="AC61" s="2151"/>
    </row>
    <row r="62" spans="1:29" s="1343" customFormat="1" ht="12.75">
      <c r="A62" s="635" t="s">
        <v>568</v>
      </c>
      <c r="B62" s="636">
        <f t="shared" si="17"/>
        <v>0</v>
      </c>
      <c r="C62" s="376">
        <f t="shared" si="16"/>
        <v>0</v>
      </c>
      <c r="D62" s="2225">
        <v>0.25</v>
      </c>
      <c r="E62" s="637">
        <v>0</v>
      </c>
      <c r="F62" s="634">
        <f t="shared" si="15"/>
        <v>0</v>
      </c>
      <c r="G62" s="3667"/>
      <c r="H62" s="1944">
        <f>项目基本情况!B43</f>
        <v>0</v>
      </c>
      <c r="I62" s="1551">
        <f>SUMIF(修正!$A$45:$A$56,H62,修正!E45:E56)</f>
        <v>0</v>
      </c>
      <c r="J62" s="1553"/>
      <c r="K62" s="2151"/>
      <c r="L62" s="2151"/>
      <c r="M62" s="2151"/>
      <c r="N62" s="2151"/>
      <c r="O62" s="2151"/>
      <c r="P62" s="2151"/>
      <c r="Q62" s="2151"/>
      <c r="R62" s="2151"/>
      <c r="S62" s="2151"/>
      <c r="T62" s="2151"/>
      <c r="U62" s="2151"/>
      <c r="V62" s="2151"/>
      <c r="W62" s="2151"/>
      <c r="X62" s="2151"/>
      <c r="Y62" s="2151"/>
      <c r="Z62" s="2151"/>
      <c r="AA62" s="2151"/>
      <c r="AB62" s="2151"/>
      <c r="AC62" s="2151"/>
    </row>
    <row r="63" spans="1:29" s="1343" customFormat="1" ht="12.75">
      <c r="A63" s="2327" t="s">
        <v>2328</v>
      </c>
      <c r="B63" s="636">
        <f t="shared" si="17"/>
        <v>0</v>
      </c>
      <c r="C63" s="376">
        <f t="shared" si="16"/>
        <v>0</v>
      </c>
      <c r="D63" s="2225">
        <v>0.25</v>
      </c>
      <c r="E63" s="639">
        <f>'数据-汇总表'!E11</f>
        <v>0</v>
      </c>
      <c r="F63" s="634">
        <f t="shared" si="15"/>
        <v>0</v>
      </c>
      <c r="G63" s="1941" t="s">
        <v>2283</v>
      </c>
      <c r="H63" s="1944">
        <f>项目基本情况!C43</f>
        <v>0</v>
      </c>
      <c r="I63" s="1551">
        <f>SUMIF(修正!$A$45:$A$56,H63,修正!F45:F56)</f>
        <v>0</v>
      </c>
      <c r="J63" s="1553"/>
      <c r="K63" s="2151"/>
      <c r="L63" s="2151"/>
      <c r="M63" s="2151"/>
      <c r="N63" s="2151"/>
      <c r="O63" s="2151"/>
      <c r="P63" s="2151"/>
      <c r="Q63" s="2151"/>
      <c r="R63" s="2151"/>
      <c r="S63" s="2151"/>
      <c r="T63" s="2151"/>
      <c r="U63" s="2151"/>
      <c r="V63" s="2151"/>
      <c r="W63" s="2151"/>
      <c r="X63" s="2151"/>
      <c r="Y63" s="2151"/>
      <c r="Z63" s="2151"/>
      <c r="AA63" s="2151"/>
      <c r="AB63" s="2151"/>
      <c r="AC63" s="2151"/>
    </row>
    <row r="64" spans="1:29" s="1343" customFormat="1" ht="12.75">
      <c r="A64" s="635" t="s">
        <v>569</v>
      </c>
      <c r="B64" s="636">
        <f t="shared" si="17"/>
        <v>0</v>
      </c>
      <c r="C64" s="376">
        <f t="shared" si="16"/>
        <v>0</v>
      </c>
      <c r="D64" s="2225">
        <v>0.25</v>
      </c>
      <c r="E64" s="639">
        <f>'数据-汇总表'!E12</f>
        <v>0</v>
      </c>
      <c r="F64" s="634">
        <f t="shared" si="15"/>
        <v>0</v>
      </c>
      <c r="G64" s="1942" t="s">
        <v>1678</v>
      </c>
      <c r="H64" s="1940">
        <f>IF(G64="商业",项目基本情况!B43,IF(G64="办公",项目基本情况!C43,IF(G64="住宅",项目基本情况!D43,项目基本情况!E43)))</f>
        <v>0</v>
      </c>
      <c r="I64" s="1551">
        <f>SUMIF(修正!$A$45:$A$56,H64,修正!G45:G56)</f>
        <v>0</v>
      </c>
      <c r="J64" s="1553"/>
      <c r="K64" s="2151"/>
      <c r="L64" s="2151"/>
      <c r="M64" s="2151"/>
      <c r="N64" s="2151"/>
      <c r="O64" s="2151"/>
      <c r="P64" s="2151"/>
      <c r="Q64" s="2151"/>
      <c r="R64" s="2151"/>
      <c r="S64" s="2151"/>
      <c r="T64" s="2151"/>
      <c r="U64" s="2151"/>
      <c r="V64" s="2151"/>
      <c r="W64" s="2151"/>
      <c r="X64" s="2151"/>
      <c r="Y64" s="2151"/>
      <c r="Z64" s="2151"/>
      <c r="AA64" s="2151"/>
      <c r="AB64" s="2151"/>
      <c r="AC64" s="2151"/>
    </row>
    <row r="65" spans="1:29" s="1343" customFormat="1" ht="12.75">
      <c r="A65" s="635" t="s">
        <v>570</v>
      </c>
      <c r="B65" s="636">
        <f t="shared" si="17"/>
        <v>0</v>
      </c>
      <c r="C65" s="376">
        <f t="shared" si="16"/>
        <v>0</v>
      </c>
      <c r="D65" s="2225">
        <v>0.25</v>
      </c>
      <c r="E65" s="639">
        <f>'数据-汇总表'!E13</f>
        <v>28104</v>
      </c>
      <c r="F65" s="634">
        <f t="shared" si="15"/>
        <v>0</v>
      </c>
      <c r="G65" s="1942" t="s">
        <v>923</v>
      </c>
      <c r="H65" s="1940">
        <f>IF(G65="商业",项目基本情况!B43,IF(G65="办公",项目基本情况!C43,IF(G65="住宅",项目基本情况!D43,项目基本情况!E43)))</f>
        <v>0</v>
      </c>
      <c r="I65" s="1551">
        <f>SUMIF(修正!$A$45:$A$56,H65,修正!H45:H56)</f>
        <v>0</v>
      </c>
      <c r="J65" s="1553"/>
      <c r="K65" s="2151"/>
      <c r="L65" s="2151"/>
      <c r="M65" s="2151"/>
      <c r="N65" s="2151"/>
      <c r="O65" s="2151"/>
      <c r="P65" s="2151"/>
      <c r="Q65" s="2151"/>
      <c r="R65" s="2151"/>
      <c r="S65" s="2151"/>
      <c r="T65" s="2151"/>
      <c r="U65" s="2151"/>
      <c r="V65" s="2151"/>
      <c r="W65" s="2151"/>
      <c r="X65" s="2151"/>
      <c r="Y65" s="2151"/>
      <c r="Z65" s="2151"/>
      <c r="AA65" s="2151"/>
      <c r="AB65" s="2151"/>
      <c r="AC65" s="2151"/>
    </row>
    <row r="66" spans="1:29" s="1343" customFormat="1" ht="12.75">
      <c r="A66" s="635" t="s">
        <v>571</v>
      </c>
      <c r="B66" s="636">
        <f t="shared" si="17"/>
        <v>0</v>
      </c>
      <c r="C66" s="376">
        <f t="shared" si="16"/>
        <v>0</v>
      </c>
      <c r="D66" s="2225">
        <v>0.25</v>
      </c>
      <c r="E66" s="639">
        <f>'数据-汇总表'!E14</f>
        <v>0</v>
      </c>
      <c r="F66" s="634">
        <f t="shared" si="15"/>
        <v>0</v>
      </c>
      <c r="G66" s="1941" t="s">
        <v>2282</v>
      </c>
      <c r="H66" s="1944">
        <f>项目基本情况!B43</f>
        <v>0</v>
      </c>
      <c r="I66" s="1551">
        <f>SUMIF(修正!$A$45:$A$56,H66,修正!H45:H56)</f>
        <v>0</v>
      </c>
      <c r="J66" s="1553"/>
      <c r="K66" s="2151"/>
      <c r="L66" s="2151"/>
      <c r="M66" s="2151"/>
      <c r="N66" s="2151"/>
      <c r="O66" s="2151"/>
      <c r="P66" s="2151"/>
      <c r="Q66" s="2151"/>
      <c r="R66" s="2151"/>
      <c r="S66" s="2151"/>
      <c r="T66" s="2151"/>
      <c r="U66" s="2151"/>
      <c r="V66" s="2151"/>
      <c r="W66" s="2151"/>
      <c r="X66" s="2151"/>
      <c r="Y66" s="2151"/>
      <c r="Z66" s="2151"/>
      <c r="AA66" s="2151"/>
      <c r="AB66" s="2151"/>
      <c r="AC66" s="2151"/>
    </row>
    <row r="67" spans="1:29" s="1343" customFormat="1" ht="13.5" thickBot="1">
      <c r="A67" s="635" t="s">
        <v>572</v>
      </c>
      <c r="B67" s="636">
        <f t="shared" si="17"/>
        <v>0</v>
      </c>
      <c r="C67" s="376">
        <f t="shared" si="16"/>
        <v>0</v>
      </c>
      <c r="D67" s="2225">
        <v>0.25</v>
      </c>
      <c r="E67" s="639">
        <f>'数据-汇总表'!E15</f>
        <v>0</v>
      </c>
      <c r="F67" s="634">
        <f t="shared" si="15"/>
        <v>0</v>
      </c>
      <c r="G67" s="1943" t="s">
        <v>2283</v>
      </c>
      <c r="H67" s="1945">
        <f>项目基本情况!C43</f>
        <v>0</v>
      </c>
      <c r="I67" s="1551">
        <f>SUMIF(修正!$A$45:$A$56,H67,修正!H45:H56)</f>
        <v>0</v>
      </c>
      <c r="J67" s="1553"/>
      <c r="K67" s="2151"/>
      <c r="L67" s="2151"/>
      <c r="M67" s="2151"/>
      <c r="N67" s="2151"/>
      <c r="O67" s="2151"/>
      <c r="P67" s="2151"/>
      <c r="Q67" s="2151"/>
      <c r="R67" s="2151"/>
      <c r="S67" s="2151"/>
      <c r="T67" s="2151"/>
      <c r="U67" s="2151"/>
      <c r="V67" s="2151"/>
      <c r="W67" s="2151"/>
      <c r="X67" s="2151"/>
      <c r="Y67" s="2151"/>
      <c r="Z67" s="2151"/>
      <c r="AA67" s="2151"/>
      <c r="AB67" s="2151"/>
      <c r="AC67" s="2151"/>
    </row>
    <row r="68" spans="1:29" s="1343" customFormat="1" ht="13.5" thickBot="1">
      <c r="A68" s="640" t="s">
        <v>573</v>
      </c>
      <c r="B68" s="641" t="s">
        <v>17</v>
      </c>
      <c r="C68" s="641" t="s">
        <v>18</v>
      </c>
      <c r="D68" s="641" t="s">
        <v>2294</v>
      </c>
      <c r="E68" s="641">
        <f>IF(B48="楼面地价",SUM(E58:E67),'数据-汇总表'!D3)</f>
        <v>157165</v>
      </c>
      <c r="F68" s="642">
        <f>IF(B48="楼面地价",SUM(F58:F67),ROUND(C50*E68/10000,0))</f>
        <v>72829</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795" t="str">
        <f>YEAR(C9)&amp;"-"&amp;MONTH(C9)&amp;"-1"</f>
        <v>2018-9-1</v>
      </c>
      <c r="D70" s="2795">
        <f>EDATE(C70,-3)</f>
        <v>43252</v>
      </c>
      <c r="E70" s="2795">
        <f t="shared" ref="E70:N70" si="18">EDATE(D70,-3)</f>
        <v>43160</v>
      </c>
      <c r="F70" s="2795">
        <f t="shared" si="18"/>
        <v>43070</v>
      </c>
      <c r="G70" s="2795">
        <f t="shared" si="18"/>
        <v>42979</v>
      </c>
      <c r="H70" s="2795">
        <f t="shared" si="18"/>
        <v>42887</v>
      </c>
      <c r="I70" s="2795">
        <f t="shared" si="18"/>
        <v>42795</v>
      </c>
      <c r="J70" s="2795">
        <f t="shared" si="18"/>
        <v>42705</v>
      </c>
      <c r="K70" s="2795">
        <f t="shared" si="18"/>
        <v>42614</v>
      </c>
      <c r="L70" s="2795">
        <f t="shared" si="18"/>
        <v>42522</v>
      </c>
      <c r="M70" s="2795">
        <f t="shared" si="18"/>
        <v>42430</v>
      </c>
      <c r="N70" s="2795">
        <f t="shared" si="18"/>
        <v>42339</v>
      </c>
      <c r="O70" s="2141"/>
      <c r="P70" s="2141"/>
      <c r="Q70" s="2141"/>
      <c r="R70" s="2141"/>
      <c r="S70" s="2141"/>
      <c r="T70" s="2141"/>
      <c r="U70" s="2141"/>
      <c r="V70" s="2141"/>
      <c r="W70" s="2141"/>
      <c r="X70" s="2141"/>
      <c r="Y70" s="2141"/>
      <c r="Z70" s="2141"/>
      <c r="AA70" s="2141"/>
      <c r="AB70" s="2141"/>
      <c r="AC70" s="2141"/>
    </row>
    <row r="71" spans="1:29" ht="21.75" thickBot="1">
      <c r="A71" s="1579" t="s">
        <v>574</v>
      </c>
      <c r="B71" s="1554"/>
      <c r="C71" s="1578"/>
      <c r="D71" s="1578"/>
      <c r="E71" s="1578"/>
      <c r="F71" s="1580"/>
      <c r="G71" s="1580"/>
      <c r="H71" s="1578"/>
      <c r="I71" s="1578"/>
      <c r="J71" s="1578"/>
      <c r="K71" s="1581"/>
      <c r="L71" s="1577"/>
      <c r="M71" s="1578"/>
      <c r="N71" s="1578"/>
      <c r="O71" s="2153"/>
      <c r="P71" s="2153"/>
      <c r="Q71" s="2154"/>
      <c r="R71" s="2141"/>
      <c r="S71" s="2141"/>
      <c r="T71" s="2141"/>
      <c r="U71" s="2141"/>
      <c r="V71" s="2141"/>
      <c r="W71" s="2141"/>
      <c r="X71" s="2141"/>
      <c r="Y71" s="2141"/>
      <c r="Z71" s="2141"/>
      <c r="AA71" s="2141"/>
      <c r="AB71" s="2141"/>
      <c r="AC71" s="2141"/>
    </row>
    <row r="72" spans="1:29" s="1344" customFormat="1" ht="15">
      <c r="A72" s="2564" t="s">
        <v>2532</v>
      </c>
      <c r="B72" s="2565"/>
      <c r="C72" s="2790" t="str">
        <f>YEAR(C70)&amp;"-"&amp;ROUNDUP(MONTH(C70)/3,0)</f>
        <v>2018-3</v>
      </c>
      <c r="D72" s="2797" t="str">
        <f>YEAR(D70)&amp;"-"&amp;ROUNDUP(MONTH(D70)/3,0)</f>
        <v>2018-2</v>
      </c>
      <c r="E72" s="2797" t="str">
        <f t="shared" ref="E72:N72" si="19">YEAR(E70)&amp;"-"&amp;ROUNDUP(MONTH(E70)/3,0)</f>
        <v>2018-1</v>
      </c>
      <c r="F72" s="2797" t="str">
        <f t="shared" si="19"/>
        <v>2017-4</v>
      </c>
      <c r="G72" s="2797" t="str">
        <f t="shared" si="19"/>
        <v>2017-3</v>
      </c>
      <c r="H72" s="2797" t="str">
        <f t="shared" si="19"/>
        <v>2017-2</v>
      </c>
      <c r="I72" s="2797" t="str">
        <f t="shared" si="19"/>
        <v>2017-1</v>
      </c>
      <c r="J72" s="2797" t="str">
        <f t="shared" si="19"/>
        <v>2016-4</v>
      </c>
      <c r="K72" s="2797" t="str">
        <f t="shared" si="19"/>
        <v>2016-3</v>
      </c>
      <c r="L72" s="2797" t="str">
        <f t="shared" si="19"/>
        <v>2016-2</v>
      </c>
      <c r="M72" s="2797" t="str">
        <f t="shared" si="19"/>
        <v>2016-1</v>
      </c>
      <c r="N72" s="2797" t="str">
        <f t="shared" si="19"/>
        <v>2015-4</v>
      </c>
      <c r="O72" s="2155"/>
      <c r="P72" s="2156"/>
      <c r="Q72" s="2157"/>
      <c r="R72" s="2157"/>
      <c r="S72" s="2157"/>
      <c r="T72" s="2157"/>
      <c r="U72" s="2157"/>
      <c r="V72" s="2157"/>
      <c r="W72" s="2157"/>
      <c r="X72" s="2157"/>
      <c r="Y72" s="2157"/>
      <c r="Z72" s="2157"/>
      <c r="AA72" s="2157"/>
      <c r="AB72" s="2157"/>
      <c r="AC72" s="2157"/>
    </row>
    <row r="73" spans="1:29" s="1217" customFormat="1" ht="27" customHeight="1">
      <c r="A73" s="2802" t="s">
        <v>923</v>
      </c>
      <c r="B73" s="477" t="str">
        <f>"北京市平均增长率"&amp;TEXT(SUMIF(基准地价!N21:N25,A73,基准地价!P21:P25),"0.00%")</f>
        <v>北京市平均增长率2.45%</v>
      </c>
      <c r="C73" s="891">
        <v>100</v>
      </c>
      <c r="D73" s="3380">
        <f>C73-$C$74</f>
        <v>99</v>
      </c>
      <c r="E73" s="3380">
        <f t="shared" ref="E73:N73" si="20">D73-$C$74</f>
        <v>98</v>
      </c>
      <c r="F73" s="3380">
        <f t="shared" si="20"/>
        <v>97</v>
      </c>
      <c r="G73" s="3380">
        <f t="shared" si="20"/>
        <v>96</v>
      </c>
      <c r="H73" s="3380">
        <f t="shared" si="20"/>
        <v>95</v>
      </c>
      <c r="I73" s="3380">
        <f t="shared" si="20"/>
        <v>94</v>
      </c>
      <c r="J73" s="3380">
        <f t="shared" si="20"/>
        <v>93</v>
      </c>
      <c r="K73" s="3380">
        <f t="shared" si="20"/>
        <v>92</v>
      </c>
      <c r="L73" s="3380">
        <f t="shared" si="20"/>
        <v>91</v>
      </c>
      <c r="M73" s="3380">
        <f t="shared" si="20"/>
        <v>90</v>
      </c>
      <c r="N73" s="3380">
        <f t="shared" si="20"/>
        <v>89</v>
      </c>
      <c r="O73" s="2158"/>
      <c r="P73" s="2154"/>
      <c r="Q73" s="1989"/>
      <c r="R73" s="1989"/>
      <c r="S73" s="1989"/>
      <c r="T73" s="1989"/>
      <c r="U73" s="1989"/>
      <c r="V73" s="1989"/>
      <c r="W73" s="1989"/>
      <c r="X73" s="1989"/>
      <c r="Y73" s="1989"/>
      <c r="Z73" s="1989"/>
      <c r="AA73" s="1989"/>
      <c r="AB73" s="1989"/>
      <c r="AC73" s="1989"/>
    </row>
    <row r="74" spans="1:29" s="1217" customFormat="1" ht="15" customHeight="1" thickBot="1">
      <c r="A74" s="2792" t="s">
        <v>2646</v>
      </c>
      <c r="B74" s="2801"/>
      <c r="C74" s="2786">
        <v>1</v>
      </c>
      <c r="D74" s="2787"/>
      <c r="E74" s="2787"/>
      <c r="F74" s="2787"/>
      <c r="G74" s="2787"/>
      <c r="H74" s="2787"/>
      <c r="I74" s="2787"/>
      <c r="J74" s="2787"/>
      <c r="K74" s="2787"/>
      <c r="L74" s="2787"/>
      <c r="M74" s="2787"/>
      <c r="N74" s="2787"/>
      <c r="O74" s="2158"/>
      <c r="P74" s="2154"/>
      <c r="Q74" s="2154"/>
      <c r="R74" s="1989"/>
      <c r="S74" s="1989"/>
      <c r="T74" s="1989"/>
      <c r="U74" s="1989"/>
      <c r="V74" s="1989"/>
      <c r="W74" s="1989"/>
      <c r="X74" s="1989"/>
      <c r="Y74" s="1989"/>
      <c r="Z74" s="1989"/>
      <c r="AA74" s="1989"/>
      <c r="AB74" s="1989"/>
      <c r="AC74" s="1989"/>
    </row>
    <row r="75" spans="1:29" s="1217" customFormat="1" ht="15">
      <c r="A75" s="657" t="s">
        <v>531</v>
      </c>
      <c r="B75" s="646"/>
      <c r="C75" s="658" t="s">
        <v>576</v>
      </c>
      <c r="D75" s="659"/>
      <c r="E75" s="659"/>
      <c r="F75" s="659"/>
      <c r="G75" s="659"/>
      <c r="H75" s="659"/>
      <c r="I75" s="659"/>
      <c r="J75" s="659"/>
      <c r="K75" s="659"/>
      <c r="L75" s="660"/>
      <c r="M75" s="661"/>
      <c r="N75" s="2158"/>
      <c r="O75" s="2158"/>
      <c r="P75" s="2159"/>
      <c r="Q75" s="2154"/>
      <c r="R75" s="1989"/>
      <c r="S75" s="1989"/>
      <c r="T75" s="1989"/>
      <c r="U75" s="1989"/>
      <c r="V75" s="1989"/>
      <c r="W75" s="1989"/>
      <c r="X75" s="1989"/>
      <c r="Y75" s="1989"/>
      <c r="Z75" s="1989"/>
      <c r="AA75" s="1989"/>
      <c r="AB75" s="1989"/>
      <c r="AC75" s="1989"/>
    </row>
    <row r="76" spans="1:29" s="1217" customFormat="1" ht="15.75" thickBot="1">
      <c r="A76" s="657"/>
      <c r="B76" s="646"/>
      <c r="C76" s="647">
        <v>100</v>
      </c>
      <c r="D76" s="648"/>
      <c r="E76" s="648"/>
      <c r="F76" s="648"/>
      <c r="G76" s="648"/>
      <c r="H76" s="648"/>
      <c r="I76" s="648"/>
      <c r="J76" s="648"/>
      <c r="K76" s="648"/>
      <c r="L76" s="648"/>
      <c r="M76" s="650"/>
      <c r="N76" s="2158"/>
      <c r="O76" s="2158"/>
      <c r="P76" s="2154"/>
      <c r="Q76" s="2154"/>
      <c r="R76" s="1989"/>
      <c r="S76" s="1989"/>
      <c r="T76" s="1989"/>
      <c r="U76" s="1989"/>
      <c r="V76" s="1989"/>
      <c r="W76" s="1989"/>
      <c r="X76" s="1989"/>
      <c r="Y76" s="1989"/>
      <c r="Z76" s="1989"/>
      <c r="AA76" s="1989"/>
      <c r="AB76" s="1989"/>
      <c r="AC76" s="1989"/>
    </row>
    <row r="77" spans="1:29" ht="42.75">
      <c r="A77" s="662" t="s">
        <v>577</v>
      </c>
      <c r="B77" s="663" t="s">
        <v>534</v>
      </c>
      <c r="C77" s="596" t="str">
        <f>项目基本情况!B12</f>
        <v>其他普通商品住房、批发零售</v>
      </c>
      <c r="D77" s="596" t="str">
        <f>土地案例1!H2</f>
        <v>城镇住宅用地、零售商业用地</v>
      </c>
      <c r="E77" s="596" t="str">
        <f>土地案例1!H5</f>
        <v>其他普通商品住房用地</v>
      </c>
      <c r="F77" s="596"/>
      <c r="G77" s="596"/>
      <c r="H77" s="596"/>
      <c r="I77" s="596"/>
      <c r="J77" s="596"/>
      <c r="K77" s="664"/>
      <c r="L77" s="665"/>
      <c r="M77" s="666"/>
      <c r="N77" s="2160"/>
      <c r="O77" s="2160"/>
      <c r="P77" s="2161"/>
      <c r="Q77" s="2154"/>
      <c r="R77" s="2141"/>
      <c r="S77" s="2141"/>
      <c r="T77" s="2141"/>
      <c r="U77" s="2141"/>
      <c r="V77" s="2141"/>
      <c r="W77" s="2141"/>
      <c r="X77" s="2141"/>
      <c r="Y77" s="2141"/>
      <c r="Z77" s="2141"/>
      <c r="AA77" s="2141"/>
      <c r="AB77" s="2141"/>
      <c r="AC77" s="2141"/>
    </row>
    <row r="78" spans="1:29" ht="15.75" thickBot="1">
      <c r="A78" s="667"/>
      <c r="B78" s="668"/>
      <c r="C78" s="669">
        <v>100</v>
      </c>
      <c r="D78" s="669">
        <v>100</v>
      </c>
      <c r="E78" s="669">
        <v>100</v>
      </c>
      <c r="F78" s="669"/>
      <c r="G78" s="669"/>
      <c r="H78" s="669"/>
      <c r="I78" s="669"/>
      <c r="J78" s="669"/>
      <c r="K78" s="669"/>
      <c r="L78" s="669"/>
      <c r="M78" s="670"/>
      <c r="N78" s="2162"/>
      <c r="O78" s="2162"/>
      <c r="P78" s="2161"/>
      <c r="Q78" s="2154"/>
      <c r="R78" s="2141"/>
      <c r="S78" s="2141"/>
      <c r="T78" s="2141"/>
      <c r="U78" s="2141"/>
      <c r="V78" s="2141"/>
      <c r="W78" s="2141"/>
      <c r="X78" s="2141"/>
      <c r="Y78" s="2141"/>
      <c r="Z78" s="2141"/>
      <c r="AA78" s="2141"/>
      <c r="AB78" s="2141"/>
      <c r="AC78" s="2141"/>
    </row>
    <row r="79" spans="1:29" ht="27.75" thickTop="1">
      <c r="A79" s="667"/>
      <c r="B79" s="671" t="s">
        <v>537</v>
      </c>
      <c r="C79" s="672"/>
      <c r="D79" s="672"/>
      <c r="E79" s="672"/>
      <c r="F79" s="672"/>
      <c r="G79" s="672"/>
      <c r="H79" s="672"/>
      <c r="I79" s="672"/>
      <c r="J79" s="672"/>
      <c r="K79" s="673"/>
      <c r="L79" s="674"/>
      <c r="M79" s="675"/>
      <c r="N79" s="2160"/>
      <c r="O79" s="2160"/>
      <c r="P79" s="2161"/>
      <c r="Q79" s="2154"/>
      <c r="R79" s="2141"/>
      <c r="S79" s="2141"/>
      <c r="T79" s="2141"/>
      <c r="U79" s="2141"/>
      <c r="V79" s="2141"/>
      <c r="W79" s="2141"/>
      <c r="X79" s="2141"/>
      <c r="Y79" s="2141"/>
      <c r="Z79" s="2141"/>
      <c r="AA79" s="2141"/>
      <c r="AB79" s="2141"/>
      <c r="AC79" s="2141"/>
    </row>
    <row r="80" spans="1:29" ht="15.75" thickBot="1">
      <c r="A80" s="667"/>
      <c r="B80" s="676"/>
      <c r="C80" s="677"/>
      <c r="D80" s="677"/>
      <c r="E80" s="677"/>
      <c r="F80" s="677"/>
      <c r="G80" s="677"/>
      <c r="H80" s="677"/>
      <c r="I80" s="677"/>
      <c r="J80" s="677"/>
      <c r="K80" s="677"/>
      <c r="L80" s="677"/>
      <c r="M80" s="678"/>
      <c r="N80" s="2162"/>
      <c r="O80" s="2162"/>
      <c r="P80" s="2161"/>
      <c r="Q80" s="2154"/>
      <c r="R80" s="2141"/>
      <c r="S80" s="2141"/>
      <c r="T80" s="2141"/>
      <c r="U80" s="2141"/>
      <c r="V80" s="2141"/>
      <c r="W80" s="2141"/>
      <c r="X80" s="2141"/>
      <c r="Y80" s="2141"/>
      <c r="Z80" s="2141"/>
      <c r="AA80" s="2141"/>
      <c r="AB80" s="2141"/>
      <c r="AC80" s="2141"/>
    </row>
    <row r="81" spans="1:29" ht="15.75" thickTop="1">
      <c r="A81" s="667"/>
      <c r="B81" s="679" t="s">
        <v>538</v>
      </c>
      <c r="C81" s="680" t="str">
        <f>C82&amp;"（含）"&amp;"-"&amp;D82</f>
        <v>0（含）-</v>
      </c>
      <c r="D81" s="680" t="str">
        <f t="shared" ref="D81:L81" si="21">D82&amp;"（含）"&amp;"-"&amp;E82</f>
        <v>（含）-</v>
      </c>
      <c r="E81" s="680" t="str">
        <f t="shared" si="21"/>
        <v>（含）-</v>
      </c>
      <c r="F81" s="680" t="str">
        <f t="shared" si="21"/>
        <v>（含）-</v>
      </c>
      <c r="G81" s="680" t="str">
        <f t="shared" si="21"/>
        <v>（含）-</v>
      </c>
      <c r="H81" s="680" t="str">
        <f t="shared" si="21"/>
        <v>（含）-</v>
      </c>
      <c r="I81" s="680" t="str">
        <f t="shared" si="21"/>
        <v>（含）-</v>
      </c>
      <c r="J81" s="680" t="str">
        <f t="shared" si="21"/>
        <v>（含）-</v>
      </c>
      <c r="K81" s="680" t="str">
        <f t="shared" si="21"/>
        <v>（含）-</v>
      </c>
      <c r="L81" s="680" t="str">
        <f t="shared" si="21"/>
        <v>（含）-</v>
      </c>
      <c r="M81" s="553" t="str">
        <f>M82&amp;"（含）"&amp;"-"&amp;P82</f>
        <v>（含）-</v>
      </c>
      <c r="N81" s="2162"/>
      <c r="O81" s="2162"/>
      <c r="P81" s="2161"/>
      <c r="Q81" s="2154"/>
      <c r="R81" s="2141"/>
      <c r="S81" s="2141"/>
      <c r="T81" s="2141"/>
      <c r="U81" s="2141"/>
      <c r="V81" s="2141"/>
      <c r="W81" s="2141"/>
      <c r="X81" s="2141"/>
      <c r="Y81" s="2141"/>
      <c r="Z81" s="2141"/>
      <c r="AA81" s="2141"/>
      <c r="AB81" s="2141"/>
      <c r="AC81" s="2141"/>
    </row>
    <row r="82" spans="1:29" ht="15">
      <c r="A82" s="667"/>
      <c r="B82" s="681"/>
      <c r="C82" s="539">
        <v>0</v>
      </c>
      <c r="D82" s="539"/>
      <c r="E82" s="539"/>
      <c r="F82" s="539"/>
      <c r="G82" s="539"/>
      <c r="H82" s="539"/>
      <c r="I82" s="539"/>
      <c r="J82" s="539"/>
      <c r="K82" s="682"/>
      <c r="L82" s="683"/>
      <c r="M82" s="684"/>
      <c r="N82" s="2160"/>
      <c r="O82" s="2160"/>
      <c r="P82" s="2161"/>
      <c r="Q82" s="2154"/>
      <c r="R82" s="2141"/>
      <c r="S82" s="2141"/>
      <c r="T82" s="2141"/>
      <c r="U82" s="2141"/>
      <c r="V82" s="2141"/>
      <c r="W82" s="2141"/>
      <c r="X82" s="2141"/>
      <c r="Y82" s="2141"/>
      <c r="Z82" s="2141"/>
      <c r="AA82" s="2141"/>
      <c r="AB82" s="2141"/>
      <c r="AC82" s="2141"/>
    </row>
    <row r="83" spans="1:29" ht="15.75" thickBot="1">
      <c r="A83" s="667"/>
      <c r="B83" s="668"/>
      <c r="C83" s="677">
        <v>100</v>
      </c>
      <c r="D83" s="677">
        <f>IF($B$48="单位面积地价",C83+$K13,C83-$K13)</f>
        <v>97</v>
      </c>
      <c r="E83" s="677">
        <f t="shared" ref="E83:M83" si="22">IF($B$48="单位面积地价",D83+$K13,D83-$K13)</f>
        <v>94</v>
      </c>
      <c r="F83" s="677">
        <f t="shared" si="22"/>
        <v>91</v>
      </c>
      <c r="G83" s="677">
        <f t="shared" si="22"/>
        <v>88</v>
      </c>
      <c r="H83" s="677">
        <f t="shared" si="22"/>
        <v>85</v>
      </c>
      <c r="I83" s="677">
        <f t="shared" si="22"/>
        <v>82</v>
      </c>
      <c r="J83" s="677">
        <f t="shared" si="22"/>
        <v>79</v>
      </c>
      <c r="K83" s="677">
        <f t="shared" si="22"/>
        <v>76</v>
      </c>
      <c r="L83" s="677">
        <f t="shared" si="22"/>
        <v>73</v>
      </c>
      <c r="M83" s="677">
        <f t="shared" si="22"/>
        <v>70</v>
      </c>
      <c r="N83" s="2162"/>
      <c r="O83" s="2162"/>
      <c r="P83" s="2161"/>
      <c r="Q83" s="2154"/>
      <c r="R83" s="2141"/>
      <c r="S83" s="2141"/>
      <c r="T83" s="2141"/>
      <c r="U83" s="2141"/>
      <c r="V83" s="2141"/>
      <c r="W83" s="2141"/>
      <c r="X83" s="2141"/>
      <c r="Y83" s="2141"/>
      <c r="Z83" s="2141"/>
      <c r="AA83" s="2141"/>
      <c r="AB83" s="2141"/>
      <c r="AC83" s="2141"/>
    </row>
    <row r="84" spans="1:29" s="1336" customFormat="1" ht="15.75" hidden="1" thickTop="1">
      <c r="A84" s="685"/>
      <c r="B84" s="671" t="str">
        <f>B14</f>
        <v>配建</v>
      </c>
      <c r="C84" s="686"/>
      <c r="D84" s="1371"/>
      <c r="E84" s="1372"/>
      <c r="F84" s="686"/>
      <c r="G84" s="686"/>
      <c r="H84" s="687"/>
      <c r="I84" s="687"/>
      <c r="J84" s="687"/>
      <c r="K84" s="687"/>
      <c r="L84" s="688"/>
      <c r="M84" s="689"/>
      <c r="N84" s="2163"/>
      <c r="O84" s="2163"/>
      <c r="P84" s="2164"/>
      <c r="Q84" s="2165"/>
      <c r="R84" s="2166"/>
      <c r="S84" s="2166"/>
      <c r="T84" s="2166"/>
      <c r="U84" s="2166"/>
      <c r="V84" s="2166"/>
      <c r="W84" s="2166"/>
      <c r="X84" s="2166"/>
      <c r="Y84" s="2166"/>
      <c r="Z84" s="2166"/>
      <c r="AA84" s="2166"/>
      <c r="AB84" s="2166"/>
      <c r="AC84" s="2166"/>
    </row>
    <row r="85" spans="1:29" s="1336" customFormat="1" ht="15.75" hidden="1" thickBot="1">
      <c r="A85" s="685"/>
      <c r="B85" s="676"/>
      <c r="C85" s="690"/>
      <c r="D85" s="669"/>
      <c r="E85" s="669"/>
      <c r="F85" s="669"/>
      <c r="G85" s="669"/>
      <c r="H85" s="669"/>
      <c r="I85" s="669"/>
      <c r="J85" s="669"/>
      <c r="K85" s="669"/>
      <c r="L85" s="669"/>
      <c r="M85" s="670"/>
      <c r="N85" s="2162"/>
      <c r="O85" s="2162"/>
      <c r="P85" s="2164"/>
      <c r="Q85" s="2165"/>
      <c r="R85" s="2166"/>
      <c r="S85" s="2166"/>
      <c r="T85" s="2166"/>
      <c r="U85" s="2166"/>
      <c r="V85" s="2166"/>
      <c r="W85" s="2166"/>
      <c r="X85" s="2166"/>
      <c r="Y85" s="2166"/>
      <c r="Z85" s="2166"/>
      <c r="AA85" s="2166"/>
      <c r="AB85" s="2166"/>
      <c r="AC85" s="2166"/>
    </row>
    <row r="86" spans="1:29" s="1336" customFormat="1" ht="15.75" hidden="1" thickTop="1">
      <c r="A86" s="685"/>
      <c r="B86" s="671" t="str">
        <f>B15</f>
        <v>人才公寓面积</v>
      </c>
      <c r="C86" s="686"/>
      <c r="D86" s="686"/>
      <c r="E86" s="686"/>
      <c r="F86" s="686"/>
      <c r="G86" s="686"/>
      <c r="H86" s="687"/>
      <c r="I86" s="687"/>
      <c r="J86" s="687"/>
      <c r="K86" s="687"/>
      <c r="L86" s="688"/>
      <c r="M86" s="689"/>
      <c r="N86" s="2163"/>
      <c r="O86" s="2163"/>
      <c r="P86" s="2167"/>
      <c r="Q86" s="2168"/>
      <c r="R86" s="2166"/>
      <c r="S86" s="2166"/>
      <c r="T86" s="2166"/>
      <c r="U86" s="2166"/>
      <c r="V86" s="2166"/>
      <c r="W86" s="2166"/>
      <c r="X86" s="2166"/>
      <c r="Y86" s="2166"/>
      <c r="Z86" s="2166"/>
      <c r="AA86" s="2166"/>
      <c r="AB86" s="2166"/>
      <c r="AC86" s="2166"/>
    </row>
    <row r="87" spans="1:29" s="1336" customFormat="1" ht="15.75" hidden="1" thickBot="1">
      <c r="A87" s="685"/>
      <c r="B87" s="676"/>
      <c r="C87" s="690"/>
      <c r="D87" s="690"/>
      <c r="E87" s="690"/>
      <c r="F87" s="690"/>
      <c r="G87" s="690"/>
      <c r="H87" s="691"/>
      <c r="I87" s="691"/>
      <c r="J87" s="691"/>
      <c r="K87" s="691"/>
      <c r="L87" s="691"/>
      <c r="M87" s="692"/>
      <c r="N87" s="2163"/>
      <c r="O87" s="2163"/>
      <c r="P87" s="2164"/>
      <c r="Q87" s="2165"/>
      <c r="R87" s="2166"/>
      <c r="S87" s="2166"/>
      <c r="T87" s="2166"/>
      <c r="U87" s="2166"/>
      <c r="V87" s="2166"/>
      <c r="W87" s="2166"/>
      <c r="X87" s="2166"/>
      <c r="Y87" s="2166"/>
      <c r="Z87" s="2166"/>
      <c r="AA87" s="2166"/>
      <c r="AB87" s="2166"/>
      <c r="AC87" s="2166"/>
    </row>
    <row r="88" spans="1:29" s="1336" customFormat="1" ht="15.75" hidden="1" thickTop="1">
      <c r="A88" s="685"/>
      <c r="B88" s="679" t="str">
        <f>B16</f>
        <v>销售均价</v>
      </c>
      <c r="C88" s="659"/>
      <c r="D88" s="659"/>
      <c r="E88" s="659"/>
      <c r="F88" s="659"/>
      <c r="G88" s="659"/>
      <c r="H88" s="693"/>
      <c r="I88" s="693"/>
      <c r="J88" s="693"/>
      <c r="K88" s="693"/>
      <c r="L88" s="694"/>
      <c r="M88" s="695"/>
      <c r="N88" s="2163"/>
      <c r="O88" s="2163"/>
      <c r="P88" s="2169"/>
      <c r="Q88" s="2165"/>
      <c r="R88" s="2166"/>
      <c r="S88" s="2166"/>
      <c r="T88" s="2166"/>
      <c r="U88" s="2166"/>
      <c r="V88" s="2166"/>
      <c r="W88" s="2166"/>
      <c r="X88" s="2166"/>
      <c r="Y88" s="2166"/>
      <c r="Z88" s="2166"/>
      <c r="AA88" s="2166"/>
      <c r="AB88" s="2166"/>
      <c r="AC88" s="2166"/>
    </row>
    <row r="89" spans="1:29" s="1336" customFormat="1" ht="15.75" hidden="1" thickBot="1">
      <c r="A89" s="696"/>
      <c r="B89" s="697"/>
      <c r="C89" s="698"/>
      <c r="D89" s="698"/>
      <c r="E89" s="698"/>
      <c r="F89" s="698"/>
      <c r="G89" s="698"/>
      <c r="H89" s="699"/>
      <c r="I89" s="699"/>
      <c r="J89" s="699"/>
      <c r="K89" s="699"/>
      <c r="L89" s="699"/>
      <c r="M89" s="700"/>
      <c r="N89" s="2163"/>
      <c r="O89" s="2163"/>
      <c r="P89" s="2164"/>
      <c r="Q89" s="2165"/>
      <c r="R89" s="2166"/>
      <c r="S89" s="2166"/>
      <c r="T89" s="2166"/>
      <c r="U89" s="2166"/>
      <c r="V89" s="2166"/>
      <c r="W89" s="2166"/>
      <c r="X89" s="2166"/>
      <c r="Y89" s="2166"/>
      <c r="Z89" s="2166"/>
      <c r="AA89" s="2166"/>
      <c r="AB89" s="2166"/>
      <c r="AC89" s="2166"/>
    </row>
    <row r="90" spans="1:29" ht="15" thickTop="1">
      <c r="A90" s="662" t="s">
        <v>539</v>
      </c>
      <c r="B90" s="663" t="s">
        <v>578</v>
      </c>
      <c r="C90" s="701" t="s">
        <v>579</v>
      </c>
      <c r="D90" s="701" t="s">
        <v>580</v>
      </c>
      <c r="E90" s="701" t="s">
        <v>581</v>
      </c>
      <c r="F90" s="701" t="s">
        <v>582</v>
      </c>
      <c r="G90" s="701" t="s">
        <v>583</v>
      </c>
      <c r="H90" s="702"/>
      <c r="I90" s="702"/>
      <c r="J90" s="702"/>
      <c r="K90" s="703"/>
      <c r="L90" s="704"/>
      <c r="M90" s="705"/>
      <c r="N90" s="2160"/>
      <c r="O90" s="2160"/>
      <c r="P90" s="2170"/>
      <c r="Q90" s="2154"/>
      <c r="R90" s="2141"/>
      <c r="S90" s="2141"/>
      <c r="T90" s="2141"/>
      <c r="U90" s="2141"/>
      <c r="V90" s="2141"/>
      <c r="W90" s="2141"/>
      <c r="X90" s="2141"/>
      <c r="Y90" s="2141"/>
      <c r="Z90" s="2141"/>
      <c r="AA90" s="2141"/>
      <c r="AB90" s="2141"/>
      <c r="AC90" s="2141"/>
    </row>
    <row r="91" spans="1:29" ht="15.75" thickBot="1">
      <c r="A91" s="667"/>
      <c r="B91" s="676"/>
      <c r="C91" s="677">
        <v>100</v>
      </c>
      <c r="D91" s="677">
        <f>C91-$K17</f>
        <v>97</v>
      </c>
      <c r="E91" s="677">
        <f>D91-$K17</f>
        <v>94</v>
      </c>
      <c r="F91" s="677">
        <f>E91-$K17</f>
        <v>91</v>
      </c>
      <c r="G91" s="677">
        <f>F91-$K17</f>
        <v>88</v>
      </c>
      <c r="H91" s="677"/>
      <c r="I91" s="677"/>
      <c r="J91" s="677"/>
      <c r="K91" s="677"/>
      <c r="L91" s="677"/>
      <c r="M91" s="678"/>
      <c r="N91" s="2162"/>
      <c r="O91" s="2162"/>
      <c r="P91" s="2161"/>
      <c r="Q91" s="2154"/>
      <c r="R91" s="2141"/>
      <c r="S91" s="2141"/>
      <c r="T91" s="2141"/>
      <c r="U91" s="2141"/>
      <c r="V91" s="2141"/>
      <c r="W91" s="2141"/>
      <c r="X91" s="2141"/>
      <c r="Y91" s="2141"/>
      <c r="Z91" s="2141"/>
      <c r="AA91" s="2141"/>
      <c r="AB91" s="2141"/>
      <c r="AC91" s="2141"/>
    </row>
    <row r="92" spans="1:29" ht="15.75" thickTop="1">
      <c r="A92" s="667"/>
      <c r="B92" s="671" t="s">
        <v>584</v>
      </c>
      <c r="C92" s="706" t="s">
        <v>579</v>
      </c>
      <c r="D92" s="706" t="s">
        <v>580</v>
      </c>
      <c r="E92" s="706" t="s">
        <v>581</v>
      </c>
      <c r="F92" s="706" t="s">
        <v>582</v>
      </c>
      <c r="G92" s="706" t="s">
        <v>583</v>
      </c>
      <c r="H92" s="672"/>
      <c r="I92" s="672"/>
      <c r="J92" s="672"/>
      <c r="K92" s="673"/>
      <c r="L92" s="674"/>
      <c r="M92" s="675"/>
      <c r="N92" s="2160"/>
      <c r="O92" s="2160"/>
      <c r="P92" s="2161"/>
      <c r="Q92" s="2154"/>
      <c r="R92" s="2141"/>
      <c r="S92" s="2141"/>
      <c r="T92" s="2141"/>
      <c r="U92" s="2141"/>
      <c r="V92" s="2141"/>
      <c r="W92" s="2141"/>
      <c r="X92" s="2141"/>
      <c r="Y92" s="2141"/>
      <c r="Z92" s="2141"/>
      <c r="AA92" s="2141"/>
      <c r="AB92" s="2141"/>
      <c r="AC92" s="2141"/>
    </row>
    <row r="93" spans="1:29" ht="15.75" thickBot="1">
      <c r="A93" s="667"/>
      <c r="B93" s="676"/>
      <c r="C93" s="677">
        <v>100</v>
      </c>
      <c r="D93" s="677">
        <f>C93-$K19</f>
        <v>98</v>
      </c>
      <c r="E93" s="677">
        <f>D93-$K19</f>
        <v>96</v>
      </c>
      <c r="F93" s="677">
        <f>E93-$K19</f>
        <v>94</v>
      </c>
      <c r="G93" s="677">
        <f>F93-$K19</f>
        <v>92</v>
      </c>
      <c r="H93" s="677"/>
      <c r="I93" s="677"/>
      <c r="J93" s="677"/>
      <c r="K93" s="677"/>
      <c r="L93" s="677"/>
      <c r="M93" s="678"/>
      <c r="N93" s="2162"/>
      <c r="O93" s="2162"/>
      <c r="P93" s="2161"/>
      <c r="Q93" s="2154"/>
      <c r="R93" s="2141"/>
      <c r="S93" s="2141"/>
      <c r="T93" s="2141"/>
      <c r="U93" s="2141"/>
      <c r="V93" s="2141"/>
      <c r="W93" s="2141"/>
      <c r="X93" s="2141"/>
      <c r="Y93" s="2141"/>
      <c r="Z93" s="2141"/>
      <c r="AA93" s="2141"/>
      <c r="AB93" s="2141"/>
      <c r="AC93" s="2141"/>
    </row>
    <row r="94" spans="1:29" ht="15.75" hidden="1" thickTop="1">
      <c r="A94" s="667"/>
      <c r="B94" s="671" t="s">
        <v>585</v>
      </c>
      <c r="C94" s="706" t="s">
        <v>579</v>
      </c>
      <c r="D94" s="706" t="s">
        <v>580</v>
      </c>
      <c r="E94" s="706" t="s">
        <v>581</v>
      </c>
      <c r="F94" s="706" t="s">
        <v>582</v>
      </c>
      <c r="G94" s="706" t="s">
        <v>583</v>
      </c>
      <c r="H94" s="672"/>
      <c r="I94" s="672"/>
      <c r="J94" s="672"/>
      <c r="K94" s="673"/>
      <c r="L94" s="674"/>
      <c r="M94" s="675"/>
      <c r="N94" s="2160"/>
      <c r="O94" s="2160"/>
      <c r="P94" s="2161"/>
      <c r="Q94" s="2154"/>
      <c r="R94" s="2141"/>
      <c r="S94" s="2141"/>
      <c r="T94" s="2141"/>
      <c r="U94" s="2141"/>
      <c r="V94" s="2141"/>
      <c r="W94" s="2141"/>
      <c r="X94" s="2141"/>
      <c r="Y94" s="2141"/>
      <c r="Z94" s="2141"/>
      <c r="AA94" s="2141"/>
      <c r="AB94" s="2141"/>
      <c r="AC94" s="2141"/>
    </row>
    <row r="95" spans="1:29" ht="15.75" hidden="1" thickBot="1">
      <c r="A95" s="667"/>
      <c r="B95" s="676"/>
      <c r="C95" s="677">
        <v>100</v>
      </c>
      <c r="D95" s="677">
        <f>C95-$K21</f>
        <v>100</v>
      </c>
      <c r="E95" s="677">
        <f>D95-$K21</f>
        <v>100</v>
      </c>
      <c r="F95" s="677">
        <f>E95-$K21</f>
        <v>100</v>
      </c>
      <c r="G95" s="677">
        <f>F95-$K21</f>
        <v>100</v>
      </c>
      <c r="H95" s="677"/>
      <c r="I95" s="677"/>
      <c r="J95" s="677"/>
      <c r="K95" s="677"/>
      <c r="L95" s="677"/>
      <c r="M95" s="678"/>
      <c r="N95" s="2162"/>
      <c r="O95" s="2162"/>
      <c r="P95" s="2161"/>
      <c r="Q95" s="2154"/>
      <c r="R95" s="2141"/>
      <c r="S95" s="2141"/>
      <c r="T95" s="2141"/>
      <c r="U95" s="2141"/>
      <c r="V95" s="2141"/>
      <c r="W95" s="2141"/>
      <c r="X95" s="2141"/>
      <c r="Y95" s="2141"/>
      <c r="Z95" s="2141"/>
      <c r="AA95" s="2141"/>
      <c r="AB95" s="2141"/>
      <c r="AC95" s="2141"/>
    </row>
    <row r="96" spans="1:29" ht="15.75" thickTop="1">
      <c r="A96" s="667"/>
      <c r="B96" s="671" t="s">
        <v>586</v>
      </c>
      <c r="C96" s="706" t="s">
        <v>579</v>
      </c>
      <c r="D96" s="706" t="s">
        <v>580</v>
      </c>
      <c r="E96" s="706" t="s">
        <v>581</v>
      </c>
      <c r="F96" s="706" t="s">
        <v>582</v>
      </c>
      <c r="G96" s="706" t="s">
        <v>583</v>
      </c>
      <c r="H96" s="672"/>
      <c r="I96" s="672"/>
      <c r="J96" s="672"/>
      <c r="K96" s="673"/>
      <c r="L96" s="674"/>
      <c r="M96" s="675"/>
      <c r="N96" s="2160"/>
      <c r="O96" s="2160"/>
      <c r="P96" s="2161"/>
      <c r="Q96" s="2154"/>
      <c r="R96" s="2141"/>
      <c r="S96" s="2141"/>
      <c r="T96" s="2141"/>
      <c r="U96" s="2141"/>
      <c r="V96" s="2141"/>
      <c r="W96" s="2141"/>
      <c r="X96" s="2141"/>
      <c r="Y96" s="2141"/>
      <c r="Z96" s="2141"/>
      <c r="AA96" s="2141"/>
      <c r="AB96" s="2141"/>
      <c r="AC96" s="2141"/>
    </row>
    <row r="97" spans="1:29" ht="15.75" thickBot="1">
      <c r="A97" s="667"/>
      <c r="B97" s="676"/>
      <c r="C97" s="677">
        <v>100</v>
      </c>
      <c r="D97" s="677">
        <f>C97-$K23</f>
        <v>97</v>
      </c>
      <c r="E97" s="677">
        <f>D97-$K23</f>
        <v>94</v>
      </c>
      <c r="F97" s="677">
        <f>E97-$K23</f>
        <v>91</v>
      </c>
      <c r="G97" s="677">
        <f>F97-$K23</f>
        <v>88</v>
      </c>
      <c r="H97" s="677"/>
      <c r="I97" s="677"/>
      <c r="J97" s="677"/>
      <c r="K97" s="677"/>
      <c r="L97" s="677"/>
      <c r="M97" s="678"/>
      <c r="N97" s="2162"/>
      <c r="O97" s="2162"/>
      <c r="P97" s="2161"/>
      <c r="Q97" s="2154"/>
      <c r="R97" s="2141"/>
      <c r="S97" s="2141"/>
      <c r="T97" s="2141"/>
      <c r="U97" s="2141"/>
      <c r="V97" s="2141"/>
      <c r="W97" s="2141"/>
      <c r="X97" s="2141"/>
      <c r="Y97" s="2141"/>
      <c r="Z97" s="2141"/>
      <c r="AA97" s="2141"/>
      <c r="AB97" s="2141"/>
      <c r="AC97" s="2141"/>
    </row>
    <row r="98" spans="1:29" s="1217" customFormat="1" ht="27.75" thickTop="1">
      <c r="A98" s="707"/>
      <c r="B98" s="671" t="s">
        <v>587</v>
      </c>
      <c r="C98" s="706" t="s">
        <v>579</v>
      </c>
      <c r="D98" s="706" t="s">
        <v>580</v>
      </c>
      <c r="E98" s="706" t="s">
        <v>581</v>
      </c>
      <c r="F98" s="706" t="s">
        <v>582</v>
      </c>
      <c r="G98" s="706" t="s">
        <v>583</v>
      </c>
      <c r="H98" s="706"/>
      <c r="I98" s="706"/>
      <c r="J98" s="706"/>
      <c r="K98" s="706"/>
      <c r="L98" s="708"/>
      <c r="M98" s="709"/>
      <c r="N98" s="2158"/>
      <c r="O98" s="2158"/>
      <c r="P98" s="2161"/>
      <c r="Q98" s="2154"/>
      <c r="R98" s="1989"/>
      <c r="S98" s="1989"/>
      <c r="T98" s="1989"/>
      <c r="U98" s="1989"/>
      <c r="V98" s="1989"/>
      <c r="W98" s="1989"/>
      <c r="X98" s="1989"/>
      <c r="Y98" s="1989"/>
      <c r="Z98" s="1989"/>
      <c r="AA98" s="1989"/>
      <c r="AB98" s="1989"/>
      <c r="AC98" s="1989"/>
    </row>
    <row r="99" spans="1:29" s="1217" customFormat="1" ht="15.75" thickBot="1">
      <c r="A99" s="707"/>
      <c r="B99" s="676"/>
      <c r="C99" s="710">
        <v>100</v>
      </c>
      <c r="D99" s="677">
        <f>C99-$K25</f>
        <v>95</v>
      </c>
      <c r="E99" s="677">
        <f>D99-$K25</f>
        <v>90</v>
      </c>
      <c r="F99" s="677">
        <f>E99-$K25</f>
        <v>85</v>
      </c>
      <c r="G99" s="677">
        <f>F99-$K25</f>
        <v>80</v>
      </c>
      <c r="H99" s="677"/>
      <c r="I99" s="677"/>
      <c r="J99" s="677"/>
      <c r="K99" s="677"/>
      <c r="L99" s="677"/>
      <c r="M99" s="678"/>
      <c r="N99" s="2162"/>
      <c r="O99" s="2162"/>
      <c r="P99" s="2161"/>
      <c r="Q99" s="2154"/>
      <c r="R99" s="1989"/>
      <c r="S99" s="1989"/>
      <c r="T99" s="1989"/>
      <c r="U99" s="1989"/>
      <c r="V99" s="1989"/>
      <c r="W99" s="1989"/>
      <c r="X99" s="1989"/>
      <c r="Y99" s="1989"/>
      <c r="Z99" s="1989"/>
      <c r="AA99" s="1989"/>
      <c r="AB99" s="1989"/>
      <c r="AC99" s="1989"/>
    </row>
    <row r="100" spans="1:29" s="1217" customFormat="1" ht="27.75" thickTop="1">
      <c r="A100" s="707"/>
      <c r="B100" s="671" t="s">
        <v>588</v>
      </c>
      <c r="C100" s="701" t="s">
        <v>579</v>
      </c>
      <c r="D100" s="701" t="s">
        <v>580</v>
      </c>
      <c r="E100" s="701" t="s">
        <v>581</v>
      </c>
      <c r="F100" s="701" t="s">
        <v>582</v>
      </c>
      <c r="G100" s="701" t="s">
        <v>583</v>
      </c>
      <c r="H100" s="706"/>
      <c r="I100" s="706"/>
      <c r="J100" s="706"/>
      <c r="K100" s="706"/>
      <c r="L100" s="706"/>
      <c r="M100" s="709"/>
      <c r="N100" s="2158"/>
      <c r="O100" s="2158"/>
      <c r="P100" s="2161"/>
      <c r="Q100" s="2154"/>
      <c r="R100" s="1989"/>
      <c r="S100" s="1989"/>
      <c r="T100" s="1989"/>
      <c r="U100" s="1989"/>
      <c r="V100" s="1989"/>
      <c r="W100" s="1989"/>
      <c r="X100" s="1989"/>
      <c r="Y100" s="1989"/>
      <c r="Z100" s="1989"/>
      <c r="AA100" s="1989"/>
      <c r="AB100" s="1989"/>
      <c r="AC100" s="1989"/>
    </row>
    <row r="101" spans="1:29" s="1217" customFormat="1" ht="15.75" thickBot="1">
      <c r="A101" s="707"/>
      <c r="B101" s="676"/>
      <c r="C101" s="677">
        <v>100</v>
      </c>
      <c r="D101" s="677">
        <f>C101-$K27</f>
        <v>97</v>
      </c>
      <c r="E101" s="677">
        <f>D101-$K27</f>
        <v>94</v>
      </c>
      <c r="F101" s="677">
        <f>E101-$K27</f>
        <v>91</v>
      </c>
      <c r="G101" s="677">
        <f>F101-$K27</f>
        <v>88</v>
      </c>
      <c r="H101" s="677"/>
      <c r="I101" s="677"/>
      <c r="J101" s="677"/>
      <c r="K101" s="677"/>
      <c r="L101" s="677"/>
      <c r="M101" s="678"/>
      <c r="N101" s="2162"/>
      <c r="O101" s="2162"/>
      <c r="P101" s="2161"/>
      <c r="Q101" s="2154"/>
      <c r="R101" s="1989"/>
      <c r="S101" s="1989"/>
      <c r="T101" s="1989"/>
      <c r="U101" s="1989"/>
      <c r="V101" s="1989"/>
      <c r="W101" s="1989"/>
      <c r="X101" s="1989"/>
      <c r="Y101" s="1989"/>
      <c r="Z101" s="1989"/>
      <c r="AA101" s="1989"/>
      <c r="AB101" s="1989"/>
      <c r="AC101" s="1989"/>
    </row>
    <row r="102" spans="1:29" s="1336" customFormat="1" ht="15.75" thickTop="1">
      <c r="A102" s="685"/>
      <c r="B102" s="1892" t="s">
        <v>2548</v>
      </c>
      <c r="C102" s="701" t="s">
        <v>579</v>
      </c>
      <c r="D102" s="701" t="s">
        <v>580</v>
      </c>
      <c r="E102" s="701" t="s">
        <v>581</v>
      </c>
      <c r="F102" s="701" t="s">
        <v>582</v>
      </c>
      <c r="G102" s="701" t="s">
        <v>583</v>
      </c>
      <c r="H102" s="711"/>
      <c r="I102" s="711"/>
      <c r="J102" s="711"/>
      <c r="K102" s="711"/>
      <c r="L102" s="712"/>
      <c r="M102" s="713"/>
      <c r="N102" s="2163"/>
      <c r="O102" s="2163"/>
      <c r="P102" s="2164"/>
      <c r="Q102" s="2165"/>
      <c r="R102" s="2166"/>
      <c r="S102" s="2166"/>
      <c r="T102" s="2166"/>
      <c r="U102" s="2166"/>
      <c r="V102" s="2166"/>
      <c r="W102" s="2166"/>
      <c r="X102" s="2166"/>
      <c r="Y102" s="2166"/>
      <c r="Z102" s="2166"/>
      <c r="AA102" s="2166"/>
      <c r="AB102" s="2166"/>
      <c r="AC102" s="2166"/>
    </row>
    <row r="103" spans="1:29" s="1336" customFormat="1" ht="15.75" thickBot="1">
      <c r="A103" s="685"/>
      <c r="B103" s="676"/>
      <c r="C103" s="677">
        <v>100</v>
      </c>
      <c r="D103" s="677">
        <f>C103-$K29</f>
        <v>97</v>
      </c>
      <c r="E103" s="677">
        <f>D103-$K29</f>
        <v>94</v>
      </c>
      <c r="F103" s="677">
        <f>E103-$K29</f>
        <v>91</v>
      </c>
      <c r="G103" s="677">
        <f>F103-$K29</f>
        <v>88</v>
      </c>
      <c r="H103" s="714"/>
      <c r="I103" s="714"/>
      <c r="J103" s="714"/>
      <c r="K103" s="714"/>
      <c r="L103" s="714"/>
      <c r="M103" s="715"/>
      <c r="N103" s="2163"/>
      <c r="O103" s="2163"/>
      <c r="P103" s="2164"/>
      <c r="Q103" s="2165"/>
      <c r="R103" s="2166"/>
      <c r="S103" s="2166"/>
      <c r="T103" s="2166"/>
      <c r="U103" s="2166"/>
      <c r="V103" s="2166"/>
      <c r="W103" s="2166"/>
      <c r="X103" s="2166"/>
      <c r="Y103" s="2166"/>
      <c r="Z103" s="2166"/>
      <c r="AA103" s="2166"/>
      <c r="AB103" s="2166"/>
      <c r="AC103" s="2166"/>
    </row>
    <row r="104" spans="1:29" s="1336" customFormat="1" ht="15.75" thickTop="1">
      <c r="A104" s="685"/>
      <c r="B104" s="2593" t="s">
        <v>2550</v>
      </c>
      <c r="C104" s="2594" t="s">
        <v>2551</v>
      </c>
      <c r="D104" s="2594" t="s">
        <v>2552</v>
      </c>
      <c r="E104" s="2594" t="s">
        <v>2553</v>
      </c>
      <c r="F104" s="2594" t="s">
        <v>2554</v>
      </c>
      <c r="G104" s="2594" t="s">
        <v>2555</v>
      </c>
      <c r="H104" s="711"/>
      <c r="I104" s="711"/>
      <c r="J104" s="711"/>
      <c r="K104" s="711"/>
      <c r="L104" s="711"/>
      <c r="M104" s="713"/>
      <c r="N104" s="2163"/>
      <c r="O104" s="2163"/>
      <c r="P104" s="2164"/>
      <c r="Q104" s="2165"/>
      <c r="R104" s="2166"/>
      <c r="S104" s="2166"/>
      <c r="T104" s="2166"/>
      <c r="U104" s="2166"/>
      <c r="V104" s="2166"/>
      <c r="W104" s="2166"/>
      <c r="X104" s="2166"/>
      <c r="Y104" s="2166"/>
      <c r="Z104" s="2166"/>
      <c r="AA104" s="2166"/>
      <c r="AB104" s="2166"/>
      <c r="AC104" s="2166"/>
    </row>
    <row r="105" spans="1:29" s="1336" customFormat="1" ht="15.75" thickBot="1">
      <c r="A105" s="685"/>
      <c r="B105" s="679"/>
      <c r="C105" s="677">
        <v>100</v>
      </c>
      <c r="D105" s="677">
        <f>C105-$K31</f>
        <v>98</v>
      </c>
      <c r="E105" s="677">
        <f>D105-$K31</f>
        <v>96</v>
      </c>
      <c r="F105" s="677">
        <f>E105-$K31</f>
        <v>94</v>
      </c>
      <c r="G105" s="677">
        <f>F105-$K31</f>
        <v>92</v>
      </c>
      <c r="H105" s="681"/>
      <c r="I105" s="681"/>
      <c r="J105" s="681"/>
      <c r="K105" s="681"/>
      <c r="L105" s="681"/>
      <c r="M105" s="2586"/>
      <c r="N105" s="2163"/>
      <c r="O105" s="2163"/>
      <c r="P105" s="2164"/>
      <c r="Q105" s="2165"/>
      <c r="R105" s="2166"/>
      <c r="S105" s="2166"/>
      <c r="T105" s="2166"/>
      <c r="U105" s="2166"/>
      <c r="V105" s="2166"/>
      <c r="W105" s="2166"/>
      <c r="X105" s="2166"/>
      <c r="Y105" s="2166"/>
      <c r="Z105" s="2166"/>
      <c r="AA105" s="2166"/>
      <c r="AB105" s="2166"/>
      <c r="AC105" s="2166"/>
    </row>
    <row r="106" spans="1:29" ht="15.75" hidden="1" thickTop="1">
      <c r="A106" s="667"/>
      <c r="B106" s="671" t="str">
        <f>B33</f>
        <v>临街状况</v>
      </c>
      <c r="C106" s="672" t="s">
        <v>589</v>
      </c>
      <c r="D106" s="672" t="s">
        <v>590</v>
      </c>
      <c r="E106" s="672" t="s">
        <v>591</v>
      </c>
      <c r="F106" s="672" t="s">
        <v>592</v>
      </c>
      <c r="G106" s="672"/>
      <c r="H106" s="672"/>
      <c r="I106" s="672"/>
      <c r="J106" s="672"/>
      <c r="K106" s="673"/>
      <c r="L106" s="674"/>
      <c r="M106" s="675"/>
      <c r="N106" s="2160"/>
      <c r="O106" s="2160"/>
      <c r="P106" s="2161"/>
      <c r="Q106" s="2154"/>
      <c r="R106" s="2141"/>
      <c r="S106" s="2141"/>
      <c r="T106" s="2141"/>
      <c r="U106" s="2141"/>
      <c r="V106" s="2141"/>
      <c r="W106" s="2141"/>
      <c r="X106" s="2141"/>
      <c r="Y106" s="2141"/>
      <c r="Z106" s="2141"/>
      <c r="AA106" s="2141"/>
      <c r="AB106" s="2141"/>
      <c r="AC106" s="2141"/>
    </row>
    <row r="107" spans="1:29" ht="15.75" hidden="1" thickBot="1">
      <c r="A107" s="667"/>
      <c r="B107" s="676"/>
      <c r="C107" s="677">
        <v>100</v>
      </c>
      <c r="D107" s="677">
        <f>C107-$K33</f>
        <v>100</v>
      </c>
      <c r="E107" s="677">
        <f t="shared" ref="E107:M107" si="23">D107-$K33</f>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7"/>
      <c r="B108" s="671" t="s">
        <v>548</v>
      </c>
      <c r="C108" s="3381" t="s">
        <v>3408</v>
      </c>
      <c r="D108" s="686"/>
      <c r="E108" s="686"/>
      <c r="F108" s="686"/>
      <c r="G108" s="686"/>
      <c r="H108" s="716"/>
      <c r="I108" s="716"/>
      <c r="J108" s="716"/>
      <c r="K108" s="717"/>
      <c r="L108" s="718"/>
      <c r="M108" s="719"/>
      <c r="N108" s="2160"/>
      <c r="O108" s="2160"/>
      <c r="P108" s="2161"/>
      <c r="Q108" s="2154"/>
      <c r="R108" s="2141"/>
      <c r="S108" s="2141"/>
      <c r="T108" s="2141"/>
      <c r="U108" s="2141"/>
      <c r="V108" s="2141"/>
      <c r="W108" s="2141"/>
      <c r="X108" s="2141"/>
      <c r="Y108" s="2141"/>
      <c r="Z108" s="2141"/>
      <c r="AA108" s="2141"/>
      <c r="AB108" s="2141"/>
      <c r="AC108" s="2141"/>
    </row>
    <row r="109" spans="1:29" ht="15.75" thickBot="1">
      <c r="A109" s="667"/>
      <c r="B109" s="676"/>
      <c r="C109" s="677">
        <v>100</v>
      </c>
      <c r="D109" s="677">
        <f>C109-$K34</f>
        <v>98</v>
      </c>
      <c r="E109" s="677">
        <f t="shared" ref="E109:M109" si="24">D109-$K34</f>
        <v>96</v>
      </c>
      <c r="F109" s="677">
        <f t="shared" si="24"/>
        <v>94</v>
      </c>
      <c r="G109" s="677">
        <f t="shared" si="24"/>
        <v>92</v>
      </c>
      <c r="H109" s="677">
        <f t="shared" si="24"/>
        <v>90</v>
      </c>
      <c r="I109" s="677">
        <f t="shared" si="24"/>
        <v>88</v>
      </c>
      <c r="J109" s="677">
        <f t="shared" si="24"/>
        <v>86</v>
      </c>
      <c r="K109" s="677">
        <f t="shared" si="24"/>
        <v>84</v>
      </c>
      <c r="L109" s="677">
        <f t="shared" si="24"/>
        <v>82</v>
      </c>
      <c r="M109" s="677">
        <f t="shared" si="24"/>
        <v>80</v>
      </c>
      <c r="N109" s="2162"/>
      <c r="O109" s="2162"/>
      <c r="P109" s="2161"/>
      <c r="Q109" s="2154"/>
      <c r="R109" s="2141"/>
      <c r="S109" s="2141"/>
      <c r="T109" s="2141"/>
      <c r="U109" s="2141"/>
      <c r="V109" s="2141"/>
      <c r="W109" s="2141"/>
      <c r="X109" s="2141"/>
      <c r="Y109" s="2141"/>
      <c r="Z109" s="2141"/>
      <c r="AA109" s="2141"/>
      <c r="AB109" s="2141"/>
      <c r="AC109" s="2141"/>
    </row>
    <row r="110" spans="1:29" ht="15.75" hidden="1" thickTop="1">
      <c r="A110" s="667"/>
      <c r="B110" s="671" t="s">
        <v>549</v>
      </c>
      <c r="C110" s="716"/>
      <c r="D110" s="716"/>
      <c r="E110" s="716"/>
      <c r="F110" s="716"/>
      <c r="G110" s="716"/>
      <c r="H110" s="716"/>
      <c r="I110" s="716"/>
      <c r="J110" s="716"/>
      <c r="K110" s="717"/>
      <c r="L110" s="718"/>
      <c r="M110" s="719"/>
      <c r="N110" s="2160"/>
      <c r="O110" s="2160"/>
      <c r="P110" s="2161"/>
      <c r="Q110" s="2154"/>
      <c r="R110" s="2141"/>
      <c r="S110" s="2141"/>
      <c r="T110" s="2141"/>
      <c r="U110" s="2141"/>
      <c r="V110" s="2141"/>
      <c r="W110" s="2141"/>
      <c r="X110" s="2141"/>
      <c r="Y110" s="2141"/>
      <c r="Z110" s="2141"/>
      <c r="AA110" s="2141"/>
      <c r="AB110" s="2141"/>
      <c r="AC110" s="2141"/>
    </row>
    <row r="111" spans="1:29" ht="15.75" hidden="1"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2"/>
      <c r="O111" s="2162"/>
      <c r="P111" s="2161"/>
      <c r="Q111" s="2154"/>
      <c r="R111" s="2141"/>
      <c r="S111" s="2141"/>
      <c r="T111" s="2141"/>
      <c r="U111" s="2141"/>
      <c r="V111" s="2141"/>
      <c r="W111" s="2141"/>
      <c r="X111" s="2141"/>
      <c r="Y111" s="2141"/>
      <c r="Z111" s="2141"/>
      <c r="AA111" s="2141"/>
      <c r="AB111" s="2141"/>
      <c r="AC111" s="2141"/>
    </row>
    <row r="112" spans="1:29" ht="15.75" hidden="1" thickTop="1">
      <c r="A112" s="667"/>
      <c r="B112" s="679">
        <f>B37</f>
        <v>111</v>
      </c>
      <c r="C112" s="686"/>
      <c r="D112" s="686"/>
      <c r="E112" s="686"/>
      <c r="F112" s="686"/>
      <c r="G112" s="720"/>
      <c r="H112" s="720"/>
      <c r="I112" s="720"/>
      <c r="J112" s="720"/>
      <c r="K112" s="721"/>
      <c r="L112" s="722"/>
      <c r="M112" s="723"/>
      <c r="N112" s="2160"/>
      <c r="O112" s="2160"/>
      <c r="P112" s="2161"/>
      <c r="Q112" s="2154"/>
      <c r="R112" s="2141"/>
      <c r="S112" s="2141"/>
      <c r="T112" s="2141"/>
      <c r="U112" s="2141"/>
      <c r="V112" s="2141"/>
      <c r="W112" s="2141"/>
      <c r="X112" s="2141"/>
      <c r="Y112" s="2141"/>
      <c r="Z112" s="2141"/>
      <c r="AA112" s="2141"/>
      <c r="AB112" s="2141"/>
      <c r="AC112" s="2141"/>
    </row>
    <row r="113" spans="1:29" ht="15.75" hidden="1" thickBot="1">
      <c r="A113" s="667"/>
      <c r="B113" s="697"/>
      <c r="C113" s="690"/>
      <c r="D113" s="690"/>
      <c r="E113" s="690"/>
      <c r="F113" s="690"/>
      <c r="G113" s="724"/>
      <c r="H113" s="724"/>
      <c r="I113" s="724"/>
      <c r="J113" s="724"/>
      <c r="K113" s="724"/>
      <c r="L113" s="724"/>
      <c r="M113" s="725"/>
      <c r="N113" s="2162"/>
      <c r="O113" s="2162"/>
      <c r="P113" s="2161"/>
      <c r="Q113" s="2154"/>
      <c r="R113" s="2141"/>
      <c r="S113" s="2141"/>
      <c r="T113" s="2141"/>
      <c r="U113" s="2141"/>
      <c r="V113" s="2141"/>
      <c r="W113" s="2141"/>
      <c r="X113" s="2141"/>
      <c r="Y113" s="2141"/>
      <c r="Z113" s="2141"/>
      <c r="AA113" s="2141"/>
      <c r="AB113" s="2141"/>
      <c r="AC113" s="2141"/>
    </row>
    <row r="114" spans="1:29" ht="15" hidden="1" thickTop="1">
      <c r="A114" s="585"/>
      <c r="B114" s="671">
        <f>B38</f>
        <v>111</v>
      </c>
      <c r="C114" s="659"/>
      <c r="D114" s="659"/>
      <c r="E114" s="659"/>
      <c r="F114" s="659"/>
      <c r="G114" s="716"/>
      <c r="H114" s="716"/>
      <c r="I114" s="716"/>
      <c r="J114" s="716"/>
      <c r="K114" s="717"/>
      <c r="L114" s="718"/>
      <c r="M114" s="719"/>
      <c r="N114" s="2160"/>
      <c r="O114" s="2160"/>
      <c r="P114" s="2161"/>
      <c r="Q114" s="2154"/>
      <c r="R114" s="2141"/>
      <c r="S114" s="2141"/>
      <c r="T114" s="2141"/>
      <c r="U114" s="2141"/>
      <c r="V114" s="2141"/>
      <c r="W114" s="2141"/>
      <c r="X114" s="2141"/>
      <c r="Y114" s="2141"/>
      <c r="Z114" s="2141"/>
      <c r="AA114" s="2141"/>
      <c r="AB114" s="2141"/>
      <c r="AC114" s="2141"/>
    </row>
    <row r="115" spans="1:29" ht="15.75" hidden="1" thickBot="1">
      <c r="A115" s="667"/>
      <c r="B115" s="676"/>
      <c r="C115" s="698"/>
      <c r="D115" s="698"/>
      <c r="E115" s="698"/>
      <c r="F115" s="698"/>
      <c r="G115" s="669"/>
      <c r="H115" s="669"/>
      <c r="I115" s="669"/>
      <c r="J115" s="669"/>
      <c r="K115" s="669"/>
      <c r="L115" s="669"/>
      <c r="M115" s="670"/>
      <c r="N115" s="2162"/>
      <c r="O115" s="2162"/>
      <c r="P115" s="2161"/>
      <c r="Q115" s="2154"/>
      <c r="R115" s="2141"/>
      <c r="S115" s="2141"/>
      <c r="T115" s="2141"/>
      <c r="U115" s="2141"/>
      <c r="V115" s="2141"/>
      <c r="W115" s="2141"/>
      <c r="X115" s="2141"/>
      <c r="Y115" s="2141"/>
      <c r="Z115" s="2141"/>
      <c r="AA115" s="2141"/>
      <c r="AB115" s="2141"/>
      <c r="AC115" s="2141"/>
    </row>
    <row r="116" spans="1:29" s="1336" customFormat="1" ht="15" hidden="1" thickTop="1">
      <c r="A116" s="726"/>
      <c r="B116" s="727">
        <f>B39</f>
        <v>111</v>
      </c>
      <c r="C116" s="728"/>
      <c r="D116" s="728"/>
      <c r="E116" s="728"/>
      <c r="F116" s="728"/>
      <c r="G116" s="728"/>
      <c r="H116" s="728"/>
      <c r="I116" s="728"/>
      <c r="J116" s="729"/>
      <c r="K116" s="729"/>
      <c r="L116" s="730"/>
      <c r="M116" s="731"/>
      <c r="N116" s="2163"/>
      <c r="O116" s="2163"/>
      <c r="P116" s="2164"/>
      <c r="Q116" s="2165"/>
      <c r="R116" s="2166"/>
      <c r="S116" s="2166"/>
      <c r="T116" s="2166"/>
      <c r="U116" s="2166"/>
      <c r="V116" s="2166"/>
      <c r="W116" s="2166"/>
      <c r="X116" s="2166"/>
      <c r="Y116" s="2166"/>
      <c r="Z116" s="2166"/>
      <c r="AA116" s="2166"/>
      <c r="AB116" s="2166"/>
      <c r="AC116" s="2166"/>
    </row>
    <row r="117" spans="1:29" s="1336" customFormat="1" ht="15.75" hidden="1" thickBot="1">
      <c r="A117" s="685"/>
      <c r="B117" s="679"/>
      <c r="C117" s="648"/>
      <c r="D117" s="590"/>
      <c r="E117" s="590"/>
      <c r="F117" s="590"/>
      <c r="G117" s="590"/>
      <c r="H117" s="590"/>
      <c r="I117" s="590"/>
      <c r="J117" s="590"/>
      <c r="K117" s="590"/>
      <c r="L117" s="590"/>
      <c r="M117" s="732"/>
      <c r="N117" s="2162"/>
      <c r="O117" s="2162"/>
      <c r="P117" s="2164"/>
      <c r="Q117" s="2165"/>
      <c r="R117" s="2166"/>
      <c r="S117" s="2166"/>
      <c r="T117" s="2166"/>
      <c r="U117" s="2166"/>
      <c r="V117" s="2166"/>
      <c r="W117" s="2166"/>
      <c r="X117" s="2166"/>
      <c r="Y117" s="2166"/>
      <c r="Z117" s="2166"/>
      <c r="AA117" s="2166"/>
      <c r="AB117" s="2166"/>
      <c r="AC117" s="2166"/>
    </row>
    <row r="118" spans="1:29" ht="15" thickTop="1">
      <c r="A118" s="662" t="s">
        <v>551</v>
      </c>
      <c r="B118" s="663" t="s">
        <v>593</v>
      </c>
      <c r="C118" s="702" t="str">
        <f t="shared" ref="C118:L118" si="26">C119&amp;"(含)"&amp;"-"&amp;D119</f>
        <v>0(含)-</v>
      </c>
      <c r="D118" s="702" t="str">
        <f t="shared" si="26"/>
        <v>(含)-</v>
      </c>
      <c r="E118" s="702" t="str">
        <f t="shared" si="26"/>
        <v>(含)-</v>
      </c>
      <c r="F118" s="702" t="str">
        <f t="shared" si="26"/>
        <v>(含)-</v>
      </c>
      <c r="G118" s="702" t="str">
        <f t="shared" si="26"/>
        <v>(含)-</v>
      </c>
      <c r="H118" s="702" t="str">
        <f t="shared" si="26"/>
        <v>(含)-</v>
      </c>
      <c r="I118" s="702" t="str">
        <f t="shared" si="26"/>
        <v>(含)-</v>
      </c>
      <c r="J118" s="3088" t="str">
        <f t="shared" si="26"/>
        <v>(含)-</v>
      </c>
      <c r="K118" s="3088" t="str">
        <f t="shared" si="26"/>
        <v>(含)-</v>
      </c>
      <c r="L118" s="3089" t="str">
        <f t="shared" si="26"/>
        <v>(含)-</v>
      </c>
      <c r="M118" s="3090"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7"/>
      <c r="B119" s="679"/>
      <c r="C119" s="728">
        <v>0</v>
      </c>
      <c r="D119" s="728"/>
      <c r="E119" s="728"/>
      <c r="F119" s="728"/>
      <c r="G119" s="728"/>
      <c r="H119" s="728"/>
      <c r="I119" s="728"/>
      <c r="J119" s="2363"/>
      <c r="K119" s="2363"/>
      <c r="L119" s="2364"/>
      <c r="M119" s="2365"/>
      <c r="N119" s="2160"/>
      <c r="O119" s="2160"/>
      <c r="P119" s="2161"/>
      <c r="Q119" s="2154"/>
      <c r="R119" s="2141"/>
      <c r="S119" s="2141"/>
      <c r="T119" s="2141"/>
      <c r="U119" s="2141"/>
      <c r="V119" s="2141"/>
      <c r="W119" s="2141"/>
      <c r="X119" s="2141"/>
      <c r="Y119" s="2141"/>
      <c r="Z119" s="2141"/>
      <c r="AA119" s="2141"/>
      <c r="AB119" s="2141"/>
      <c r="AC119" s="2141"/>
    </row>
    <row r="120" spans="1:29" ht="15.75" thickBot="1">
      <c r="A120" s="667"/>
      <c r="B120" s="676"/>
      <c r="C120" s="698"/>
      <c r="D120" s="724"/>
      <c r="E120" s="724"/>
      <c r="F120" s="724"/>
      <c r="G120" s="724"/>
      <c r="H120" s="724"/>
      <c r="I120" s="724"/>
      <c r="J120" s="724"/>
      <c r="K120" s="724"/>
      <c r="L120" s="724"/>
      <c r="M120" s="725"/>
      <c r="N120" s="2162"/>
      <c r="O120" s="2162"/>
      <c r="P120" s="2161"/>
      <c r="Q120" s="2154"/>
      <c r="R120" s="2141"/>
      <c r="S120" s="2141"/>
      <c r="T120" s="2141"/>
      <c r="U120" s="2141"/>
      <c r="V120" s="2141"/>
      <c r="W120" s="2141"/>
      <c r="X120" s="2141"/>
      <c r="Y120" s="2141"/>
      <c r="Z120" s="2141"/>
      <c r="AA120" s="2141"/>
      <c r="AB120" s="2141"/>
      <c r="AC120" s="2141"/>
    </row>
    <row r="121" spans="1:29" ht="15" thickTop="1">
      <c r="A121" s="733"/>
      <c r="B121" s="671" t="s">
        <v>594</v>
      </c>
      <c r="C121" s="3382" t="s">
        <v>3410</v>
      </c>
      <c r="D121" s="716"/>
      <c r="E121" s="716"/>
      <c r="F121" s="716"/>
      <c r="G121" s="716"/>
      <c r="H121" s="716"/>
      <c r="I121" s="716"/>
      <c r="J121" s="716"/>
      <c r="K121" s="717"/>
      <c r="L121" s="718"/>
      <c r="M121" s="719"/>
      <c r="N121" s="2160"/>
      <c r="O121" s="2160"/>
      <c r="P121" s="2161"/>
      <c r="Q121" s="2154"/>
      <c r="R121" s="2141"/>
      <c r="S121" s="2141"/>
      <c r="T121" s="2141"/>
      <c r="U121" s="2141"/>
      <c r="V121" s="2141"/>
      <c r="W121" s="2141"/>
      <c r="X121" s="2141"/>
      <c r="Y121" s="2141"/>
      <c r="Z121" s="2141"/>
      <c r="AA121" s="2141"/>
      <c r="AB121" s="2141"/>
      <c r="AC121" s="2141"/>
    </row>
    <row r="122" spans="1:29" ht="15.75" thickBot="1">
      <c r="A122" s="667"/>
      <c r="B122" s="676"/>
      <c r="C122" s="677">
        <v>100</v>
      </c>
      <c r="D122" s="677">
        <f t="shared" ref="D122:M122" si="27">C122-$K41</f>
        <v>98</v>
      </c>
      <c r="E122" s="677">
        <f t="shared" si="27"/>
        <v>96</v>
      </c>
      <c r="F122" s="677">
        <f t="shared" si="27"/>
        <v>94</v>
      </c>
      <c r="G122" s="677">
        <f t="shared" si="27"/>
        <v>92</v>
      </c>
      <c r="H122" s="677">
        <f t="shared" si="27"/>
        <v>90</v>
      </c>
      <c r="I122" s="677">
        <f t="shared" si="27"/>
        <v>88</v>
      </c>
      <c r="J122" s="677">
        <f t="shared" si="27"/>
        <v>86</v>
      </c>
      <c r="K122" s="677">
        <f t="shared" si="27"/>
        <v>84</v>
      </c>
      <c r="L122" s="677">
        <f t="shared" si="27"/>
        <v>82</v>
      </c>
      <c r="M122" s="678">
        <f t="shared" si="27"/>
        <v>80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3"/>
      <c r="B123" s="671" t="s">
        <v>595</v>
      </c>
      <c r="C123" s="686"/>
      <c r="D123" s="686"/>
      <c r="E123" s="686"/>
      <c r="F123" s="716"/>
      <c r="G123" s="716"/>
      <c r="H123" s="716"/>
      <c r="I123" s="716"/>
      <c r="J123" s="716"/>
      <c r="K123" s="717"/>
      <c r="L123" s="718"/>
      <c r="M123" s="719"/>
      <c r="N123" s="2160"/>
      <c r="O123" s="2160"/>
      <c r="P123" s="2161"/>
      <c r="Q123" s="2154"/>
      <c r="R123" s="2141"/>
      <c r="S123" s="2141"/>
      <c r="T123" s="2141"/>
      <c r="U123" s="2141"/>
      <c r="V123" s="2141"/>
      <c r="W123" s="2141"/>
      <c r="X123" s="2141"/>
      <c r="Y123" s="2141"/>
      <c r="Z123" s="2141"/>
      <c r="AA123" s="2141"/>
      <c r="AB123" s="2141"/>
      <c r="AC123" s="2141"/>
    </row>
    <row r="124" spans="1:29" ht="15.75" thickBot="1">
      <c r="A124" s="667"/>
      <c r="B124" s="676"/>
      <c r="C124" s="677">
        <v>100</v>
      </c>
      <c r="D124" s="677">
        <f t="shared" ref="D124:M124" si="28">C124-$K42</f>
        <v>100</v>
      </c>
      <c r="E124" s="677">
        <f t="shared" si="28"/>
        <v>100</v>
      </c>
      <c r="F124" s="677">
        <f t="shared" si="28"/>
        <v>100</v>
      </c>
      <c r="G124" s="677">
        <f t="shared" si="28"/>
        <v>100</v>
      </c>
      <c r="H124" s="677">
        <f t="shared" si="28"/>
        <v>100</v>
      </c>
      <c r="I124" s="677">
        <f t="shared" si="28"/>
        <v>100</v>
      </c>
      <c r="J124" s="677">
        <f t="shared" si="28"/>
        <v>100</v>
      </c>
      <c r="K124" s="677">
        <f t="shared" si="28"/>
        <v>100</v>
      </c>
      <c r="L124" s="677">
        <f t="shared" si="28"/>
        <v>100</v>
      </c>
      <c r="M124" s="678">
        <f t="shared" si="28"/>
        <v>100</v>
      </c>
      <c r="N124" s="2162"/>
      <c r="O124" s="2162"/>
      <c r="P124" s="2161"/>
      <c r="Q124" s="2154"/>
      <c r="R124" s="2141"/>
      <c r="S124" s="2141"/>
      <c r="T124" s="2141"/>
      <c r="U124" s="2141"/>
      <c r="V124" s="2141"/>
      <c r="W124" s="2141"/>
      <c r="X124" s="2141"/>
      <c r="Y124" s="2141"/>
      <c r="Z124" s="2141"/>
      <c r="AA124" s="2141"/>
      <c r="AB124" s="2141"/>
      <c r="AC124" s="2141"/>
    </row>
    <row r="125" spans="1:29" s="1336" customFormat="1" ht="15" thickTop="1">
      <c r="A125" s="726"/>
      <c r="B125" s="1892" t="s">
        <v>2425</v>
      </c>
      <c r="C125" s="1371" t="s">
        <v>3412</v>
      </c>
      <c r="D125" s="1371"/>
      <c r="E125" s="1371"/>
      <c r="F125" s="1371"/>
      <c r="G125" s="1371"/>
      <c r="H125" s="716"/>
      <c r="I125" s="716"/>
      <c r="J125" s="716"/>
      <c r="K125" s="717"/>
      <c r="L125" s="718"/>
      <c r="M125" s="719"/>
      <c r="N125" s="2163"/>
      <c r="O125" s="2163"/>
      <c r="P125" s="2164"/>
      <c r="Q125" s="2165"/>
      <c r="R125" s="2166"/>
      <c r="S125" s="2166"/>
      <c r="T125" s="2166"/>
      <c r="U125" s="2166"/>
      <c r="V125" s="2166"/>
      <c r="W125" s="2166"/>
      <c r="X125" s="2166"/>
      <c r="Y125" s="2166"/>
      <c r="Z125" s="2166"/>
      <c r="AA125" s="2166"/>
      <c r="AB125" s="2166"/>
      <c r="AC125" s="2166"/>
    </row>
    <row r="126" spans="1:29" s="1336" customFormat="1" ht="15.75" thickBot="1">
      <c r="A126" s="685"/>
      <c r="B126" s="676"/>
      <c r="C126" s="677">
        <v>100</v>
      </c>
      <c r="D126" s="677">
        <f>C126-$K43</f>
        <v>98</v>
      </c>
      <c r="E126" s="677">
        <f t="shared" ref="E126:M126" si="29">D126-$K43</f>
        <v>96</v>
      </c>
      <c r="F126" s="677">
        <f t="shared" si="29"/>
        <v>94</v>
      </c>
      <c r="G126" s="677">
        <f t="shared" si="29"/>
        <v>92</v>
      </c>
      <c r="H126" s="677">
        <f t="shared" si="29"/>
        <v>90</v>
      </c>
      <c r="I126" s="677">
        <f t="shared" si="29"/>
        <v>88</v>
      </c>
      <c r="J126" s="677">
        <f t="shared" si="29"/>
        <v>86</v>
      </c>
      <c r="K126" s="677">
        <f t="shared" si="29"/>
        <v>84</v>
      </c>
      <c r="L126" s="677">
        <f t="shared" si="29"/>
        <v>82</v>
      </c>
      <c r="M126" s="678">
        <f t="shared" si="29"/>
        <v>80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3"/>
      <c r="B127" s="671" t="s">
        <v>596</v>
      </c>
      <c r="C127" s="3381" t="s">
        <v>3413</v>
      </c>
      <c r="D127" s="686"/>
      <c r="E127" s="716"/>
      <c r="F127" s="716"/>
      <c r="G127" s="716"/>
      <c r="H127" s="716"/>
      <c r="I127" s="716"/>
      <c r="J127" s="716"/>
      <c r="K127" s="717"/>
      <c r="L127" s="718"/>
      <c r="M127" s="719"/>
      <c r="N127" s="2160"/>
      <c r="O127" s="2160"/>
      <c r="P127" s="2161"/>
      <c r="Q127" s="2154"/>
      <c r="R127" s="2141"/>
      <c r="S127" s="2141"/>
      <c r="T127" s="2141"/>
      <c r="U127" s="2141"/>
      <c r="V127" s="2141"/>
      <c r="W127" s="2141"/>
      <c r="X127" s="2141"/>
      <c r="Y127" s="2141"/>
      <c r="Z127" s="2141"/>
      <c r="AA127" s="2141"/>
      <c r="AB127" s="2141"/>
      <c r="AC127" s="2141"/>
    </row>
    <row r="128" spans="1:29" ht="15.75" thickBot="1">
      <c r="A128" s="667"/>
      <c r="B128" s="676"/>
      <c r="C128" s="677">
        <v>100</v>
      </c>
      <c r="D128" s="677">
        <f t="shared" ref="D128:M128" si="30">C128-$K44</f>
        <v>98</v>
      </c>
      <c r="E128" s="677">
        <f t="shared" si="30"/>
        <v>96</v>
      </c>
      <c r="F128" s="677">
        <f t="shared" si="30"/>
        <v>94</v>
      </c>
      <c r="G128" s="677">
        <f t="shared" si="30"/>
        <v>92</v>
      </c>
      <c r="H128" s="677">
        <f t="shared" si="30"/>
        <v>90</v>
      </c>
      <c r="I128" s="677">
        <f t="shared" si="30"/>
        <v>88</v>
      </c>
      <c r="J128" s="677">
        <f t="shared" si="30"/>
        <v>86</v>
      </c>
      <c r="K128" s="677">
        <f t="shared" si="30"/>
        <v>84</v>
      </c>
      <c r="L128" s="677">
        <f t="shared" si="30"/>
        <v>82</v>
      </c>
      <c r="M128" s="678">
        <f t="shared" si="30"/>
        <v>80</v>
      </c>
      <c r="N128" s="2162"/>
      <c r="O128" s="2162"/>
      <c r="P128" s="2161"/>
      <c r="Q128" s="2154"/>
      <c r="R128" s="2141"/>
      <c r="S128" s="2141"/>
      <c r="T128" s="2141"/>
      <c r="U128" s="2141"/>
      <c r="V128" s="2141"/>
      <c r="W128" s="2141"/>
      <c r="X128" s="2141"/>
      <c r="Y128" s="2141"/>
      <c r="Z128" s="2141"/>
      <c r="AA128" s="2141"/>
      <c r="AB128" s="2141"/>
      <c r="AC128" s="2141"/>
    </row>
    <row r="129" spans="1:29" ht="15" hidden="1" thickTop="1">
      <c r="A129" s="733"/>
      <c r="B129" s="671">
        <f>B45</f>
        <v>111</v>
      </c>
      <c r="C129" s="686"/>
      <c r="D129" s="686"/>
      <c r="E129" s="686"/>
      <c r="F129" s="686"/>
      <c r="G129" s="686"/>
      <c r="H129" s="716"/>
      <c r="I129" s="716"/>
      <c r="J129" s="716"/>
      <c r="K129" s="717"/>
      <c r="L129" s="718"/>
      <c r="M129" s="719"/>
      <c r="N129" s="2160"/>
      <c r="O129" s="2160"/>
      <c r="P129" s="2161"/>
      <c r="Q129" s="2154"/>
      <c r="R129" s="2141"/>
      <c r="S129" s="2141"/>
      <c r="T129" s="2141"/>
      <c r="U129" s="2141"/>
      <c r="V129" s="2141"/>
      <c r="W129" s="2141"/>
      <c r="X129" s="2141"/>
      <c r="Y129" s="2141"/>
      <c r="Z129" s="2141"/>
      <c r="AA129" s="2141"/>
      <c r="AB129" s="2141"/>
      <c r="AC129" s="2141"/>
    </row>
    <row r="130" spans="1:29" ht="15.75" hidden="1" thickBot="1">
      <c r="A130" s="667"/>
      <c r="B130" s="676"/>
      <c r="C130" s="690"/>
      <c r="D130" s="690"/>
      <c r="E130" s="690"/>
      <c r="F130" s="690"/>
      <c r="G130" s="669"/>
      <c r="H130" s="669"/>
      <c r="I130" s="669"/>
      <c r="J130" s="669"/>
      <c r="K130" s="669"/>
      <c r="L130" s="669"/>
      <c r="M130" s="670"/>
      <c r="N130" s="2162"/>
      <c r="O130" s="2162"/>
      <c r="P130" s="2161"/>
      <c r="Q130" s="2154"/>
      <c r="R130" s="2141"/>
      <c r="S130" s="2141"/>
      <c r="T130" s="2141"/>
      <c r="U130" s="2141"/>
      <c r="V130" s="2141"/>
      <c r="W130" s="2141"/>
      <c r="X130" s="2141"/>
      <c r="Y130" s="2141"/>
      <c r="Z130" s="2141"/>
      <c r="AA130" s="2141"/>
      <c r="AB130" s="2141"/>
      <c r="AC130" s="2141"/>
    </row>
    <row r="131" spans="1:29" ht="15" hidden="1" thickTop="1">
      <c r="A131" s="733"/>
      <c r="B131" s="671">
        <f>B46</f>
        <v>111</v>
      </c>
      <c r="C131" s="659"/>
      <c r="D131" s="659"/>
      <c r="E131" s="659"/>
      <c r="F131" s="659"/>
      <c r="G131" s="716"/>
      <c r="H131" s="716"/>
      <c r="I131" s="716"/>
      <c r="J131" s="716"/>
      <c r="K131" s="717"/>
      <c r="L131" s="718"/>
      <c r="M131" s="719"/>
      <c r="N131" s="2160"/>
      <c r="O131" s="2160"/>
      <c r="P131" s="2161"/>
      <c r="Q131" s="2154"/>
      <c r="R131" s="2141"/>
      <c r="S131" s="2141"/>
      <c r="T131" s="2141"/>
      <c r="U131" s="2141"/>
      <c r="V131" s="2141"/>
      <c r="W131" s="2141"/>
      <c r="X131" s="2141"/>
      <c r="Y131" s="2141"/>
      <c r="Z131" s="2141"/>
      <c r="AA131" s="2141"/>
      <c r="AB131" s="2141"/>
      <c r="AC131" s="2141"/>
    </row>
    <row r="132" spans="1:29" ht="15.75" hidden="1" thickBot="1">
      <c r="A132" s="667"/>
      <c r="B132" s="676"/>
      <c r="C132" s="698"/>
      <c r="D132" s="698"/>
      <c r="E132" s="698"/>
      <c r="F132" s="698"/>
      <c r="G132" s="669"/>
      <c r="H132" s="669"/>
      <c r="I132" s="669"/>
      <c r="J132" s="669"/>
      <c r="K132" s="669"/>
      <c r="L132" s="669"/>
      <c r="M132" s="670"/>
      <c r="N132" s="2162"/>
      <c r="O132" s="2162"/>
      <c r="P132" s="2161"/>
      <c r="Q132" s="2154"/>
      <c r="R132" s="2141"/>
      <c r="S132" s="2141"/>
      <c r="T132" s="2141"/>
      <c r="U132" s="2141"/>
      <c r="V132" s="2141"/>
      <c r="W132" s="2141"/>
      <c r="X132" s="2141"/>
      <c r="Y132" s="2141"/>
      <c r="Z132" s="2141"/>
      <c r="AA132" s="2141"/>
      <c r="AB132" s="2141"/>
      <c r="AC132" s="2141"/>
    </row>
    <row r="133" spans="1:29" s="1336" customFormat="1" ht="15" hidden="1" thickTop="1">
      <c r="A133" s="726"/>
      <c r="B133" s="671">
        <f>B47</f>
        <v>111</v>
      </c>
      <c r="C133" s="659"/>
      <c r="D133" s="659"/>
      <c r="E133" s="659"/>
      <c r="F133" s="659"/>
      <c r="G133" s="687"/>
      <c r="H133" s="687"/>
      <c r="I133" s="687"/>
      <c r="J133" s="687"/>
      <c r="K133" s="687"/>
      <c r="L133" s="688"/>
      <c r="M133" s="689"/>
      <c r="N133" s="2163"/>
      <c r="O133" s="2163"/>
      <c r="P133" s="2164"/>
      <c r="Q133" s="2165"/>
      <c r="R133" s="2166"/>
      <c r="S133" s="2166"/>
      <c r="T133" s="2166"/>
      <c r="U133" s="2166"/>
      <c r="V133" s="2166"/>
      <c r="W133" s="2166"/>
      <c r="X133" s="2166"/>
      <c r="Y133" s="2166"/>
      <c r="Z133" s="2166"/>
      <c r="AA133" s="2166"/>
      <c r="AB133" s="2166"/>
      <c r="AC133" s="2166"/>
    </row>
    <row r="134" spans="1:29" s="1336" customFormat="1" ht="15.75" hidden="1" thickBot="1">
      <c r="A134" s="696"/>
      <c r="B134" s="734"/>
      <c r="C134" s="698"/>
      <c r="D134" s="698"/>
      <c r="E134" s="698"/>
      <c r="F134" s="698"/>
      <c r="G134" s="724"/>
      <c r="H134" s="724"/>
      <c r="I134" s="724"/>
      <c r="J134" s="724"/>
      <c r="K134" s="724"/>
      <c r="L134" s="724"/>
      <c r="M134" s="725"/>
      <c r="N134" s="2163"/>
      <c r="O134" s="2163"/>
      <c r="P134" s="2164"/>
      <c r="Q134" s="2165"/>
      <c r="R134" s="2166"/>
      <c r="S134" s="2166"/>
      <c r="T134" s="2166"/>
      <c r="U134" s="2166"/>
      <c r="V134" s="2166"/>
      <c r="W134" s="2166"/>
      <c r="X134" s="2166"/>
      <c r="Y134" s="2166"/>
      <c r="Z134" s="2166"/>
      <c r="AA134" s="2166"/>
      <c r="AB134" s="2166"/>
      <c r="AC134" s="2166"/>
    </row>
    <row r="135" spans="1:29" s="1582" customFormat="1" ht="15" thickTop="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2"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2"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2"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2"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2"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2"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2"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2"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2"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2"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2"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2"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2"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2"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2"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2"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2"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2"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2"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2"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2"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2"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2"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2"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2"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2"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2"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2"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2"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2"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2"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2"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2"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2"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2"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2"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2"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2"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2"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2"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2"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2"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2"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2"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2"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2"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2"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2"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2"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2"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2"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2"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2"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2"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2"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2"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2"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2"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2"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2"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2"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2"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2"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2"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2"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2"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2"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2"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2"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2"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2"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2"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2"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2"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2"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2"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2"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2"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2"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2"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2"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2"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2"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2"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2"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2"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2"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2"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2"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2"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2"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2"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2"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2"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2"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2"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2"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2"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2"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2"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2"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2"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2"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2"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2"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2"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2"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2"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2"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2"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2"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2"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2"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2"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2"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2"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2"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2"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2"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2"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2" customFormat="1">
      <c r="K256" s="1583"/>
      <c r="L256" s="1584"/>
    </row>
    <row r="257" spans="11:12" s="1582" customFormat="1">
      <c r="K257" s="1583"/>
      <c r="L257" s="1584"/>
    </row>
    <row r="258" spans="11:12" s="1582" customFormat="1">
      <c r="K258" s="1583"/>
      <c r="L258" s="1584"/>
    </row>
    <row r="259" spans="11:12" s="1582" customFormat="1">
      <c r="K259" s="1583"/>
      <c r="L259" s="158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4"/>
  <sheetViews>
    <sheetView topLeftCell="N1" workbookViewId="0">
      <selection activeCell="Q29" sqref="Q7:Q29"/>
    </sheetView>
  </sheetViews>
  <sheetFormatPr defaultRowHeight="13.5"/>
  <cols>
    <col min="1" max="1" width="64.25" style="3359" customWidth="1"/>
    <col min="2" max="6" width="19" style="3359" hidden="1" customWidth="1"/>
    <col min="7" max="7" width="16.5" style="3359" customWidth="1"/>
    <col min="8" max="8" width="28.625" style="3359" customWidth="1"/>
    <col min="9" max="9" width="17.25" style="3359" customWidth="1"/>
    <col min="10" max="10" width="19" style="3359" hidden="1" customWidth="1"/>
    <col min="11" max="11" width="16.875" style="3359" customWidth="1"/>
    <col min="12" max="12" width="14" style="3359" customWidth="1"/>
    <col min="13" max="13" width="29.125" style="3359" customWidth="1"/>
    <col min="14" max="14" width="51.125" style="3359" customWidth="1"/>
    <col min="15" max="15" width="13.375" style="3359" customWidth="1"/>
    <col min="16" max="16" width="19" style="3359" customWidth="1"/>
    <col min="17" max="17" width="18" style="3359" customWidth="1"/>
    <col min="18" max="18" width="9.25" style="3359" customWidth="1"/>
    <col min="19" max="19" width="19" style="3359" customWidth="1"/>
    <col min="20" max="26" width="9" style="3360"/>
    <col min="27" max="16384" width="9" style="3347"/>
  </cols>
  <sheetData>
    <row r="1" spans="1:26" s="3343" customFormat="1">
      <c r="A1" s="3348" t="s">
        <v>3197</v>
      </c>
      <c r="B1" s="3348" t="s">
        <v>3198</v>
      </c>
      <c r="C1" s="3348" t="s">
        <v>3199</v>
      </c>
      <c r="D1" s="3348" t="s">
        <v>3200</v>
      </c>
      <c r="E1" s="3348" t="s">
        <v>3201</v>
      </c>
      <c r="F1" s="3348" t="s">
        <v>3202</v>
      </c>
      <c r="G1" s="3348" t="s">
        <v>3203</v>
      </c>
      <c r="H1" s="3348" t="s">
        <v>3204</v>
      </c>
      <c r="I1" s="3348" t="s">
        <v>3205</v>
      </c>
      <c r="J1" s="3348" t="s">
        <v>3206</v>
      </c>
      <c r="K1" s="3348" t="s">
        <v>2032</v>
      </c>
      <c r="L1" s="3348" t="s">
        <v>3207</v>
      </c>
      <c r="M1" s="3348" t="s">
        <v>3208</v>
      </c>
      <c r="N1" s="3348" t="s">
        <v>3209</v>
      </c>
      <c r="O1" s="3348" t="s">
        <v>3210</v>
      </c>
      <c r="P1" s="3348" t="s">
        <v>3211</v>
      </c>
      <c r="Q1" s="3348" t="s">
        <v>3212</v>
      </c>
      <c r="R1" s="3348" t="s">
        <v>3213</v>
      </c>
      <c r="S1" s="3348" t="s">
        <v>3214</v>
      </c>
      <c r="T1" s="3349"/>
      <c r="U1" s="3349"/>
      <c r="V1" s="3349"/>
      <c r="W1" s="3349"/>
      <c r="X1" s="3349"/>
      <c r="Y1" s="3349"/>
      <c r="Z1" s="3349"/>
    </row>
    <row r="2" spans="1:26" s="3344" customFormat="1">
      <c r="A2" s="3350" t="s">
        <v>3215</v>
      </c>
      <c r="B2" s="3350" t="s">
        <v>3216</v>
      </c>
      <c r="C2" s="3350" t="s">
        <v>3217</v>
      </c>
      <c r="D2" s="3350" t="s">
        <v>2817</v>
      </c>
      <c r="E2" s="3350" t="s">
        <v>3215</v>
      </c>
      <c r="F2" s="3350" t="s">
        <v>3218</v>
      </c>
      <c r="G2" s="3350" t="s">
        <v>3219</v>
      </c>
      <c r="H2" s="3350" t="s">
        <v>3220</v>
      </c>
      <c r="I2" s="3350">
        <v>72416.399999999994</v>
      </c>
      <c r="J2" s="3350">
        <v>130349.5</v>
      </c>
      <c r="K2" s="3350" t="s">
        <v>3221</v>
      </c>
      <c r="L2" s="3350" t="s">
        <v>3222</v>
      </c>
      <c r="M2" s="3350" t="s">
        <v>3223</v>
      </c>
      <c r="N2" s="3350" t="s">
        <v>3224</v>
      </c>
      <c r="O2" s="3350">
        <v>70388.460000000006</v>
      </c>
      <c r="P2" s="3350">
        <v>648</v>
      </c>
      <c r="Q2" s="3350">
        <v>5399.97</v>
      </c>
      <c r="R2" s="3350">
        <v>35</v>
      </c>
      <c r="S2" s="3350" t="s">
        <v>3225</v>
      </c>
      <c r="T2" s="3351"/>
      <c r="U2" s="3351"/>
      <c r="V2" s="3351"/>
      <c r="W2" s="3351"/>
      <c r="X2" s="3351"/>
      <c r="Y2" s="3351"/>
      <c r="Z2" s="3351"/>
    </row>
    <row r="3" spans="1:26" s="3345" customFormat="1">
      <c r="A3" s="3352" t="s">
        <v>3226</v>
      </c>
      <c r="B3" s="3352" t="s">
        <v>3216</v>
      </c>
      <c r="C3" s="3352" t="s">
        <v>3217</v>
      </c>
      <c r="D3" s="3352" t="s">
        <v>2817</v>
      </c>
      <c r="E3" s="3352" t="s">
        <v>3226</v>
      </c>
      <c r="F3" s="3352" t="s">
        <v>3218</v>
      </c>
      <c r="G3" s="3352" t="s">
        <v>3819</v>
      </c>
      <c r="H3" s="3352" t="s">
        <v>3220</v>
      </c>
      <c r="I3" s="3352">
        <v>72846.2</v>
      </c>
      <c r="J3" s="3352">
        <v>131123.20000000001</v>
      </c>
      <c r="K3" s="3352" t="s">
        <v>3221</v>
      </c>
      <c r="L3" s="3352" t="s">
        <v>3227</v>
      </c>
      <c r="M3" s="3352" t="s">
        <v>3228</v>
      </c>
      <c r="N3" s="3352" t="s">
        <v>3229</v>
      </c>
      <c r="O3" s="3352">
        <v>76051.33</v>
      </c>
      <c r="P3" s="3352">
        <v>696</v>
      </c>
      <c r="Q3" s="3352">
        <v>5799.98</v>
      </c>
      <c r="R3" s="3352">
        <v>161</v>
      </c>
      <c r="S3" s="3352" t="s">
        <v>3225</v>
      </c>
      <c r="T3" s="3353"/>
      <c r="U3" s="3353"/>
      <c r="V3" s="3353"/>
      <c r="W3" s="3353"/>
      <c r="X3" s="3353"/>
      <c r="Y3" s="3353"/>
      <c r="Z3" s="3353"/>
    </row>
    <row r="4" spans="1:26" s="3343" customFormat="1">
      <c r="A4" s="3348" t="s">
        <v>3230</v>
      </c>
      <c r="B4" s="3348" t="s">
        <v>3216</v>
      </c>
      <c r="C4" s="3348" t="s">
        <v>3231</v>
      </c>
      <c r="D4" s="3348" t="s">
        <v>2817</v>
      </c>
      <c r="E4" s="3348" t="s">
        <v>3230</v>
      </c>
      <c r="F4" s="3348" t="s">
        <v>3218</v>
      </c>
      <c r="G4" s="3348" t="s">
        <v>3232</v>
      </c>
      <c r="H4" s="3348" t="s">
        <v>3233</v>
      </c>
      <c r="I4" s="3348">
        <v>35782.199999999997</v>
      </c>
      <c r="J4" s="3348">
        <v>53673.3</v>
      </c>
      <c r="K4" s="3348" t="s">
        <v>3234</v>
      </c>
      <c r="L4" s="3348" t="s">
        <v>3235</v>
      </c>
      <c r="M4" s="3348" t="s">
        <v>3236</v>
      </c>
      <c r="N4" s="3354" t="s">
        <v>3237</v>
      </c>
      <c r="O4" s="3348">
        <v>15570.54</v>
      </c>
      <c r="P4" s="3348">
        <v>290.10000000000002</v>
      </c>
      <c r="Q4" s="3348">
        <v>2900.98</v>
      </c>
      <c r="R4" s="3348">
        <v>0</v>
      </c>
      <c r="S4" s="3348" t="s">
        <v>3238</v>
      </c>
      <c r="T4" s="3349"/>
      <c r="U4" s="3349"/>
      <c r="V4" s="3349"/>
      <c r="W4" s="3349"/>
      <c r="X4" s="3349"/>
      <c r="Y4" s="3349"/>
      <c r="Z4" s="3349"/>
    </row>
    <row r="5" spans="1:26" s="3344" customFormat="1">
      <c r="A5" s="3350" t="s">
        <v>3239</v>
      </c>
      <c r="B5" s="3350" t="s">
        <v>3216</v>
      </c>
      <c r="C5" s="3350" t="s">
        <v>3231</v>
      </c>
      <c r="D5" s="3350" t="s">
        <v>2817</v>
      </c>
      <c r="E5" s="3350" t="s">
        <v>3239</v>
      </c>
      <c r="F5" s="3350" t="s">
        <v>3218</v>
      </c>
      <c r="G5" s="3350" t="s">
        <v>3240</v>
      </c>
      <c r="H5" s="3350" t="s">
        <v>3233</v>
      </c>
      <c r="I5" s="3350">
        <v>24219.7</v>
      </c>
      <c r="J5" s="3350">
        <v>43595.46</v>
      </c>
      <c r="K5" s="3350" t="s">
        <v>3221</v>
      </c>
      <c r="L5" s="3350" t="s">
        <v>3241</v>
      </c>
      <c r="M5" s="3350" t="s">
        <v>3242</v>
      </c>
      <c r="N5" s="3350" t="s">
        <v>3243</v>
      </c>
      <c r="O5" s="3350">
        <v>24631.18</v>
      </c>
      <c r="P5" s="3350">
        <v>677.99</v>
      </c>
      <c r="Q5" s="3350">
        <v>5649.93</v>
      </c>
      <c r="R5" s="3350">
        <v>41.25</v>
      </c>
      <c r="S5" s="3350" t="s">
        <v>3238</v>
      </c>
      <c r="T5" s="3351"/>
      <c r="U5" s="3351"/>
      <c r="V5" s="3351"/>
      <c r="W5" s="3351"/>
      <c r="X5" s="3351"/>
      <c r="Y5" s="3351"/>
      <c r="Z5" s="3351"/>
    </row>
    <row r="6" spans="1:26" s="3344" customFormat="1">
      <c r="A6" s="3350" t="s">
        <v>3239</v>
      </c>
      <c r="B6" s="3350" t="s">
        <v>3216</v>
      </c>
      <c r="C6" s="3350" t="s">
        <v>3231</v>
      </c>
      <c r="D6" s="3350" t="s">
        <v>2817</v>
      </c>
      <c r="E6" s="3350" t="s">
        <v>3239</v>
      </c>
      <c r="F6" s="3350" t="s">
        <v>3218</v>
      </c>
      <c r="G6" s="3355" t="s">
        <v>3244</v>
      </c>
      <c r="H6" s="3350" t="s">
        <v>3233</v>
      </c>
      <c r="I6" s="3350">
        <v>61512.800000000003</v>
      </c>
      <c r="J6" s="3350">
        <v>110723</v>
      </c>
      <c r="K6" s="3350" t="s">
        <v>3221</v>
      </c>
      <c r="L6" s="3350" t="s">
        <v>3241</v>
      </c>
      <c r="M6" s="3350" t="s">
        <v>3245</v>
      </c>
      <c r="N6" s="3350" t="s">
        <v>3243</v>
      </c>
      <c r="O6" s="3350">
        <v>62558.5</v>
      </c>
      <c r="P6" s="3350">
        <v>678</v>
      </c>
      <c r="Q6" s="3350">
        <v>5650</v>
      </c>
      <c r="R6" s="3350">
        <v>41.25</v>
      </c>
      <c r="S6" s="3350" t="s">
        <v>3238</v>
      </c>
      <c r="T6" s="3351"/>
      <c r="U6" s="3351"/>
      <c r="V6" s="3351"/>
      <c r="W6" s="3351"/>
      <c r="X6" s="3351"/>
      <c r="Y6" s="3351"/>
      <c r="Z6" s="3351"/>
    </row>
    <row r="7" spans="1:26" s="3343" customFormat="1">
      <c r="A7" s="3348" t="s">
        <v>3246</v>
      </c>
      <c r="B7" s="3348" t="s">
        <v>3216</v>
      </c>
      <c r="C7" s="3348" t="s">
        <v>3231</v>
      </c>
      <c r="D7" s="3348" t="s">
        <v>2817</v>
      </c>
      <c r="E7" s="3348" t="s">
        <v>3247</v>
      </c>
      <c r="F7" s="3348" t="s">
        <v>3218</v>
      </c>
      <c r="G7" s="3348" t="s">
        <v>3248</v>
      </c>
      <c r="H7" s="3348" t="s">
        <v>3233</v>
      </c>
      <c r="I7" s="3348">
        <v>66667</v>
      </c>
      <c r="J7" s="3348">
        <v>120000.6</v>
      </c>
      <c r="K7" s="3348" t="s">
        <v>3249</v>
      </c>
      <c r="L7" s="3348" t="s">
        <v>3250</v>
      </c>
      <c r="M7" s="3348" t="s">
        <v>3251</v>
      </c>
      <c r="N7" s="3348" t="s">
        <v>3252</v>
      </c>
      <c r="O7" s="3348">
        <v>36000</v>
      </c>
      <c r="P7" s="3348">
        <v>360</v>
      </c>
      <c r="Q7" s="3348">
        <v>2999.98</v>
      </c>
      <c r="R7" s="3348">
        <v>0</v>
      </c>
      <c r="S7" s="3348" t="s">
        <v>3238</v>
      </c>
      <c r="T7" s="3349"/>
      <c r="U7" s="3349"/>
      <c r="V7" s="3349"/>
      <c r="W7" s="3349"/>
      <c r="X7" s="3349"/>
      <c r="Y7" s="3349"/>
      <c r="Z7" s="3349"/>
    </row>
    <row r="8" spans="1:26" s="3343" customFormat="1">
      <c r="A8" s="3348" t="s">
        <v>3253</v>
      </c>
      <c r="B8" s="3348" t="s">
        <v>3216</v>
      </c>
      <c r="C8" s="3348" t="s">
        <v>3231</v>
      </c>
      <c r="D8" s="3348" t="s">
        <v>2817</v>
      </c>
      <c r="E8" s="3348" t="s">
        <v>3253</v>
      </c>
      <c r="F8" s="3348" t="s">
        <v>3218</v>
      </c>
      <c r="G8" s="3348" t="s">
        <v>3254</v>
      </c>
      <c r="H8" s="3348" t="s">
        <v>3233</v>
      </c>
      <c r="I8" s="3348">
        <v>42806.6</v>
      </c>
      <c r="J8" s="3348">
        <v>94174</v>
      </c>
      <c r="K8" s="3348" t="s">
        <v>3255</v>
      </c>
      <c r="L8" s="3348" t="s">
        <v>3256</v>
      </c>
      <c r="M8" s="3348" t="s">
        <v>3257</v>
      </c>
      <c r="N8" s="3348" t="s">
        <v>3258</v>
      </c>
      <c r="O8" s="3348">
        <v>28252.2</v>
      </c>
      <c r="P8" s="3348">
        <v>440</v>
      </c>
      <c r="Q8" s="3348">
        <v>3000</v>
      </c>
      <c r="R8" s="3348">
        <v>0</v>
      </c>
      <c r="S8" s="3348" t="s">
        <v>3238</v>
      </c>
      <c r="T8" s="3349"/>
      <c r="U8" s="3349"/>
      <c r="V8" s="3349"/>
      <c r="W8" s="3349"/>
      <c r="X8" s="3349"/>
      <c r="Y8" s="3349"/>
      <c r="Z8" s="3349"/>
    </row>
    <row r="9" spans="1:26" s="3343" customFormat="1">
      <c r="A9" s="3348" t="s">
        <v>3253</v>
      </c>
      <c r="B9" s="3348" t="s">
        <v>3216</v>
      </c>
      <c r="C9" s="3348" t="s">
        <v>3217</v>
      </c>
      <c r="D9" s="3348" t="s">
        <v>2817</v>
      </c>
      <c r="E9" s="3348" t="s">
        <v>3253</v>
      </c>
      <c r="F9" s="3348" t="s">
        <v>3218</v>
      </c>
      <c r="G9" s="3348" t="s">
        <v>3259</v>
      </c>
      <c r="H9" s="3348" t="s">
        <v>3220</v>
      </c>
      <c r="I9" s="3348">
        <v>65691.899999999994</v>
      </c>
      <c r="J9" s="3348">
        <v>164229</v>
      </c>
      <c r="K9" s="3348" t="s">
        <v>3260</v>
      </c>
      <c r="L9" s="3348" t="s">
        <v>3256</v>
      </c>
      <c r="M9" s="3348" t="s">
        <v>3261</v>
      </c>
      <c r="N9" s="3348" t="s">
        <v>3258</v>
      </c>
      <c r="O9" s="3348">
        <v>49268.69</v>
      </c>
      <c r="P9" s="3348">
        <v>500</v>
      </c>
      <c r="Q9" s="3348">
        <v>3000</v>
      </c>
      <c r="R9" s="3348">
        <v>0</v>
      </c>
      <c r="S9" s="3348" t="s">
        <v>3238</v>
      </c>
      <c r="T9" s="3349"/>
      <c r="U9" s="3349"/>
      <c r="V9" s="3349"/>
      <c r="W9" s="3349"/>
      <c r="X9" s="3349"/>
      <c r="Y9" s="3349"/>
      <c r="Z9" s="3349"/>
    </row>
    <row r="10" spans="1:26" s="3343" customFormat="1">
      <c r="A10" s="3348" t="s">
        <v>3253</v>
      </c>
      <c r="B10" s="3348" t="s">
        <v>3216</v>
      </c>
      <c r="C10" s="3348" t="s">
        <v>3231</v>
      </c>
      <c r="D10" s="3348" t="s">
        <v>2817</v>
      </c>
      <c r="E10" s="3348" t="s">
        <v>3253</v>
      </c>
      <c r="F10" s="3348" t="s">
        <v>3218</v>
      </c>
      <c r="G10" s="3348" t="s">
        <v>3262</v>
      </c>
      <c r="H10" s="3348" t="s">
        <v>3233</v>
      </c>
      <c r="I10" s="3348">
        <v>34357.4</v>
      </c>
      <c r="J10" s="3348">
        <v>75586</v>
      </c>
      <c r="K10" s="3348" t="s">
        <v>3255</v>
      </c>
      <c r="L10" s="3348" t="s">
        <v>3256</v>
      </c>
      <c r="M10" s="3348" t="s">
        <v>3263</v>
      </c>
      <c r="N10" s="3348" t="s">
        <v>3258</v>
      </c>
      <c r="O10" s="3348">
        <v>22675.79</v>
      </c>
      <c r="P10" s="3348">
        <v>440</v>
      </c>
      <c r="Q10" s="3348">
        <v>3000</v>
      </c>
      <c r="R10" s="3348">
        <v>0</v>
      </c>
      <c r="S10" s="3348" t="s">
        <v>3238</v>
      </c>
      <c r="T10" s="3349"/>
      <c r="U10" s="3349"/>
      <c r="V10" s="3349"/>
      <c r="W10" s="3349"/>
      <c r="X10" s="3349"/>
      <c r="Y10" s="3349"/>
      <c r="Z10" s="3349"/>
    </row>
    <row r="11" spans="1:26" s="3343" customFormat="1">
      <c r="A11" s="3348" t="s">
        <v>3253</v>
      </c>
      <c r="B11" s="3348" t="s">
        <v>3216</v>
      </c>
      <c r="C11" s="3348" t="s">
        <v>3217</v>
      </c>
      <c r="D11" s="3348" t="s">
        <v>2817</v>
      </c>
      <c r="E11" s="3348" t="s">
        <v>3253</v>
      </c>
      <c r="F11" s="3348" t="s">
        <v>3218</v>
      </c>
      <c r="G11" s="3348" t="s">
        <v>3264</v>
      </c>
      <c r="H11" s="3348" t="s">
        <v>3220</v>
      </c>
      <c r="I11" s="3348">
        <v>38193</v>
      </c>
      <c r="J11" s="3348">
        <v>95482</v>
      </c>
      <c r="K11" s="3348" t="s">
        <v>3260</v>
      </c>
      <c r="L11" s="3348" t="s">
        <v>3256</v>
      </c>
      <c r="M11" s="3348" t="s">
        <v>3265</v>
      </c>
      <c r="N11" s="3348" t="s">
        <v>3258</v>
      </c>
      <c r="O11" s="3348">
        <v>28644.59</v>
      </c>
      <c r="P11" s="3348">
        <v>500</v>
      </c>
      <c r="Q11" s="3348">
        <v>3000</v>
      </c>
      <c r="R11" s="3348">
        <v>0</v>
      </c>
      <c r="S11" s="3348" t="s">
        <v>3238</v>
      </c>
      <c r="T11" s="3349"/>
      <c r="U11" s="3349"/>
      <c r="V11" s="3349"/>
      <c r="W11" s="3349"/>
      <c r="X11" s="3349"/>
      <c r="Y11" s="3349"/>
      <c r="Z11" s="3349"/>
    </row>
    <row r="12" spans="1:26" s="3343" customFormat="1">
      <c r="A12" s="3348" t="s">
        <v>3266</v>
      </c>
      <c r="B12" s="3348" t="s">
        <v>3216</v>
      </c>
      <c r="C12" s="3348" t="s">
        <v>3231</v>
      </c>
      <c r="D12" s="3348" t="s">
        <v>2817</v>
      </c>
      <c r="E12" s="3348" t="s">
        <v>3266</v>
      </c>
      <c r="F12" s="3348" t="s">
        <v>3218</v>
      </c>
      <c r="G12" s="3348" t="s">
        <v>3267</v>
      </c>
      <c r="H12" s="3348" t="s">
        <v>3233</v>
      </c>
      <c r="I12" s="3348">
        <v>70112</v>
      </c>
      <c r="J12" s="3348">
        <v>189302</v>
      </c>
      <c r="K12" s="3348" t="s">
        <v>3268</v>
      </c>
      <c r="L12" s="3348" t="s">
        <v>3269</v>
      </c>
      <c r="M12" s="3348" t="s">
        <v>3270</v>
      </c>
      <c r="N12" s="3348" t="s">
        <v>3271</v>
      </c>
      <c r="O12" s="3348">
        <v>56790.59</v>
      </c>
      <c r="P12" s="3348">
        <v>540</v>
      </c>
      <c r="Q12" s="3348">
        <v>3000</v>
      </c>
      <c r="R12" s="3348">
        <v>0</v>
      </c>
      <c r="S12" s="3348" t="s">
        <v>3238</v>
      </c>
      <c r="T12" s="3349"/>
      <c r="U12" s="3349"/>
      <c r="V12" s="3349"/>
      <c r="W12" s="3349"/>
      <c r="X12" s="3349"/>
      <c r="Y12" s="3349"/>
      <c r="Z12" s="3349"/>
    </row>
    <row r="13" spans="1:26" s="3343" customFormat="1">
      <c r="A13" s="3348" t="s">
        <v>3272</v>
      </c>
      <c r="B13" s="3348" t="s">
        <v>3216</v>
      </c>
      <c r="C13" s="3348" t="s">
        <v>3231</v>
      </c>
      <c r="D13" s="3348" t="s">
        <v>2817</v>
      </c>
      <c r="E13" s="3348" t="s">
        <v>3273</v>
      </c>
      <c r="F13" s="3348" t="s">
        <v>3218</v>
      </c>
      <c r="G13" s="3348" t="s">
        <v>3274</v>
      </c>
      <c r="H13" s="3348" t="s">
        <v>3233</v>
      </c>
      <c r="I13" s="3348">
        <v>76189.7</v>
      </c>
      <c r="J13" s="3348">
        <v>228569</v>
      </c>
      <c r="K13" s="3348" t="s">
        <v>3275</v>
      </c>
      <c r="L13" s="3348" t="s">
        <v>3276</v>
      </c>
      <c r="M13" s="3348" t="s">
        <v>3277</v>
      </c>
      <c r="N13" s="3348" t="s">
        <v>3278</v>
      </c>
      <c r="O13" s="3348">
        <v>49142.33</v>
      </c>
      <c r="P13" s="3348">
        <v>430</v>
      </c>
      <c r="Q13" s="3348">
        <v>2150</v>
      </c>
      <c r="R13" s="3348">
        <v>2.38</v>
      </c>
      <c r="S13" s="3348" t="s">
        <v>3238</v>
      </c>
      <c r="T13" s="3349"/>
      <c r="U13" s="3349"/>
      <c r="V13" s="3349"/>
      <c r="W13" s="3349"/>
      <c r="X13" s="3349"/>
      <c r="Y13" s="3349"/>
      <c r="Z13" s="3349"/>
    </row>
    <row r="14" spans="1:26" s="3343" customFormat="1">
      <c r="A14" s="3348" t="s">
        <v>3279</v>
      </c>
      <c r="B14" s="3348" t="s">
        <v>3216</v>
      </c>
      <c r="C14" s="3348" t="s">
        <v>3231</v>
      </c>
      <c r="D14" s="3348" t="s">
        <v>2817</v>
      </c>
      <c r="E14" s="3348" t="s">
        <v>3280</v>
      </c>
      <c r="F14" s="3348" t="s">
        <v>3218</v>
      </c>
      <c r="G14" s="3348" t="s">
        <v>3281</v>
      </c>
      <c r="H14" s="3348" t="s">
        <v>3233</v>
      </c>
      <c r="I14" s="3348">
        <v>92103.4</v>
      </c>
      <c r="J14" s="3348">
        <v>257889.5</v>
      </c>
      <c r="K14" s="3348" t="s">
        <v>3282</v>
      </c>
      <c r="L14" s="3348" t="s">
        <v>3276</v>
      </c>
      <c r="M14" s="3348" t="s">
        <v>3283</v>
      </c>
      <c r="N14" s="3348" t="s">
        <v>3278</v>
      </c>
      <c r="O14" s="3348">
        <v>91550.58</v>
      </c>
      <c r="P14" s="3348">
        <v>662.67</v>
      </c>
      <c r="Q14" s="3348">
        <v>3549.98</v>
      </c>
      <c r="R14" s="3348">
        <v>1.43</v>
      </c>
      <c r="S14" s="3348" t="s">
        <v>3284</v>
      </c>
      <c r="T14" s="3349"/>
      <c r="U14" s="3349"/>
      <c r="V14" s="3349"/>
      <c r="W14" s="3349"/>
      <c r="X14" s="3349"/>
      <c r="Y14" s="3349"/>
      <c r="Z14" s="3349"/>
    </row>
    <row r="15" spans="1:26" s="3343" customFormat="1">
      <c r="A15" s="3348" t="s">
        <v>3285</v>
      </c>
      <c r="B15" s="3348" t="s">
        <v>3216</v>
      </c>
      <c r="C15" s="3348" t="s">
        <v>3231</v>
      </c>
      <c r="D15" s="3348" t="s">
        <v>2817</v>
      </c>
      <c r="E15" s="3348" t="s">
        <v>3286</v>
      </c>
      <c r="F15" s="3348" t="s">
        <v>3218</v>
      </c>
      <c r="G15" s="3348" t="s">
        <v>3287</v>
      </c>
      <c r="H15" s="3348" t="s">
        <v>3233</v>
      </c>
      <c r="I15" s="3348">
        <v>29066.1</v>
      </c>
      <c r="J15" s="3348">
        <v>58132.2</v>
      </c>
      <c r="K15" s="3348" t="s">
        <v>3288</v>
      </c>
      <c r="L15" s="3348" t="s">
        <v>3276</v>
      </c>
      <c r="M15" s="3348" t="s">
        <v>3289</v>
      </c>
      <c r="N15" s="3348" t="s">
        <v>3278</v>
      </c>
      <c r="O15" s="3348">
        <v>20636.86</v>
      </c>
      <c r="P15" s="3348">
        <v>473.33</v>
      </c>
      <c r="Q15" s="3348">
        <v>3549.98</v>
      </c>
      <c r="R15" s="3348">
        <v>1.43</v>
      </c>
      <c r="S15" s="3348" t="s">
        <v>3238</v>
      </c>
      <c r="T15" s="3349"/>
      <c r="U15" s="3349"/>
      <c r="V15" s="3349"/>
      <c r="W15" s="3349"/>
      <c r="X15" s="3349"/>
      <c r="Y15" s="3349"/>
      <c r="Z15" s="3349"/>
    </row>
    <row r="16" spans="1:26" s="3343" customFormat="1">
      <c r="A16" s="3348" t="s">
        <v>3290</v>
      </c>
      <c r="B16" s="3348" t="s">
        <v>3216</v>
      </c>
      <c r="C16" s="3348" t="s">
        <v>3231</v>
      </c>
      <c r="D16" s="3348" t="s">
        <v>2817</v>
      </c>
      <c r="E16" s="3348" t="s">
        <v>3291</v>
      </c>
      <c r="F16" s="3348" t="s">
        <v>3218</v>
      </c>
      <c r="G16" s="3348" t="s">
        <v>3292</v>
      </c>
      <c r="H16" s="3348" t="s">
        <v>3233</v>
      </c>
      <c r="I16" s="3348">
        <v>26952.5</v>
      </c>
      <c r="J16" s="3348">
        <v>67381.25</v>
      </c>
      <c r="K16" s="3348" t="s">
        <v>3293</v>
      </c>
      <c r="L16" s="3348" t="s">
        <v>3276</v>
      </c>
      <c r="M16" s="3348" t="s">
        <v>3294</v>
      </c>
      <c r="N16" s="3348" t="s">
        <v>3278</v>
      </c>
      <c r="O16" s="3348">
        <v>23920.25</v>
      </c>
      <c r="P16" s="3348">
        <v>591.66</v>
      </c>
      <c r="Q16" s="3348">
        <v>3549.98</v>
      </c>
      <c r="R16" s="3348">
        <v>1.43</v>
      </c>
      <c r="S16" s="3348" t="s">
        <v>3238</v>
      </c>
      <c r="T16" s="3349"/>
      <c r="U16" s="3349"/>
      <c r="V16" s="3349"/>
      <c r="W16" s="3349"/>
      <c r="X16" s="3349"/>
      <c r="Y16" s="3349"/>
      <c r="Z16" s="3349"/>
    </row>
    <row r="17" spans="1:26" s="3343" customFormat="1">
      <c r="A17" s="3348" t="s">
        <v>3295</v>
      </c>
      <c r="B17" s="3348" t="s">
        <v>3216</v>
      </c>
      <c r="C17" s="3348" t="s">
        <v>3231</v>
      </c>
      <c r="D17" s="3348" t="s">
        <v>2817</v>
      </c>
      <c r="E17" s="3348" t="s">
        <v>3296</v>
      </c>
      <c r="F17" s="3348" t="s">
        <v>3218</v>
      </c>
      <c r="G17" s="3348" t="s">
        <v>3297</v>
      </c>
      <c r="H17" s="3348" t="s">
        <v>3233</v>
      </c>
      <c r="I17" s="3348">
        <v>34683.9</v>
      </c>
      <c r="J17" s="3348">
        <v>76304.58</v>
      </c>
      <c r="K17" s="3348" t="s">
        <v>3298</v>
      </c>
      <c r="L17" s="3348" t="s">
        <v>3276</v>
      </c>
      <c r="M17" s="3348" t="s">
        <v>3299</v>
      </c>
      <c r="N17" s="3348" t="s">
        <v>3278</v>
      </c>
      <c r="O17" s="3348">
        <v>27087.91</v>
      </c>
      <c r="P17" s="3348">
        <v>520.66</v>
      </c>
      <c r="Q17" s="3348">
        <v>3549.96</v>
      </c>
      <c r="R17" s="3348">
        <v>1.43</v>
      </c>
      <c r="S17" s="3348" t="s">
        <v>3238</v>
      </c>
      <c r="T17" s="3349"/>
      <c r="U17" s="3349"/>
      <c r="V17" s="3349"/>
      <c r="W17" s="3349"/>
      <c r="X17" s="3349"/>
      <c r="Y17" s="3349"/>
      <c r="Z17" s="3349"/>
    </row>
    <row r="18" spans="1:26" s="3343" customFormat="1">
      <c r="A18" s="3348" t="s">
        <v>3300</v>
      </c>
      <c r="B18" s="3348" t="s">
        <v>3216</v>
      </c>
      <c r="C18" s="3348" t="s">
        <v>3217</v>
      </c>
      <c r="D18" s="3348" t="s">
        <v>2817</v>
      </c>
      <c r="E18" s="3348" t="s">
        <v>3300</v>
      </c>
      <c r="F18" s="3348" t="s">
        <v>3218</v>
      </c>
      <c r="G18" s="3348" t="s">
        <v>3301</v>
      </c>
      <c r="H18" s="3348" t="s">
        <v>3302</v>
      </c>
      <c r="I18" s="3348">
        <v>27016.5</v>
      </c>
      <c r="J18" s="3348">
        <v>81049</v>
      </c>
      <c r="K18" s="3348" t="s">
        <v>3275</v>
      </c>
      <c r="L18" s="3348" t="s">
        <v>3303</v>
      </c>
      <c r="M18" s="3348" t="s">
        <v>3304</v>
      </c>
      <c r="N18" s="3348" t="s">
        <v>3305</v>
      </c>
      <c r="O18" s="3348">
        <v>29177.63</v>
      </c>
      <c r="P18" s="3348">
        <v>720</v>
      </c>
      <c r="Q18" s="3348">
        <v>3600</v>
      </c>
      <c r="R18" s="3348">
        <v>2.86</v>
      </c>
      <c r="S18" s="3348" t="s">
        <v>3306</v>
      </c>
      <c r="T18" s="3349"/>
      <c r="U18" s="3349"/>
      <c r="V18" s="3349"/>
      <c r="W18" s="3349"/>
      <c r="X18" s="3349"/>
      <c r="Y18" s="3349"/>
      <c r="Z18" s="3349"/>
    </row>
    <row r="19" spans="1:26" s="3343" customFormat="1">
      <c r="A19" s="3348" t="s">
        <v>3307</v>
      </c>
      <c r="B19" s="3348" t="s">
        <v>3216</v>
      </c>
      <c r="C19" s="3348" t="s">
        <v>3217</v>
      </c>
      <c r="D19" s="3348" t="s">
        <v>2817</v>
      </c>
      <c r="E19" s="3348" t="s">
        <v>3307</v>
      </c>
      <c r="F19" s="3348" t="s">
        <v>3218</v>
      </c>
      <c r="G19" s="3348" t="s">
        <v>3308</v>
      </c>
      <c r="H19" s="3348" t="s">
        <v>3302</v>
      </c>
      <c r="I19" s="3348">
        <v>35682.400000000001</v>
      </c>
      <c r="J19" s="3348">
        <v>107047</v>
      </c>
      <c r="K19" s="3348" t="s">
        <v>3275</v>
      </c>
      <c r="L19" s="3348" t="s">
        <v>3303</v>
      </c>
      <c r="M19" s="3348" t="s">
        <v>3304</v>
      </c>
      <c r="N19" s="3348" t="s">
        <v>3305</v>
      </c>
      <c r="O19" s="3348">
        <v>38536.910000000003</v>
      </c>
      <c r="P19" s="3348">
        <v>720</v>
      </c>
      <c r="Q19" s="3348">
        <v>3600</v>
      </c>
      <c r="R19" s="3348">
        <v>2.86</v>
      </c>
      <c r="S19" s="3348" t="s">
        <v>3306</v>
      </c>
      <c r="T19" s="3349"/>
      <c r="U19" s="3349"/>
      <c r="V19" s="3349"/>
      <c r="W19" s="3349"/>
      <c r="X19" s="3349"/>
      <c r="Y19" s="3349"/>
      <c r="Z19" s="3349"/>
    </row>
    <row r="20" spans="1:26" s="3343" customFormat="1">
      <c r="A20" s="3348" t="s">
        <v>3309</v>
      </c>
      <c r="B20" s="3348" t="s">
        <v>3216</v>
      </c>
      <c r="C20" s="3348" t="s">
        <v>3217</v>
      </c>
      <c r="D20" s="3348" t="s">
        <v>2817</v>
      </c>
      <c r="E20" s="3348" t="s">
        <v>3309</v>
      </c>
      <c r="F20" s="3348" t="s">
        <v>3218</v>
      </c>
      <c r="G20" s="3348" t="s">
        <v>3310</v>
      </c>
      <c r="H20" s="3348" t="s">
        <v>3302</v>
      </c>
      <c r="I20" s="3348">
        <v>45799.9</v>
      </c>
      <c r="J20" s="3348">
        <v>137399</v>
      </c>
      <c r="K20" s="3348" t="s">
        <v>3275</v>
      </c>
      <c r="L20" s="3348" t="s">
        <v>3303</v>
      </c>
      <c r="M20" s="3348" t="s">
        <v>3304</v>
      </c>
      <c r="N20" s="3348" t="s">
        <v>3305</v>
      </c>
      <c r="O20" s="3348">
        <v>32975.760000000002</v>
      </c>
      <c r="P20" s="3348">
        <v>480</v>
      </c>
      <c r="Q20" s="3348">
        <v>2400</v>
      </c>
      <c r="R20" s="3348">
        <v>4.3499999999999996</v>
      </c>
      <c r="S20" s="3348" t="s">
        <v>3306</v>
      </c>
      <c r="T20" s="3349"/>
      <c r="U20" s="3349"/>
      <c r="V20" s="3349"/>
      <c r="W20" s="3349"/>
      <c r="X20" s="3349"/>
      <c r="Y20" s="3349"/>
      <c r="Z20" s="3349"/>
    </row>
    <row r="21" spans="1:26" s="3343" customFormat="1">
      <c r="A21" s="3348" t="s">
        <v>3311</v>
      </c>
      <c r="B21" s="3348" t="s">
        <v>3216</v>
      </c>
      <c r="C21" s="3348" t="s">
        <v>3217</v>
      </c>
      <c r="D21" s="3348" t="s">
        <v>2817</v>
      </c>
      <c r="E21" s="3348" t="s">
        <v>3311</v>
      </c>
      <c r="F21" s="3348" t="s">
        <v>3218</v>
      </c>
      <c r="G21" s="3348" t="s">
        <v>3312</v>
      </c>
      <c r="H21" s="3348" t="s">
        <v>3302</v>
      </c>
      <c r="I21" s="3348">
        <v>54494</v>
      </c>
      <c r="J21" s="3348">
        <v>163482</v>
      </c>
      <c r="K21" s="3348" t="s">
        <v>3275</v>
      </c>
      <c r="L21" s="3348" t="s">
        <v>3303</v>
      </c>
      <c r="M21" s="3348" t="s">
        <v>3304</v>
      </c>
      <c r="N21" s="3348" t="s">
        <v>3305</v>
      </c>
      <c r="O21" s="3348">
        <v>58853.51</v>
      </c>
      <c r="P21" s="3348">
        <v>720</v>
      </c>
      <c r="Q21" s="3348">
        <v>3600</v>
      </c>
      <c r="R21" s="3348">
        <v>2.86</v>
      </c>
      <c r="S21" s="3348" t="s">
        <v>3306</v>
      </c>
      <c r="T21" s="3349"/>
      <c r="U21" s="3349"/>
      <c r="V21" s="3349"/>
      <c r="W21" s="3349"/>
      <c r="X21" s="3349"/>
      <c r="Y21" s="3349"/>
      <c r="Z21" s="3349"/>
    </row>
    <row r="22" spans="1:26" s="3343" customFormat="1">
      <c r="A22" s="3348" t="s">
        <v>3313</v>
      </c>
      <c r="B22" s="3348" t="s">
        <v>3216</v>
      </c>
      <c r="C22" s="3348" t="s">
        <v>3217</v>
      </c>
      <c r="D22" s="3348" t="s">
        <v>2817</v>
      </c>
      <c r="E22" s="3348" t="s">
        <v>3313</v>
      </c>
      <c r="F22" s="3348" t="s">
        <v>3218</v>
      </c>
      <c r="G22" s="3348" t="s">
        <v>3314</v>
      </c>
      <c r="H22" s="3348" t="s">
        <v>3302</v>
      </c>
      <c r="I22" s="3348">
        <v>48962.3</v>
      </c>
      <c r="J22" s="3348">
        <v>161575</v>
      </c>
      <c r="K22" s="3348" t="s">
        <v>3315</v>
      </c>
      <c r="L22" s="3348" t="s">
        <v>3303</v>
      </c>
      <c r="M22" s="3348" t="s">
        <v>3304</v>
      </c>
      <c r="N22" s="3348" t="s">
        <v>3305</v>
      </c>
      <c r="O22" s="3348">
        <v>38778</v>
      </c>
      <c r="P22" s="3348">
        <v>528</v>
      </c>
      <c r="Q22" s="3348">
        <v>2400</v>
      </c>
      <c r="R22" s="3348">
        <v>4.3499999999999996</v>
      </c>
      <c r="S22" s="3348" t="s">
        <v>3306</v>
      </c>
      <c r="T22" s="3349"/>
      <c r="U22" s="3349"/>
      <c r="V22" s="3349"/>
      <c r="W22" s="3349"/>
      <c r="X22" s="3349"/>
      <c r="Y22" s="3349"/>
      <c r="Z22" s="3349"/>
    </row>
    <row r="23" spans="1:26" s="3343" customFormat="1">
      <c r="A23" s="3348" t="s">
        <v>3316</v>
      </c>
      <c r="B23" s="3348" t="s">
        <v>3216</v>
      </c>
      <c r="C23" s="3348" t="s">
        <v>3231</v>
      </c>
      <c r="D23" s="3348" t="s">
        <v>2817</v>
      </c>
      <c r="E23" s="3348" t="s">
        <v>3316</v>
      </c>
      <c r="F23" s="3348" t="s">
        <v>3218</v>
      </c>
      <c r="G23" s="3348" t="s">
        <v>3317</v>
      </c>
      <c r="H23" s="3348" t="s">
        <v>3233</v>
      </c>
      <c r="I23" s="3348">
        <v>63397.7</v>
      </c>
      <c r="J23" s="3348">
        <v>114115.9</v>
      </c>
      <c r="K23" s="3348" t="s">
        <v>3318</v>
      </c>
      <c r="L23" s="3348" t="s">
        <v>3319</v>
      </c>
      <c r="M23" s="3348" t="s">
        <v>3320</v>
      </c>
      <c r="N23" s="3348" t="s">
        <v>3321</v>
      </c>
      <c r="O23" s="3348">
        <v>35375.65</v>
      </c>
      <c r="P23" s="3348">
        <v>372</v>
      </c>
      <c r="Q23" s="3348">
        <v>3099.98</v>
      </c>
      <c r="R23" s="3348">
        <v>3.33</v>
      </c>
      <c r="S23" s="3348" t="s">
        <v>3238</v>
      </c>
      <c r="T23" s="3349"/>
      <c r="U23" s="3349"/>
      <c r="V23" s="3349"/>
      <c r="W23" s="3349"/>
      <c r="X23" s="3349"/>
      <c r="Y23" s="3349"/>
      <c r="Z23" s="3349"/>
    </row>
    <row r="24" spans="1:26" s="3343" customFormat="1">
      <c r="A24" s="3348" t="s">
        <v>3322</v>
      </c>
      <c r="B24" s="3348" t="s">
        <v>3216</v>
      </c>
      <c r="C24" s="3348" t="s">
        <v>3217</v>
      </c>
      <c r="D24" s="3348" t="s">
        <v>2817</v>
      </c>
      <c r="E24" s="3348" t="s">
        <v>3323</v>
      </c>
      <c r="F24" s="3348" t="s">
        <v>3218</v>
      </c>
      <c r="G24" s="3348" t="s">
        <v>3324</v>
      </c>
      <c r="H24" s="3348" t="s">
        <v>3233</v>
      </c>
      <c r="I24" s="3348">
        <v>100184.3</v>
      </c>
      <c r="J24" s="3348">
        <v>180331.7</v>
      </c>
      <c r="K24" s="3348" t="s">
        <v>3318</v>
      </c>
      <c r="L24" s="3348" t="s">
        <v>3325</v>
      </c>
      <c r="M24" s="3348" t="s">
        <v>3326</v>
      </c>
      <c r="N24" s="3348" t="s">
        <v>3327</v>
      </c>
      <c r="O24" s="3348">
        <v>54099.3</v>
      </c>
      <c r="P24" s="3348">
        <v>360</v>
      </c>
      <c r="Q24" s="3348">
        <v>2999.98</v>
      </c>
      <c r="R24" s="3348">
        <v>0</v>
      </c>
      <c r="S24" s="3348" t="s">
        <v>3238</v>
      </c>
      <c r="T24" s="3349"/>
      <c r="U24" s="3349"/>
      <c r="V24" s="3349"/>
      <c r="W24" s="3349"/>
      <c r="X24" s="3349"/>
      <c r="Y24" s="3349"/>
      <c r="Z24" s="3349"/>
    </row>
    <row r="25" spans="1:26" s="3343" customFormat="1">
      <c r="A25" s="3348" t="s">
        <v>3328</v>
      </c>
      <c r="B25" s="3348" t="s">
        <v>3216</v>
      </c>
      <c r="C25" s="3348" t="s">
        <v>3217</v>
      </c>
      <c r="D25" s="3348" t="s">
        <v>2817</v>
      </c>
      <c r="E25" s="3348" t="s">
        <v>3328</v>
      </c>
      <c r="F25" s="3348" t="s">
        <v>3218</v>
      </c>
      <c r="G25" s="3348" t="s">
        <v>3329</v>
      </c>
      <c r="H25" s="3348" t="s">
        <v>3233</v>
      </c>
      <c r="I25" s="3348">
        <v>36978.199999999997</v>
      </c>
      <c r="J25" s="3348">
        <v>66560.759999999995</v>
      </c>
      <c r="K25" s="3348" t="s">
        <v>3330</v>
      </c>
      <c r="L25" s="3348" t="s">
        <v>3331</v>
      </c>
      <c r="M25" s="3348" t="s">
        <v>3332</v>
      </c>
      <c r="N25" s="3348" t="s">
        <v>3321</v>
      </c>
      <c r="O25" s="3348">
        <v>20966.400000000001</v>
      </c>
      <c r="P25" s="3348">
        <v>378</v>
      </c>
      <c r="Q25" s="3348">
        <v>3149.96</v>
      </c>
      <c r="R25" s="3348">
        <v>5</v>
      </c>
      <c r="S25" s="3348" t="s">
        <v>3306</v>
      </c>
      <c r="T25" s="3349"/>
      <c r="U25" s="3349"/>
      <c r="V25" s="3349"/>
      <c r="W25" s="3349"/>
      <c r="X25" s="3349"/>
      <c r="Y25" s="3349"/>
      <c r="Z25" s="3349"/>
    </row>
    <row r="26" spans="1:26" s="3343" customFormat="1">
      <c r="A26" s="3348" t="s">
        <v>3333</v>
      </c>
      <c r="B26" s="3348" t="s">
        <v>3216</v>
      </c>
      <c r="C26" s="3348" t="s">
        <v>3217</v>
      </c>
      <c r="D26" s="3348" t="s">
        <v>2817</v>
      </c>
      <c r="E26" s="3348" t="s">
        <v>3333</v>
      </c>
      <c r="F26" s="3348" t="s">
        <v>3218</v>
      </c>
      <c r="G26" s="3348" t="s">
        <v>3334</v>
      </c>
      <c r="H26" s="3348" t="s">
        <v>3233</v>
      </c>
      <c r="I26" s="3348">
        <v>61365.7</v>
      </c>
      <c r="J26" s="3348">
        <v>110458.3</v>
      </c>
      <c r="K26" s="3348" t="s">
        <v>3330</v>
      </c>
      <c r="L26" s="3348" t="s">
        <v>3331</v>
      </c>
      <c r="M26" s="3348" t="s">
        <v>3335</v>
      </c>
      <c r="N26" s="3348" t="s">
        <v>3321</v>
      </c>
      <c r="O26" s="3348">
        <v>34794.26</v>
      </c>
      <c r="P26" s="3348">
        <v>378</v>
      </c>
      <c r="Q26" s="3348">
        <v>3149.98</v>
      </c>
      <c r="R26" s="3348">
        <v>5</v>
      </c>
      <c r="S26" s="3348" t="s">
        <v>3306</v>
      </c>
      <c r="T26" s="3349"/>
      <c r="U26" s="3349"/>
      <c r="V26" s="3349"/>
      <c r="W26" s="3349"/>
      <c r="X26" s="3349"/>
      <c r="Y26" s="3349"/>
      <c r="Z26" s="3349"/>
    </row>
    <row r="27" spans="1:26" s="3343" customFormat="1">
      <c r="A27" s="3348" t="s">
        <v>3336</v>
      </c>
      <c r="B27" s="3348" t="s">
        <v>3216</v>
      </c>
      <c r="C27" s="3348" t="s">
        <v>3217</v>
      </c>
      <c r="D27" s="3348" t="s">
        <v>2817</v>
      </c>
      <c r="E27" s="3348" t="s">
        <v>3337</v>
      </c>
      <c r="F27" s="3348" t="s">
        <v>3218</v>
      </c>
      <c r="G27" s="3348" t="s">
        <v>3338</v>
      </c>
      <c r="H27" s="3348" t="s">
        <v>3233</v>
      </c>
      <c r="I27" s="3348">
        <v>38296.300000000003</v>
      </c>
      <c r="J27" s="3348">
        <v>45955.56</v>
      </c>
      <c r="K27" s="3348" t="s">
        <v>3339</v>
      </c>
      <c r="L27" s="3348" t="s">
        <v>3340</v>
      </c>
      <c r="M27" s="3348" t="s">
        <v>3341</v>
      </c>
      <c r="N27" s="3348" t="s">
        <v>3342</v>
      </c>
      <c r="O27" s="3348">
        <v>13786.5</v>
      </c>
      <c r="P27" s="3348">
        <v>240</v>
      </c>
      <c r="Q27" s="3348">
        <v>2999.96</v>
      </c>
      <c r="R27" s="3348">
        <v>0</v>
      </c>
      <c r="S27" s="3348" t="s">
        <v>3306</v>
      </c>
      <c r="T27" s="3349"/>
      <c r="U27" s="3349"/>
      <c r="V27" s="3349"/>
      <c r="W27" s="3349"/>
      <c r="X27" s="3349"/>
      <c r="Y27" s="3349"/>
      <c r="Z27" s="3349"/>
    </row>
    <row r="28" spans="1:26" s="3343" customFormat="1">
      <c r="A28" s="3348" t="s">
        <v>3343</v>
      </c>
      <c r="B28" s="3348" t="s">
        <v>3216</v>
      </c>
      <c r="C28" s="3348" t="s">
        <v>3231</v>
      </c>
      <c r="D28" s="3348" t="s">
        <v>2817</v>
      </c>
      <c r="E28" s="3348" t="s">
        <v>3343</v>
      </c>
      <c r="F28" s="3348" t="s">
        <v>3218</v>
      </c>
      <c r="G28" s="3348" t="s">
        <v>3344</v>
      </c>
      <c r="H28" s="3348" t="s">
        <v>3233</v>
      </c>
      <c r="I28" s="3348">
        <v>85294.6</v>
      </c>
      <c r="J28" s="3348">
        <v>102353.52</v>
      </c>
      <c r="K28" s="3348" t="s">
        <v>3339</v>
      </c>
      <c r="L28" s="3348" t="s">
        <v>3340</v>
      </c>
      <c r="M28" s="3348" t="s">
        <v>3345</v>
      </c>
      <c r="N28" s="3348" t="s">
        <v>3342</v>
      </c>
      <c r="O28" s="3348">
        <v>30705.9</v>
      </c>
      <c r="P28" s="3348">
        <v>240</v>
      </c>
      <c r="Q28" s="3348">
        <v>2999.98</v>
      </c>
      <c r="R28" s="3348">
        <v>0</v>
      </c>
      <c r="S28" s="3348" t="s">
        <v>3238</v>
      </c>
      <c r="T28" s="3349"/>
      <c r="U28" s="3349"/>
      <c r="V28" s="3349"/>
      <c r="W28" s="3349"/>
      <c r="X28" s="3349"/>
      <c r="Y28" s="3349"/>
      <c r="Z28" s="3349"/>
    </row>
    <row r="29" spans="1:26" s="3343" customFormat="1">
      <c r="A29" s="3348" t="s">
        <v>3346</v>
      </c>
      <c r="B29" s="3348" t="s">
        <v>3216</v>
      </c>
      <c r="C29" s="3348" t="s">
        <v>3217</v>
      </c>
      <c r="D29" s="3348" t="s">
        <v>2817</v>
      </c>
      <c r="E29" s="3348" t="s">
        <v>3346</v>
      </c>
      <c r="F29" s="3348" t="s">
        <v>3218</v>
      </c>
      <c r="G29" s="3348" t="s">
        <v>3347</v>
      </c>
      <c r="H29" s="3348" t="s">
        <v>3348</v>
      </c>
      <c r="I29" s="3348">
        <v>34168.699999999997</v>
      </c>
      <c r="J29" s="3348">
        <v>68337.399999999994</v>
      </c>
      <c r="K29" s="3348" t="s">
        <v>3349</v>
      </c>
      <c r="L29" s="3348" t="s">
        <v>3350</v>
      </c>
      <c r="M29" s="3348" t="s">
        <v>3351</v>
      </c>
      <c r="N29" s="3348" t="s">
        <v>3352</v>
      </c>
      <c r="O29" s="3348">
        <v>13906.57</v>
      </c>
      <c r="P29" s="3348">
        <v>271.33</v>
      </c>
      <c r="Q29" s="3348">
        <v>2034.99</v>
      </c>
      <c r="R29" s="3348">
        <v>39.86</v>
      </c>
      <c r="S29" s="3348" t="s">
        <v>3306</v>
      </c>
      <c r="T29" s="3349"/>
      <c r="U29" s="3349"/>
      <c r="V29" s="3349"/>
      <c r="W29" s="3349"/>
      <c r="X29" s="3349"/>
      <c r="Y29" s="3349"/>
      <c r="Z29" s="3349"/>
    </row>
    <row r="30" spans="1:26" s="3346" customFormat="1">
      <c r="A30" s="3356" t="s">
        <v>3353</v>
      </c>
      <c r="B30" s="3356" t="s">
        <v>3216</v>
      </c>
      <c r="C30" s="3356" t="s">
        <v>3231</v>
      </c>
      <c r="D30" s="3356" t="s">
        <v>2817</v>
      </c>
      <c r="E30" s="3356" t="s">
        <v>3353</v>
      </c>
      <c r="F30" s="3356" t="s">
        <v>3218</v>
      </c>
      <c r="G30" s="3357" t="s">
        <v>3354</v>
      </c>
      <c r="H30" s="3356" t="s">
        <v>3355</v>
      </c>
      <c r="I30" s="3356">
        <v>67677.100000000006</v>
      </c>
      <c r="J30" s="3356">
        <v>121818</v>
      </c>
      <c r="K30" s="3356" t="s">
        <v>3356</v>
      </c>
      <c r="L30" s="3356" t="s">
        <v>3357</v>
      </c>
      <c r="M30" s="3356" t="s">
        <v>3358</v>
      </c>
      <c r="N30" s="3357" t="s">
        <v>3359</v>
      </c>
      <c r="O30" s="3356">
        <v>83469.69</v>
      </c>
      <c r="P30" s="3356">
        <v>822.23</v>
      </c>
      <c r="Q30" s="3356">
        <v>6852</v>
      </c>
      <c r="R30" s="3356">
        <v>341.49</v>
      </c>
      <c r="S30" s="3356" t="s">
        <v>3238</v>
      </c>
      <c r="T30" s="3358"/>
      <c r="U30" s="3358"/>
      <c r="V30" s="3358"/>
      <c r="W30" s="3358"/>
      <c r="X30" s="3358"/>
      <c r="Y30" s="3358"/>
      <c r="Z30" s="3358"/>
    </row>
    <row r="31" spans="1:26" s="3343" customFormat="1">
      <c r="A31" s="3348" t="s">
        <v>3360</v>
      </c>
      <c r="B31" s="3348" t="s">
        <v>3216</v>
      </c>
      <c r="C31" s="3348" t="s">
        <v>3217</v>
      </c>
      <c r="D31" s="3348" t="s">
        <v>2817</v>
      </c>
      <c r="E31" s="3348" t="s">
        <v>3360</v>
      </c>
      <c r="F31" s="3348" t="s">
        <v>3218</v>
      </c>
      <c r="G31" s="3348" t="s">
        <v>3361</v>
      </c>
      <c r="H31" s="3348" t="s">
        <v>3362</v>
      </c>
      <c r="I31" s="3348">
        <v>43937.9</v>
      </c>
      <c r="J31" s="3348">
        <v>87875</v>
      </c>
      <c r="K31" s="3348" t="s">
        <v>3363</v>
      </c>
      <c r="L31" s="3348" t="s">
        <v>3364</v>
      </c>
      <c r="M31" s="3348" t="s">
        <v>3365</v>
      </c>
      <c r="N31" s="3348" t="s">
        <v>3366</v>
      </c>
      <c r="O31" s="3348">
        <v>13304.28</v>
      </c>
      <c r="P31" s="3348">
        <v>201.86</v>
      </c>
      <c r="Q31" s="3348">
        <v>1514</v>
      </c>
      <c r="R31" s="3348">
        <v>0.33</v>
      </c>
      <c r="S31" s="3348" t="s">
        <v>3367</v>
      </c>
      <c r="T31" s="3349"/>
      <c r="U31" s="3349"/>
      <c r="V31" s="3349"/>
      <c r="W31" s="3349"/>
      <c r="X31" s="3349"/>
      <c r="Y31" s="3349"/>
      <c r="Z31" s="3349"/>
    </row>
    <row r="32" spans="1:26" s="3343" customFormat="1">
      <c r="A32" s="3348" t="s">
        <v>3368</v>
      </c>
      <c r="B32" s="3348" t="s">
        <v>3216</v>
      </c>
      <c r="C32" s="3348" t="s">
        <v>3231</v>
      </c>
      <c r="D32" s="3348" t="s">
        <v>2817</v>
      </c>
      <c r="E32" s="3348" t="s">
        <v>3368</v>
      </c>
      <c r="F32" s="3348" t="s">
        <v>3218</v>
      </c>
      <c r="G32" s="3348" t="s">
        <v>3369</v>
      </c>
      <c r="H32" s="3348" t="s">
        <v>3355</v>
      </c>
      <c r="I32" s="3348">
        <v>30694.400000000001</v>
      </c>
      <c r="J32" s="3348">
        <v>36833</v>
      </c>
      <c r="K32" s="3348" t="s">
        <v>3370</v>
      </c>
      <c r="L32" s="3348" t="s">
        <v>3371</v>
      </c>
      <c r="M32" s="3348" t="s">
        <v>3372</v>
      </c>
      <c r="N32" s="3348" t="s">
        <v>3305</v>
      </c>
      <c r="O32" s="3348">
        <v>7683.35</v>
      </c>
      <c r="P32" s="3348">
        <v>166.88</v>
      </c>
      <c r="Q32" s="3348">
        <v>2086</v>
      </c>
      <c r="R32" s="3348">
        <v>0</v>
      </c>
      <c r="S32" s="3348" t="s">
        <v>3238</v>
      </c>
      <c r="T32" s="3349"/>
      <c r="U32" s="3349"/>
      <c r="V32" s="3349"/>
      <c r="W32" s="3349"/>
      <c r="X32" s="3349"/>
      <c r="Y32" s="3349"/>
      <c r="Z32" s="3349"/>
    </row>
    <row r="33" spans="1:26" s="3343" customFormat="1">
      <c r="A33" s="3348" t="s">
        <v>3373</v>
      </c>
      <c r="B33" s="3348" t="s">
        <v>3216</v>
      </c>
      <c r="C33" s="3348" t="s">
        <v>3231</v>
      </c>
      <c r="D33" s="3348" t="s">
        <v>2817</v>
      </c>
      <c r="E33" s="3348" t="s">
        <v>3373</v>
      </c>
      <c r="F33" s="3348" t="s">
        <v>3218</v>
      </c>
      <c r="G33" s="3348" t="s">
        <v>3374</v>
      </c>
      <c r="H33" s="3348" t="s">
        <v>3355</v>
      </c>
      <c r="I33" s="3348">
        <v>14347.6</v>
      </c>
      <c r="J33" s="3348">
        <v>28695</v>
      </c>
      <c r="K33" s="3348" t="s">
        <v>3375</v>
      </c>
      <c r="L33" s="3348" t="s">
        <v>3371</v>
      </c>
      <c r="M33" s="3348" t="s">
        <v>3376</v>
      </c>
      <c r="N33" s="3348" t="s">
        <v>3377</v>
      </c>
      <c r="O33" s="3348">
        <v>4353.0200000000004</v>
      </c>
      <c r="P33" s="3348">
        <v>202.26</v>
      </c>
      <c r="Q33" s="3348">
        <v>1517</v>
      </c>
      <c r="R33" s="3348">
        <v>0</v>
      </c>
      <c r="S33" s="3348" t="s">
        <v>3238</v>
      </c>
      <c r="T33" s="3349"/>
      <c r="U33" s="3349"/>
      <c r="V33" s="3349"/>
      <c r="W33" s="3349"/>
      <c r="X33" s="3349"/>
      <c r="Y33" s="3349"/>
      <c r="Z33" s="3349"/>
    </row>
    <row r="34" spans="1:26" s="3343" customFormat="1">
      <c r="A34" s="3348" t="s">
        <v>3378</v>
      </c>
      <c r="B34" s="3348" t="s">
        <v>3216</v>
      </c>
      <c r="C34" s="3348" t="s">
        <v>3217</v>
      </c>
      <c r="D34" s="3348" t="s">
        <v>2817</v>
      </c>
      <c r="E34" s="3348" t="s">
        <v>3378</v>
      </c>
      <c r="F34" s="3348" t="s">
        <v>3218</v>
      </c>
      <c r="G34" s="3348" t="s">
        <v>3379</v>
      </c>
      <c r="H34" s="3348" t="s">
        <v>3380</v>
      </c>
      <c r="I34" s="3348">
        <v>51672.2</v>
      </c>
      <c r="J34" s="3348">
        <v>93009</v>
      </c>
      <c r="K34" s="3348" t="s">
        <v>3356</v>
      </c>
      <c r="L34" s="3348" t="s">
        <v>3381</v>
      </c>
      <c r="M34" s="3348" t="s">
        <v>3382</v>
      </c>
      <c r="N34" s="3348" t="s">
        <v>3383</v>
      </c>
      <c r="O34" s="3348">
        <v>13430.5</v>
      </c>
      <c r="P34" s="3348">
        <v>173.28</v>
      </c>
      <c r="Q34" s="3348">
        <v>1444</v>
      </c>
      <c r="R34" s="3348">
        <v>0</v>
      </c>
      <c r="S34" s="3348" t="s">
        <v>3384</v>
      </c>
      <c r="T34" s="3349"/>
      <c r="U34" s="3349"/>
      <c r="V34" s="3349"/>
      <c r="W34" s="3349"/>
      <c r="X34" s="3349"/>
      <c r="Y34" s="3349"/>
      <c r="Z34" s="3349"/>
    </row>
  </sheetData>
  <phoneticPr fontId="23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
  <sheetViews>
    <sheetView topLeftCell="O76" workbookViewId="0">
      <selection activeCell="Z115" sqref="Z115"/>
    </sheetView>
  </sheetViews>
  <sheetFormatPr defaultRowHeight="14.25"/>
  <cols>
    <col min="1" max="3" width="10.125" style="3379" customWidth="1"/>
    <col min="4" max="6" width="9" style="3360"/>
    <col min="7" max="7" width="9" style="3362"/>
    <col min="8" max="30" width="9" style="3360"/>
    <col min="31" max="16384" width="9" style="3347"/>
  </cols>
  <sheetData>
    <row r="1" spans="1:7">
      <c r="A1" s="3704" t="s">
        <v>3385</v>
      </c>
      <c r="B1" s="3704"/>
      <c r="C1" s="3704"/>
      <c r="D1" s="3361" t="s">
        <v>3386</v>
      </c>
    </row>
    <row r="2" spans="1:7" ht="15" thickBot="1">
      <c r="A2" s="3363" t="s">
        <v>3387</v>
      </c>
      <c r="B2" s="3364" t="s">
        <v>3388</v>
      </c>
      <c r="C2" s="3364" t="s">
        <v>3389</v>
      </c>
      <c r="F2" s="3365" t="s">
        <v>3390</v>
      </c>
      <c r="G2" s="3366" t="s">
        <v>3391</v>
      </c>
    </row>
    <row r="3" spans="1:7">
      <c r="A3" s="3367">
        <v>2016.2</v>
      </c>
      <c r="B3" s="3368">
        <v>6294</v>
      </c>
      <c r="C3" s="3368">
        <v>2.2599999999999998</v>
      </c>
      <c r="F3" s="3365" t="s">
        <v>3392</v>
      </c>
      <c r="G3" s="3369" t="s">
        <v>3393</v>
      </c>
    </row>
    <row r="4" spans="1:7">
      <c r="A4" s="3370">
        <v>2016.3</v>
      </c>
      <c r="B4" s="3371">
        <v>6480</v>
      </c>
      <c r="C4" s="3371">
        <v>2.96</v>
      </c>
      <c r="F4" s="3372"/>
      <c r="G4" s="3369" t="s">
        <v>3394</v>
      </c>
    </row>
    <row r="5" spans="1:7">
      <c r="A5" s="3367">
        <v>2016.4</v>
      </c>
      <c r="B5" s="3368">
        <v>6850</v>
      </c>
      <c r="C5" s="3368">
        <v>5.71</v>
      </c>
      <c r="F5" s="3372"/>
      <c r="G5" s="3362" t="s">
        <v>3395</v>
      </c>
    </row>
    <row r="6" spans="1:7">
      <c r="A6" s="3370">
        <v>2017.1</v>
      </c>
      <c r="B6" s="3371">
        <v>7116</v>
      </c>
      <c r="C6" s="3371">
        <v>3.88</v>
      </c>
      <c r="F6" s="3365" t="s">
        <v>3396</v>
      </c>
      <c r="G6" s="3369" t="s">
        <v>3397</v>
      </c>
    </row>
    <row r="7" spans="1:7" ht="13.5">
      <c r="A7" s="3373">
        <v>2017.2</v>
      </c>
      <c r="B7" s="3374">
        <v>7604</v>
      </c>
      <c r="C7" s="3374">
        <v>6.86</v>
      </c>
    </row>
    <row r="8" spans="1:7" ht="13.5">
      <c r="A8" s="3375">
        <v>2017.3</v>
      </c>
      <c r="B8" s="3376">
        <v>17272</v>
      </c>
      <c r="C8" s="3376">
        <v>4</v>
      </c>
    </row>
    <row r="9" spans="1:7" ht="13.5">
      <c r="A9" s="3377">
        <v>2017.4</v>
      </c>
      <c r="B9" s="3378">
        <v>17456</v>
      </c>
      <c r="C9" s="3378">
        <v>1.07</v>
      </c>
    </row>
    <row r="10" spans="1:7" ht="13.5">
      <c r="A10" s="3375">
        <v>2018.1</v>
      </c>
      <c r="B10" s="3376">
        <v>17998</v>
      </c>
      <c r="C10" s="3376">
        <v>3.1</v>
      </c>
    </row>
    <row r="11" spans="1:7" ht="13.5">
      <c r="A11" s="3377">
        <v>2018.2</v>
      </c>
      <c r="B11" s="3378">
        <v>18702</v>
      </c>
      <c r="C11" s="3378">
        <v>3.91</v>
      </c>
    </row>
  </sheetData>
  <mergeCells count="1">
    <mergeCell ref="A1:C1"/>
  </mergeCells>
  <phoneticPr fontId="233" type="noConversion"/>
  <hyperlinks>
    <hyperlink ref="G2" r:id="rId1"/>
    <hyperlink ref="G3" r:id="rId2"/>
    <hyperlink ref="G4" r:id="rId3"/>
    <hyperlink ref="G6" r:id="rId4"/>
  </hyperlinks>
  <pageMargins left="0.7" right="0.7" top="0.75" bottom="0.75" header="0.3" footer="0.3"/>
  <pageSetup paperSize="9" orientation="portrait" r:id="rId5"/>
  <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6" sqref="P36"/>
    </sheetView>
  </sheetViews>
  <sheetFormatPr defaultRowHeight="13.5"/>
  <cols>
    <col min="1" max="16384" width="9" style="3360"/>
  </cols>
  <sheetData/>
  <phoneticPr fontId="233"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12" sqref="I12"/>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516</v>
      </c>
      <c r="B1" s="501"/>
      <c r="C1" s="502" t="s">
        <v>597</v>
      </c>
      <c r="D1" s="503" t="s">
        <v>518</v>
      </c>
      <c r="E1" s="735"/>
      <c r="F1" s="736"/>
      <c r="G1" s="735"/>
      <c r="H1" s="735"/>
      <c r="I1" s="735"/>
      <c r="J1" s="735"/>
      <c r="K1" s="737"/>
      <c r="L1" s="1557"/>
      <c r="M1" s="1558"/>
      <c r="N1" s="1558"/>
      <c r="O1" s="1558"/>
      <c r="P1" s="1559"/>
      <c r="Q1" s="1559"/>
      <c r="R1" s="1559"/>
      <c r="S1" s="1559"/>
      <c r="T1" s="1559"/>
      <c r="U1" s="1559"/>
      <c r="V1" s="1559"/>
      <c r="W1" s="1559"/>
      <c r="X1" s="1559"/>
      <c r="Y1" s="1559"/>
      <c r="Z1" s="1559"/>
      <c r="AA1" s="1559"/>
      <c r="AB1" s="1559"/>
      <c r="AC1" s="1560"/>
    </row>
    <row r="2" spans="1:29" s="1333" customFormat="1" ht="28.5" customHeight="1">
      <c r="A2" s="421" t="s">
        <v>467</v>
      </c>
      <c r="B2" s="506" t="e">
        <f>F63</f>
        <v>#DIV/0!</v>
      </c>
      <c r="C2" s="2124"/>
      <c r="D2" s="2124"/>
      <c r="E2" s="2124"/>
      <c r="F2" s="2125"/>
      <c r="G2" s="2124"/>
      <c r="H2" s="2124"/>
      <c r="I2" s="2124"/>
      <c r="J2" s="2124"/>
      <c r="K2" s="2126"/>
      <c r="L2" s="2127"/>
      <c r="M2" s="2128"/>
      <c r="N2" s="2128"/>
      <c r="O2" s="2128"/>
      <c r="P2" s="1559"/>
      <c r="Q2" s="1559"/>
      <c r="R2" s="1559"/>
      <c r="S2" s="1559"/>
      <c r="T2" s="1559"/>
      <c r="U2" s="1559"/>
      <c r="V2" s="1559"/>
      <c r="W2" s="1559"/>
      <c r="X2" s="1559"/>
      <c r="Y2" s="1559"/>
      <c r="Z2" s="1559"/>
      <c r="AA2" s="1559"/>
      <c r="AB2" s="1559"/>
      <c r="AC2" s="1560"/>
    </row>
    <row r="3" spans="1:29" s="1333" customFormat="1" ht="28.5" customHeight="1">
      <c r="A3" s="1375" t="s">
        <v>1686</v>
      </c>
      <c r="B3" s="508" t="e">
        <f>ROUND(B2*10000/'数据-汇总表'!E3,0)</f>
        <v>#DIV/0!</v>
      </c>
      <c r="C3" s="2057"/>
      <c r="D3" s="2057"/>
      <c r="E3" s="2057"/>
      <c r="F3" s="2057"/>
      <c r="G3" s="2124"/>
      <c r="H3" s="2124"/>
      <c r="I3" s="2124"/>
      <c r="J3" s="2124"/>
      <c r="K3" s="2126"/>
      <c r="L3" s="2127"/>
      <c r="M3" s="2128"/>
      <c r="N3" s="2128"/>
      <c r="O3" s="2128"/>
      <c r="P3" s="1559"/>
      <c r="Q3" s="1559"/>
      <c r="R3" s="1559"/>
      <c r="S3" s="1559"/>
      <c r="T3" s="1559"/>
      <c r="U3" s="1559"/>
      <c r="V3" s="1559"/>
      <c r="W3" s="1559"/>
      <c r="X3" s="1559"/>
      <c r="Y3" s="1559"/>
      <c r="Z3" s="1559"/>
      <c r="AA3" s="1559"/>
      <c r="AB3" s="426"/>
      <c r="AC3" s="426"/>
    </row>
    <row r="4" spans="1:29" s="1333" customFormat="1" ht="28.5" customHeight="1">
      <c r="A4" s="509" t="s">
        <v>520</v>
      </c>
      <c r="B4" s="425" t="e">
        <f>IF(B43="单位面积地价",C45,ROUND(B2*10000/'数据-汇总表'!D3,0))</f>
        <v>#DIV/0!</v>
      </c>
      <c r="C4" s="2057"/>
      <c r="D4" s="2057"/>
      <c r="E4" s="2057"/>
      <c r="F4" s="2057"/>
      <c r="G4" s="2124"/>
      <c r="H4" s="2124"/>
      <c r="I4" s="2124"/>
      <c r="J4" s="2124"/>
      <c r="K4" s="2126"/>
      <c r="L4" s="2127"/>
      <c r="M4" s="2128"/>
      <c r="N4" s="2128"/>
      <c r="O4" s="2128"/>
      <c r="P4" s="1559"/>
      <c r="Q4" s="1559"/>
      <c r="R4" s="1559"/>
      <c r="S4" s="1559"/>
      <c r="T4" s="1559"/>
      <c r="U4" s="1559"/>
      <c r="V4" s="1559"/>
      <c r="W4" s="1559"/>
      <c r="X4" s="1559"/>
      <c r="Y4" s="1559"/>
      <c r="Z4" s="1559"/>
      <c r="AA4" s="1559"/>
      <c r="AB4" s="1559"/>
      <c r="AC4" s="426"/>
    </row>
    <row r="5" spans="1:29" s="1333" customFormat="1" ht="28.5" customHeight="1" thickBot="1">
      <c r="A5" s="427"/>
      <c r="B5" s="428" t="e">
        <f>ROUND(B2/('数据-汇总表'!D3/666.67),0)</f>
        <v>#DIV/0!</v>
      </c>
      <c r="C5" s="429" t="s">
        <v>469</v>
      </c>
      <c r="D5" s="2057"/>
      <c r="E5" s="2057"/>
      <c r="F5" s="2057"/>
      <c r="G5" s="2124"/>
      <c r="H5" s="2124"/>
      <c r="I5" s="2124"/>
      <c r="J5" s="2124"/>
      <c r="K5" s="2126"/>
      <c r="L5" s="2127"/>
      <c r="M5" s="2128"/>
      <c r="N5" s="2128"/>
      <c r="O5" s="2128"/>
      <c r="P5" s="1559"/>
      <c r="Q5" s="1559"/>
      <c r="R5" s="1559"/>
      <c r="S5" s="1559"/>
      <c r="T5" s="1559"/>
      <c r="U5" s="1559"/>
      <c r="V5" s="1559"/>
      <c r="W5" s="1559"/>
      <c r="X5" s="1559"/>
      <c r="Y5" s="1559"/>
      <c r="Z5" s="1559"/>
      <c r="AA5" s="1559"/>
      <c r="AB5" s="1561"/>
      <c r="AC5" s="426"/>
    </row>
    <row r="6" spans="1:29" ht="15">
      <c r="A6" s="510" t="s">
        <v>521</v>
      </c>
      <c r="B6" s="511"/>
      <c r="C6" s="3685" t="s">
        <v>522</v>
      </c>
      <c r="D6" s="3686"/>
      <c r="E6" s="3710" t="s">
        <v>523</v>
      </c>
      <c r="F6" s="3711"/>
      <c r="G6" s="3685" t="s">
        <v>524</v>
      </c>
      <c r="H6" s="3686"/>
      <c r="I6" s="3685" t="s">
        <v>525</v>
      </c>
      <c r="J6" s="3686"/>
      <c r="K6" s="512" t="s">
        <v>526</v>
      </c>
      <c r="L6" s="2129"/>
      <c r="M6" s="2130"/>
      <c r="N6" s="2130"/>
      <c r="O6" s="2130"/>
      <c r="P6" s="3687" t="s">
        <v>527</v>
      </c>
      <c r="Q6" s="3688"/>
      <c r="R6" s="3673" t="s">
        <v>523</v>
      </c>
      <c r="S6" s="3674"/>
      <c r="T6" s="3673" t="s">
        <v>524</v>
      </c>
      <c r="U6" s="3674"/>
      <c r="V6" s="3693" t="s">
        <v>525</v>
      </c>
      <c r="W6" s="3693"/>
      <c r="X6" s="1562"/>
      <c r="Y6" s="3673" t="s">
        <v>527</v>
      </c>
      <c r="Z6" s="3674"/>
      <c r="AA6" s="3668" t="s">
        <v>523</v>
      </c>
      <c r="AB6" s="3669" t="s">
        <v>524</v>
      </c>
      <c r="AC6" s="3668" t="s">
        <v>525</v>
      </c>
    </row>
    <row r="7" spans="1:29" ht="15">
      <c r="A7" s="513"/>
      <c r="B7" s="514"/>
      <c r="C7" s="3696" t="s">
        <v>2928</v>
      </c>
      <c r="D7" s="3697"/>
      <c r="E7" s="3712" t="s">
        <v>2929</v>
      </c>
      <c r="F7" s="3713"/>
      <c r="G7" s="3696" t="s">
        <v>2930</v>
      </c>
      <c r="H7" s="3697"/>
      <c r="I7" s="3696" t="s">
        <v>2931</v>
      </c>
      <c r="J7" s="3697"/>
      <c r="K7" s="512"/>
      <c r="L7" s="2129"/>
      <c r="M7" s="2130"/>
      <c r="N7" s="2130"/>
      <c r="O7" s="2130"/>
      <c r="P7" s="3689"/>
      <c r="Q7" s="3690"/>
      <c r="R7" s="3675"/>
      <c r="S7" s="3676"/>
      <c r="T7" s="3675"/>
      <c r="U7" s="3676"/>
      <c r="V7" s="3693"/>
      <c r="W7" s="3693"/>
      <c r="X7" s="1562"/>
      <c r="Y7" s="3675"/>
      <c r="Z7" s="3676"/>
      <c r="AA7" s="3669"/>
      <c r="AB7" s="3669"/>
      <c r="AC7" s="3669"/>
    </row>
    <row r="8" spans="1:29" ht="15.75" thickBot="1">
      <c r="A8" s="515"/>
      <c r="B8" s="516"/>
      <c r="C8" s="3694" t="s">
        <v>2932</v>
      </c>
      <c r="D8" s="3695"/>
      <c r="E8" s="3714" t="s">
        <v>2932</v>
      </c>
      <c r="F8" s="3715"/>
      <c r="G8" s="3694" t="s">
        <v>2932</v>
      </c>
      <c r="H8" s="3695"/>
      <c r="I8" s="3694" t="s">
        <v>2932</v>
      </c>
      <c r="J8" s="3695"/>
      <c r="K8" s="512" t="s">
        <v>528</v>
      </c>
      <c r="L8" s="2129"/>
      <c r="M8" s="2130"/>
      <c r="N8" s="2130"/>
      <c r="O8" s="2130"/>
      <c r="P8" s="3691"/>
      <c r="Q8" s="3692"/>
      <c r="R8" s="3675"/>
      <c r="S8" s="3676"/>
      <c r="T8" s="3677"/>
      <c r="U8" s="3678"/>
      <c r="V8" s="3693"/>
      <c r="W8" s="3693"/>
      <c r="X8" s="1562"/>
      <c r="Y8" s="3677"/>
      <c r="Z8" s="3678"/>
      <c r="AA8" s="3670"/>
      <c r="AB8" s="3670"/>
      <c r="AC8" s="3670"/>
    </row>
    <row r="9" spans="1:29" s="1217" customFormat="1" ht="15.75" thickBot="1">
      <c r="A9" s="2908"/>
      <c r="B9" s="2915" t="s">
        <v>529</v>
      </c>
      <c r="C9" s="517">
        <f>'数据-取费表'!B2</f>
        <v>43346</v>
      </c>
      <c r="D9" s="518">
        <v>100</v>
      </c>
      <c r="E9" s="519"/>
      <c r="F9" s="520">
        <f>SUMIF(67:67,YEAR(E9)&amp;"-"&amp;INT((MONTH(E9)+2)/3),68:68)</f>
        <v>0</v>
      </c>
      <c r="G9" s="521"/>
      <c r="H9" s="518">
        <f>SUMIF(67:67,YEAR(G9)&amp;"-"&amp;INT((MONTH(G9)+2)/3),68:68)</f>
        <v>0</v>
      </c>
      <c r="I9" s="521"/>
      <c r="J9" s="518">
        <f>SUMIF(67:67,YEAR(I9)&amp;"-"&amp;INT((MONTH(I9)+2)/3),68:68)</f>
        <v>0</v>
      </c>
      <c r="K9" s="522"/>
      <c r="L9" s="2131"/>
      <c r="M9" s="2132"/>
      <c r="N9" s="2132"/>
      <c r="O9" s="2132"/>
      <c r="P9" s="3671" t="s">
        <v>530</v>
      </c>
      <c r="Q9" s="3680"/>
      <c r="R9" s="1563" t="s">
        <v>8</v>
      </c>
      <c r="S9" s="1564">
        <f t="shared" ref="S9:S17" si="0">F9</f>
        <v>0</v>
      </c>
      <c r="T9" s="1563" t="s">
        <v>8</v>
      </c>
      <c r="U9" s="1564">
        <f t="shared" ref="U9:U17" si="1">H9</f>
        <v>0</v>
      </c>
      <c r="V9" s="1563" t="s">
        <v>8</v>
      </c>
      <c r="W9" s="1564">
        <f t="shared" ref="W9:W17" si="2">J9</f>
        <v>0</v>
      </c>
      <c r="X9" s="1565"/>
      <c r="Y9" s="3671" t="s">
        <v>530</v>
      </c>
      <c r="Z9" s="3672"/>
      <c r="AA9" s="1566" t="e">
        <f>D9/F9</f>
        <v>#DIV/0!</v>
      </c>
      <c r="AB9" s="1566" t="e">
        <f>D9/H9</f>
        <v>#DIV/0!</v>
      </c>
      <c r="AC9" s="1566" t="e">
        <f>D9/J9</f>
        <v>#DIV/0!</v>
      </c>
    </row>
    <row r="10" spans="1:29" s="1217" customFormat="1" ht="15.75" thickBot="1">
      <c r="A10" s="2909"/>
      <c r="B10" s="2916"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1"/>
      <c r="M10" s="2132"/>
      <c r="N10" s="2132"/>
      <c r="O10" s="2132"/>
      <c r="P10" s="3671" t="s">
        <v>533</v>
      </c>
      <c r="Q10" s="3672"/>
      <c r="R10" s="1563" t="s">
        <v>8</v>
      </c>
      <c r="S10" s="1564">
        <f t="shared" si="0"/>
        <v>0</v>
      </c>
      <c r="T10" s="1563" t="s">
        <v>8</v>
      </c>
      <c r="U10" s="1564">
        <f t="shared" si="1"/>
        <v>0</v>
      </c>
      <c r="V10" s="1563" t="s">
        <v>8</v>
      </c>
      <c r="W10" s="1564">
        <f t="shared" si="2"/>
        <v>0</v>
      </c>
      <c r="X10" s="1565"/>
      <c r="Y10" s="3671" t="s">
        <v>533</v>
      </c>
      <c r="Z10" s="3672"/>
      <c r="AA10" s="1566" t="e">
        <f t="shared" ref="AA10:AA42" si="3">D10/F10</f>
        <v>#DIV/0!</v>
      </c>
      <c r="AB10" s="1566" t="e">
        <f t="shared" ref="AB10:AB42" si="4">D10/H10</f>
        <v>#DIV/0!</v>
      </c>
      <c r="AC10" s="1566" t="e">
        <f t="shared" ref="AC10:AC42" si="5">D10/J10</f>
        <v>#DIV/0!</v>
      </c>
    </row>
    <row r="11" spans="1:29" s="1217" customFormat="1" ht="15">
      <c r="A11" s="2910"/>
      <c r="B11" s="2917" t="s">
        <v>2755</v>
      </c>
      <c r="C11" s="524"/>
      <c r="D11" s="252">
        <v>100</v>
      </c>
      <c r="E11" s="524"/>
      <c r="F11" s="252">
        <f>SUMIF(72:72,E11,73:73)-SUMIF(72:72,C11,73:73)+100</f>
        <v>100</v>
      </c>
      <c r="G11" s="524"/>
      <c r="H11" s="252">
        <f>SUMIF(72:72,G11,73:73)-SUMIF(72:72,C11,73:73)+100</f>
        <v>100</v>
      </c>
      <c r="I11" s="524"/>
      <c r="J11" s="252">
        <f>SUMIF(72:72,I11,73:73)-SUMIF(72:72,C11,73:73)+100</f>
        <v>100</v>
      </c>
      <c r="K11" s="522"/>
      <c r="L11" s="2131"/>
      <c r="M11" s="2132"/>
      <c r="N11" s="2132"/>
      <c r="O11" s="2133"/>
      <c r="P11" s="3679" t="s">
        <v>535</v>
      </c>
      <c r="Q11" s="1148" t="str">
        <f t="shared" ref="Q11:Q17" si="6">B11</f>
        <v>用途</v>
      </c>
      <c r="R11" s="1563" t="s">
        <v>8</v>
      </c>
      <c r="S11" s="1564">
        <f t="shared" si="0"/>
        <v>100</v>
      </c>
      <c r="T11" s="1563" t="s">
        <v>8</v>
      </c>
      <c r="U11" s="1564">
        <f t="shared" si="1"/>
        <v>100</v>
      </c>
      <c r="V11" s="1563" t="s">
        <v>8</v>
      </c>
      <c r="W11" s="1564">
        <f t="shared" si="2"/>
        <v>100</v>
      </c>
      <c r="X11" s="1565"/>
      <c r="Y11" s="3636" t="s">
        <v>536</v>
      </c>
      <c r="Z11" s="1147" t="str">
        <f t="shared" ref="Z11:Z17" si="7">Q11</f>
        <v>用途</v>
      </c>
      <c r="AA11" s="1566">
        <f t="shared" si="3"/>
        <v>1</v>
      </c>
      <c r="AB11" s="1566">
        <f t="shared" si="4"/>
        <v>1</v>
      </c>
      <c r="AC11" s="1566">
        <f t="shared" si="5"/>
        <v>1</v>
      </c>
    </row>
    <row r="12" spans="1:29" s="1335" customFormat="1" ht="27">
      <c r="A12" s="2911"/>
      <c r="B12" s="2916" t="s">
        <v>2756</v>
      </c>
      <c r="C12" s="526"/>
      <c r="D12" s="253">
        <v>100</v>
      </c>
      <c r="E12" s="526"/>
      <c r="F12" s="253">
        <f>ROUND(100/'数据-取费表'!G16,0)</f>
        <v>100</v>
      </c>
      <c r="G12" s="526"/>
      <c r="H12" s="253">
        <f>ROUND(100/'数据-取费表'!G16,0)</f>
        <v>100</v>
      </c>
      <c r="I12" s="526"/>
      <c r="J12" s="253">
        <f>ROUND(100/'数据-取费表'!G16,0)</f>
        <v>100</v>
      </c>
      <c r="K12" s="529"/>
      <c r="L12" s="2134"/>
      <c r="M12" s="2174"/>
      <c r="N12" s="2174"/>
      <c r="O12" s="2135"/>
      <c r="P12" s="3679"/>
      <c r="Q12" s="1148" t="str">
        <f t="shared" si="6"/>
        <v>土地使用年限（年）</v>
      </c>
      <c r="R12" s="1563" t="s">
        <v>8</v>
      </c>
      <c r="S12" s="1564">
        <f t="shared" si="0"/>
        <v>100</v>
      </c>
      <c r="T12" s="1563" t="s">
        <v>8</v>
      </c>
      <c r="U12" s="1564">
        <f t="shared" si="1"/>
        <v>100</v>
      </c>
      <c r="V12" s="1563" t="s">
        <v>8</v>
      </c>
      <c r="W12" s="1564">
        <f t="shared" si="2"/>
        <v>100</v>
      </c>
      <c r="X12" s="1565"/>
      <c r="Y12" s="3636"/>
      <c r="Z12" s="1147" t="str">
        <f t="shared" si="7"/>
        <v>土地使用年限（年）</v>
      </c>
      <c r="AA12" s="1566">
        <f t="shared" si="3"/>
        <v>1</v>
      </c>
      <c r="AB12" s="1566">
        <f t="shared" si="4"/>
        <v>1</v>
      </c>
      <c r="AC12" s="1566">
        <f t="shared" si="5"/>
        <v>1</v>
      </c>
    </row>
    <row r="13" spans="1:29" ht="15">
      <c r="A13" s="2912"/>
      <c r="B13" s="2916" t="s">
        <v>2757</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6"/>
      <c r="M13" s="2130"/>
      <c r="N13" s="2130"/>
      <c r="O13" s="2137"/>
      <c r="P13" s="3679"/>
      <c r="Q13" s="1148" t="str">
        <f t="shared" si="6"/>
        <v>容积率</v>
      </c>
      <c r="R13" s="1563" t="s">
        <v>8</v>
      </c>
      <c r="S13" s="1564" t="e">
        <f t="shared" si="0"/>
        <v>#N/A</v>
      </c>
      <c r="T13" s="1563" t="s">
        <v>8</v>
      </c>
      <c r="U13" s="1564" t="e">
        <f t="shared" si="1"/>
        <v>#N/A</v>
      </c>
      <c r="V13" s="1563" t="s">
        <v>8</v>
      </c>
      <c r="W13" s="1564" t="e">
        <f t="shared" si="2"/>
        <v>#N/A</v>
      </c>
      <c r="X13" s="1565"/>
      <c r="Y13" s="3636"/>
      <c r="Z13" s="1147" t="str">
        <f t="shared" si="7"/>
        <v>容积率</v>
      </c>
      <c r="AA13" s="1566" t="e">
        <f t="shared" si="3"/>
        <v>#N/A</v>
      </c>
      <c r="AB13" s="1566" t="e">
        <f t="shared" si="4"/>
        <v>#N/A</v>
      </c>
      <c r="AC13" s="1566" t="e">
        <f t="shared" si="5"/>
        <v>#N/A</v>
      </c>
    </row>
    <row r="14" spans="1:29" s="1217" customFormat="1" ht="15">
      <c r="A14" s="2913"/>
      <c r="B14" s="2919">
        <v>111</v>
      </c>
      <c r="C14" s="526"/>
      <c r="D14" s="536">
        <v>100</v>
      </c>
      <c r="E14" s="539"/>
      <c r="F14" s="253">
        <f>SUMIF(79:79,E14,80:80)-SUMIF(79:79,C14,80:80)+100</f>
        <v>100</v>
      </c>
      <c r="G14" s="540"/>
      <c r="H14" s="253">
        <f>SUMIF(79:79,G14,80:80)-SUMIF(79:79,C14,80:80)+100</f>
        <v>100</v>
      </c>
      <c r="I14" s="539"/>
      <c r="J14" s="253">
        <f>SUMIF(79:79,I14,80:80)-SUMIF(79:79,C14,80:80)+100</f>
        <v>100</v>
      </c>
      <c r="K14" s="529"/>
      <c r="L14" s="2131"/>
      <c r="M14" s="2132"/>
      <c r="N14" s="2132"/>
      <c r="O14" s="2133"/>
      <c r="P14" s="3679"/>
      <c r="Q14" s="1148">
        <f t="shared" si="6"/>
        <v>111</v>
      </c>
      <c r="R14" s="1563" t="s">
        <v>8</v>
      </c>
      <c r="S14" s="1564">
        <f t="shared" si="0"/>
        <v>100</v>
      </c>
      <c r="T14" s="1563" t="s">
        <v>8</v>
      </c>
      <c r="U14" s="1564">
        <f t="shared" si="1"/>
        <v>100</v>
      </c>
      <c r="V14" s="1563" t="s">
        <v>8</v>
      </c>
      <c r="W14" s="1564">
        <f t="shared" si="2"/>
        <v>100</v>
      </c>
      <c r="X14" s="1565"/>
      <c r="Y14" s="3636"/>
      <c r="Z14" s="1147">
        <f t="shared" si="7"/>
        <v>111</v>
      </c>
      <c r="AA14" s="1566">
        <f>D14/F14</f>
        <v>1</v>
      </c>
      <c r="AB14" s="1566">
        <f>D14/H14</f>
        <v>1</v>
      </c>
      <c r="AC14" s="1566">
        <f>D14/J14</f>
        <v>1</v>
      </c>
    </row>
    <row r="15" spans="1:29" ht="15">
      <c r="A15" s="2913"/>
      <c r="B15" s="2919">
        <v>111</v>
      </c>
      <c r="C15" s="537"/>
      <c r="D15" s="538">
        <v>100</v>
      </c>
      <c r="E15" s="539"/>
      <c r="F15" s="253">
        <f>SUMIF(81:81,E15,82:82)-SUMIF(81:81,C15,82:82)+100</f>
        <v>100</v>
      </c>
      <c r="G15" s="540"/>
      <c r="H15" s="538">
        <f>SUMIF(81:81,G15,82:82)-SUMIF(81:81,C15,82:82)+100</f>
        <v>100</v>
      </c>
      <c r="I15" s="539"/>
      <c r="J15" s="538">
        <f>SUMIF(81:81,I15,82:82)-SUMIF(81:81,C15,82:82)+100</f>
        <v>100</v>
      </c>
      <c r="K15" s="529"/>
      <c r="L15" s="2138"/>
      <c r="M15" s="2130"/>
      <c r="N15" s="2130"/>
      <c r="O15" s="2137"/>
      <c r="P15" s="3679"/>
      <c r="Q15" s="1148">
        <f t="shared" si="6"/>
        <v>111</v>
      </c>
      <c r="R15" s="1563" t="s">
        <v>8</v>
      </c>
      <c r="S15" s="1564">
        <f t="shared" si="0"/>
        <v>100</v>
      </c>
      <c r="T15" s="1563" t="s">
        <v>8</v>
      </c>
      <c r="U15" s="1564">
        <f t="shared" si="1"/>
        <v>100</v>
      </c>
      <c r="V15" s="1563" t="s">
        <v>8</v>
      </c>
      <c r="W15" s="1564">
        <f t="shared" si="2"/>
        <v>100</v>
      </c>
      <c r="X15" s="1565"/>
      <c r="Y15" s="3636"/>
      <c r="Z15" s="1147">
        <f t="shared" si="7"/>
        <v>111</v>
      </c>
      <c r="AA15" s="1566">
        <f t="shared" si="3"/>
        <v>1</v>
      </c>
      <c r="AB15" s="1566">
        <f t="shared" si="4"/>
        <v>1</v>
      </c>
      <c r="AC15" s="1566">
        <f t="shared" si="5"/>
        <v>1</v>
      </c>
    </row>
    <row r="16" spans="1:29" ht="15.75" thickBot="1">
      <c r="A16" s="2914"/>
      <c r="B16" s="2920">
        <v>111</v>
      </c>
      <c r="C16" s="543"/>
      <c r="D16" s="544">
        <v>100</v>
      </c>
      <c r="E16" s="539"/>
      <c r="F16" s="544">
        <f>SUMIF(83:83,E16,84:84)-SUMIF(83:83,C16,84:84)+100</f>
        <v>100</v>
      </c>
      <c r="G16" s="540"/>
      <c r="H16" s="544">
        <f>SUMIF(83:83,G16,84:84)-SUMIF(83:83,C16,84:84)+100</f>
        <v>100</v>
      </c>
      <c r="I16" s="539"/>
      <c r="J16" s="544">
        <f>SUMIF(83:83,I16,84:84)-SUMIF(83:83,C16,84:84)+100</f>
        <v>100</v>
      </c>
      <c r="K16" s="529"/>
      <c r="L16" s="2138"/>
      <c r="M16" s="2130"/>
      <c r="N16" s="2130"/>
      <c r="O16" s="2137"/>
      <c r="P16" s="3679"/>
      <c r="Q16" s="1148">
        <f t="shared" si="6"/>
        <v>111</v>
      </c>
      <c r="R16" s="1563" t="s">
        <v>8</v>
      </c>
      <c r="S16" s="1564">
        <f t="shared" si="0"/>
        <v>100</v>
      </c>
      <c r="T16" s="1563" t="s">
        <v>8</v>
      </c>
      <c r="U16" s="1564">
        <f t="shared" si="1"/>
        <v>100</v>
      </c>
      <c r="V16" s="1563" t="s">
        <v>8</v>
      </c>
      <c r="W16" s="1564">
        <f t="shared" si="2"/>
        <v>100</v>
      </c>
      <c r="X16" s="1565"/>
      <c r="Y16" s="3636"/>
      <c r="Z16" s="1147">
        <f t="shared" si="7"/>
        <v>111</v>
      </c>
      <c r="AA16" s="1566">
        <f t="shared" si="3"/>
        <v>1</v>
      </c>
      <c r="AB16" s="1566">
        <f t="shared" si="4"/>
        <v>1</v>
      </c>
      <c r="AC16" s="1566">
        <f t="shared" si="5"/>
        <v>1</v>
      </c>
    </row>
    <row r="17" spans="1:29" ht="57">
      <c r="A17" s="2906" t="s">
        <v>2753</v>
      </c>
      <c r="B17" s="166" t="s">
        <v>598</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38"/>
      <c r="M17" s="2130"/>
      <c r="N17" s="2130"/>
      <c r="O17" s="2137"/>
      <c r="P17" s="3681" t="s">
        <v>540</v>
      </c>
      <c r="Q17" s="1567" t="str">
        <f t="shared" si="6"/>
        <v>产业集聚程度</v>
      </c>
      <c r="R17" s="1568" t="s">
        <v>8</v>
      </c>
      <c r="S17" s="1569">
        <f t="shared" si="0"/>
        <v>100</v>
      </c>
      <c r="T17" s="1568" t="s">
        <v>8</v>
      </c>
      <c r="U17" s="1569">
        <f t="shared" si="1"/>
        <v>100</v>
      </c>
      <c r="V17" s="1568" t="s">
        <v>8</v>
      </c>
      <c r="W17" s="1569">
        <f t="shared" si="2"/>
        <v>100</v>
      </c>
      <c r="X17" s="1562"/>
      <c r="Y17" s="3681" t="s">
        <v>540</v>
      </c>
      <c r="Z17" s="1570" t="str">
        <f t="shared" si="7"/>
        <v>产业集聚程度</v>
      </c>
      <c r="AA17" s="1571">
        <f t="shared" si="3"/>
        <v>1</v>
      </c>
      <c r="AB17" s="1571">
        <f t="shared" si="4"/>
        <v>1</v>
      </c>
      <c r="AC17" s="1571">
        <f t="shared" si="5"/>
        <v>1</v>
      </c>
    </row>
    <row r="18" spans="1:29" ht="15">
      <c r="A18" s="530"/>
      <c r="B18" s="867"/>
      <c r="C18" s="574"/>
      <c r="D18" s="553"/>
      <c r="E18" s="552"/>
      <c r="F18" s="553"/>
      <c r="G18" s="552"/>
      <c r="H18" s="557"/>
      <c r="I18" s="552"/>
      <c r="J18" s="553"/>
      <c r="K18" s="529"/>
      <c r="L18" s="2138"/>
      <c r="M18" s="2130"/>
      <c r="N18" s="2130"/>
      <c r="O18" s="2137"/>
      <c r="P18" s="3682"/>
      <c r="Q18" s="1567"/>
      <c r="R18" s="1568"/>
      <c r="S18" s="1569"/>
      <c r="T18" s="1568"/>
      <c r="U18" s="1569"/>
      <c r="V18" s="1568"/>
      <c r="W18" s="1569"/>
      <c r="X18" s="1562"/>
      <c r="Y18" s="3682"/>
      <c r="Z18" s="1570"/>
      <c r="AA18" s="1571">
        <v>1</v>
      </c>
      <c r="AB18" s="1571">
        <v>1</v>
      </c>
      <c r="AC18" s="1571">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38"/>
      <c r="M19" s="2130"/>
      <c r="N19" s="2130"/>
      <c r="O19" s="2137"/>
      <c r="P19" s="3682"/>
      <c r="Q19" s="1567" t="str">
        <f>B19</f>
        <v>交通便捷度</v>
      </c>
      <c r="R19" s="1568" t="s">
        <v>8</v>
      </c>
      <c r="S19" s="1569">
        <f>F19</f>
        <v>100</v>
      </c>
      <c r="T19" s="1568" t="s">
        <v>8</v>
      </c>
      <c r="U19" s="1569">
        <f>H19</f>
        <v>100</v>
      </c>
      <c r="V19" s="1568" t="s">
        <v>8</v>
      </c>
      <c r="W19" s="1569">
        <f>J19</f>
        <v>100</v>
      </c>
      <c r="X19" s="1562"/>
      <c r="Y19" s="3682"/>
      <c r="Z19" s="1570" t="str">
        <f>Q19</f>
        <v>交通便捷度</v>
      </c>
      <c r="AA19" s="1571">
        <f t="shared" si="3"/>
        <v>1</v>
      </c>
      <c r="AB19" s="1571">
        <f t="shared" si="4"/>
        <v>1</v>
      </c>
      <c r="AC19" s="1571">
        <f t="shared" si="5"/>
        <v>1</v>
      </c>
    </row>
    <row r="20" spans="1:29" ht="15">
      <c r="A20" s="530"/>
      <c r="B20" s="919"/>
      <c r="C20" s="574"/>
      <c r="D20" s="553"/>
      <c r="E20" s="554"/>
      <c r="F20" s="553"/>
      <c r="G20" s="554"/>
      <c r="H20" s="553"/>
      <c r="I20" s="556"/>
      <c r="J20" s="553"/>
      <c r="K20" s="529"/>
      <c r="L20" s="2138"/>
      <c r="M20" s="2130"/>
      <c r="N20" s="2130"/>
      <c r="O20" s="2137"/>
      <c r="P20" s="3682"/>
      <c r="Q20" s="1567"/>
      <c r="R20" s="1568"/>
      <c r="S20" s="1569"/>
      <c r="T20" s="1568"/>
      <c r="U20" s="1569"/>
      <c r="V20" s="1568"/>
      <c r="W20" s="1569"/>
      <c r="X20" s="1562"/>
      <c r="Y20" s="3682"/>
      <c r="Z20" s="1570"/>
      <c r="AA20" s="1571">
        <v>1</v>
      </c>
      <c r="AB20" s="1571">
        <v>1</v>
      </c>
      <c r="AC20" s="1571">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5"/>
      <c r="L21" s="2138"/>
      <c r="M21" s="2130"/>
      <c r="N21" s="2130"/>
      <c r="O21" s="2137"/>
      <c r="P21" s="3682"/>
      <c r="Q21" s="1567" t="str">
        <f t="shared" ref="Q21:Q35" si="8">B21</f>
        <v>区域土地利用方向</v>
      </c>
      <c r="R21" s="1568" t="s">
        <v>8</v>
      </c>
      <c r="S21" s="1569">
        <f>F21</f>
        <v>100</v>
      </c>
      <c r="T21" s="1568" t="s">
        <v>8</v>
      </c>
      <c r="U21" s="1569">
        <f>H21</f>
        <v>100</v>
      </c>
      <c r="V21" s="1568" t="s">
        <v>8</v>
      </c>
      <c r="W21" s="1569">
        <f>J21</f>
        <v>100</v>
      </c>
      <c r="X21" s="1562"/>
      <c r="Y21" s="3682"/>
      <c r="Z21" s="1570" t="str">
        <f>Q21</f>
        <v>区域土地利用方向</v>
      </c>
      <c r="AA21" s="1571">
        <f t="shared" si="3"/>
        <v>1</v>
      </c>
      <c r="AB21" s="1571">
        <f t="shared" si="4"/>
        <v>1</v>
      </c>
      <c r="AC21" s="1571">
        <f t="shared" si="5"/>
        <v>1</v>
      </c>
    </row>
    <row r="22" spans="1:29" ht="15">
      <c r="A22" s="513"/>
      <c r="B22" s="593"/>
      <c r="C22" s="574"/>
      <c r="D22" s="553"/>
      <c r="E22" s="554"/>
      <c r="F22" s="555"/>
      <c r="G22" s="556"/>
      <c r="H22" s="555"/>
      <c r="I22" s="556"/>
      <c r="J22" s="555"/>
      <c r="K22" s="1345"/>
      <c r="L22" s="2138"/>
      <c r="M22" s="2130"/>
      <c r="N22" s="2130"/>
      <c r="O22" s="2137"/>
      <c r="P22" s="3682"/>
      <c r="Q22" s="1567"/>
      <c r="R22" s="1568"/>
      <c r="S22" s="1569"/>
      <c r="T22" s="1568"/>
      <c r="U22" s="1569"/>
      <c r="V22" s="1568"/>
      <c r="W22" s="1569"/>
      <c r="X22" s="1562"/>
      <c r="Y22" s="3682"/>
      <c r="Z22" s="1570"/>
      <c r="AA22" s="1571"/>
      <c r="AB22" s="1571"/>
      <c r="AC22" s="1571"/>
    </row>
    <row r="23" spans="1:29" ht="71.25">
      <c r="A23" s="513"/>
      <c r="B23" s="919"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38"/>
      <c r="M23" s="2130"/>
      <c r="N23" s="2130"/>
      <c r="O23" s="2137"/>
      <c r="P23" s="3682"/>
      <c r="Q23" s="1567" t="str">
        <f t="shared" si="8"/>
        <v>环境状况</v>
      </c>
      <c r="R23" s="1568" t="s">
        <v>8</v>
      </c>
      <c r="S23" s="1569">
        <f>F23</f>
        <v>100</v>
      </c>
      <c r="T23" s="1568" t="s">
        <v>8</v>
      </c>
      <c r="U23" s="1569">
        <f>H23</f>
        <v>100</v>
      </c>
      <c r="V23" s="1568" t="s">
        <v>8</v>
      </c>
      <c r="W23" s="1569">
        <f>J23</f>
        <v>100</v>
      </c>
      <c r="X23" s="1562"/>
      <c r="Y23" s="3682"/>
      <c r="Z23" s="1570" t="str">
        <f>Q23</f>
        <v>环境状况</v>
      </c>
      <c r="AA23" s="1571">
        <f t="shared" si="3"/>
        <v>1</v>
      </c>
      <c r="AB23" s="1571">
        <f t="shared" si="4"/>
        <v>1</v>
      </c>
      <c r="AC23" s="1571">
        <f t="shared" si="5"/>
        <v>1</v>
      </c>
    </row>
    <row r="24" spans="1:29" ht="15">
      <c r="A24" s="513"/>
      <c r="B24" s="593"/>
      <c r="C24" s="574"/>
      <c r="D24" s="553"/>
      <c r="E24" s="552"/>
      <c r="F24" s="553"/>
      <c r="G24" s="552"/>
      <c r="H24" s="553"/>
      <c r="I24" s="574"/>
      <c r="J24" s="553"/>
      <c r="K24" s="529"/>
      <c r="L24" s="2138"/>
      <c r="M24" s="2130"/>
      <c r="N24" s="2130"/>
      <c r="O24" s="2137"/>
      <c r="P24" s="3682"/>
      <c r="Q24" s="1567"/>
      <c r="R24" s="1568"/>
      <c r="S24" s="1569"/>
      <c r="T24" s="1568"/>
      <c r="U24" s="1569"/>
      <c r="V24" s="1568"/>
      <c r="W24" s="1569"/>
      <c r="X24" s="1562"/>
      <c r="Y24" s="3682"/>
      <c r="Z24" s="1570"/>
      <c r="AA24" s="1571">
        <v>1</v>
      </c>
      <c r="AB24" s="1571">
        <v>1</v>
      </c>
      <c r="AC24" s="1571">
        <v>1</v>
      </c>
    </row>
    <row r="25" spans="1:29" s="1217" customFormat="1" ht="42.75">
      <c r="A25" s="575"/>
      <c r="B25" s="2589" t="s">
        <v>2548</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1"/>
      <c r="M25" s="2132"/>
      <c r="N25" s="2132"/>
      <c r="O25" s="2133"/>
      <c r="P25" s="3682"/>
      <c r="Q25" s="1148" t="str">
        <f t="shared" si="8"/>
        <v>公共配套设施</v>
      </c>
      <c r="R25" s="1563" t="s">
        <v>8</v>
      </c>
      <c r="S25" s="1564">
        <f>F25</f>
        <v>100</v>
      </c>
      <c r="T25" s="1563" t="s">
        <v>8</v>
      </c>
      <c r="U25" s="1564">
        <f>H25</f>
        <v>100</v>
      </c>
      <c r="V25" s="1563" t="s">
        <v>8</v>
      </c>
      <c r="W25" s="1564">
        <f>J25</f>
        <v>100</v>
      </c>
      <c r="X25" s="1565"/>
      <c r="Y25" s="3682"/>
      <c r="Z25" s="1147" t="str">
        <f>Q25</f>
        <v>公共配套设施</v>
      </c>
      <c r="AA25" s="1571">
        <f>D25/F25</f>
        <v>1</v>
      </c>
      <c r="AB25" s="1571">
        <f>D25/H25</f>
        <v>1</v>
      </c>
      <c r="AC25" s="1571">
        <f>D25/J25</f>
        <v>1</v>
      </c>
    </row>
    <row r="26" spans="1:29" s="1217" customFormat="1" ht="15">
      <c r="A26" s="575"/>
      <c r="B26" s="593"/>
      <c r="C26" s="2588"/>
      <c r="D26" s="553"/>
      <c r="E26" s="552"/>
      <c r="F26" s="553"/>
      <c r="G26" s="552"/>
      <c r="H26" s="553"/>
      <c r="I26" s="574"/>
      <c r="J26" s="553"/>
      <c r="K26" s="529"/>
      <c r="L26" s="2131"/>
      <c r="M26" s="2132"/>
      <c r="N26" s="2132"/>
      <c r="O26" s="2133"/>
      <c r="P26" s="3682"/>
      <c r="Q26" s="1148"/>
      <c r="R26" s="1563"/>
      <c r="S26" s="1564"/>
      <c r="T26" s="1563"/>
      <c r="U26" s="1564"/>
      <c r="V26" s="1563"/>
      <c r="W26" s="1564"/>
      <c r="X26" s="1565"/>
      <c r="Y26" s="3682"/>
      <c r="Z26" s="1147"/>
      <c r="AA26" s="1566">
        <v>1</v>
      </c>
      <c r="AB26" s="1566">
        <v>1</v>
      </c>
      <c r="AC26" s="1566">
        <v>1</v>
      </c>
    </row>
    <row r="27" spans="1:29" s="1217" customFormat="1" ht="28.5">
      <c r="A27" s="575"/>
      <c r="B27" s="2589" t="s">
        <v>2549</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1"/>
      <c r="M27" s="2132"/>
      <c r="N27" s="2132"/>
      <c r="O27" s="2133"/>
      <c r="P27" s="3682"/>
      <c r="Q27" s="2574" t="str">
        <f t="shared" ref="Q27" si="9">B27</f>
        <v>基础设施水平</v>
      </c>
      <c r="R27" s="1563" t="s">
        <v>8</v>
      </c>
      <c r="S27" s="1564">
        <f>F27</f>
        <v>100</v>
      </c>
      <c r="T27" s="1563" t="s">
        <v>8</v>
      </c>
      <c r="U27" s="1564">
        <f>H27</f>
        <v>100</v>
      </c>
      <c r="V27" s="1563" t="s">
        <v>8</v>
      </c>
      <c r="W27" s="1564">
        <f>J27</f>
        <v>100</v>
      </c>
      <c r="X27" s="1565"/>
      <c r="Y27" s="3682"/>
      <c r="Z27" s="2571" t="str">
        <f>Q27</f>
        <v>基础设施水平</v>
      </c>
      <c r="AA27" s="1571">
        <f>D27/F27</f>
        <v>1</v>
      </c>
      <c r="AB27" s="1571">
        <f>D27/H27</f>
        <v>1</v>
      </c>
      <c r="AC27" s="1571">
        <f>D27/J27</f>
        <v>1</v>
      </c>
    </row>
    <row r="28" spans="1:29" s="1217" customFormat="1" ht="15">
      <c r="A28" s="575"/>
      <c r="B28" s="593"/>
      <c r="C28" s="2588"/>
      <c r="D28" s="553"/>
      <c r="E28" s="577"/>
      <c r="F28" s="553"/>
      <c r="G28" s="577"/>
      <c r="H28" s="553"/>
      <c r="I28" s="577"/>
      <c r="J28" s="553"/>
      <c r="K28" s="529"/>
      <c r="L28" s="2131"/>
      <c r="M28" s="2132"/>
      <c r="N28" s="2132"/>
      <c r="O28" s="2133"/>
      <c r="P28" s="3682"/>
      <c r="Q28" s="2574"/>
      <c r="R28" s="1563"/>
      <c r="S28" s="1564"/>
      <c r="T28" s="1563"/>
      <c r="U28" s="1564"/>
      <c r="V28" s="1563"/>
      <c r="W28" s="1564"/>
      <c r="X28" s="1565"/>
      <c r="Y28" s="3682"/>
      <c r="Z28" s="2571"/>
      <c r="AA28" s="1566">
        <v>1</v>
      </c>
      <c r="AB28" s="1566">
        <v>1</v>
      </c>
      <c r="AC28" s="1566">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38"/>
      <c r="M29" s="2130"/>
      <c r="N29" s="2130"/>
      <c r="O29" s="2137"/>
      <c r="P29" s="3682"/>
      <c r="Q29" s="1567" t="str">
        <f t="shared" si="8"/>
        <v>临街状况</v>
      </c>
      <c r="R29" s="1568" t="s">
        <v>8</v>
      </c>
      <c r="S29" s="1569">
        <f t="shared" ref="S29:S42" si="10">F29</f>
        <v>100</v>
      </c>
      <c r="T29" s="1568" t="s">
        <v>8</v>
      </c>
      <c r="U29" s="1569">
        <f t="shared" ref="U29:U42" si="11">H29</f>
        <v>100</v>
      </c>
      <c r="V29" s="1568" t="s">
        <v>8</v>
      </c>
      <c r="W29" s="1569">
        <f t="shared" ref="W29:W42" si="12">J29</f>
        <v>100</v>
      </c>
      <c r="X29" s="1562"/>
      <c r="Y29" s="3682"/>
      <c r="Z29" s="1570" t="str">
        <f t="shared" ref="Z29:Z42" si="13">Q29</f>
        <v>临街状况</v>
      </c>
      <c r="AA29" s="1571">
        <f t="shared" si="3"/>
        <v>1</v>
      </c>
      <c r="AB29" s="1571">
        <f t="shared" si="4"/>
        <v>1</v>
      </c>
      <c r="AC29" s="1571">
        <f t="shared" si="5"/>
        <v>1</v>
      </c>
    </row>
    <row r="30" spans="1:29" ht="27">
      <c r="A30" s="530"/>
      <c r="B30" s="919" t="s">
        <v>548</v>
      </c>
      <c r="C30" s="2591">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8"/>
      <c r="M30" s="2130"/>
      <c r="N30" s="2130"/>
      <c r="O30" s="2137"/>
      <c r="P30" s="3682"/>
      <c r="Q30" s="1567" t="str">
        <f t="shared" si="8"/>
        <v>毗邻道路的类型与等级</v>
      </c>
      <c r="R30" s="1568" t="s">
        <v>8</v>
      </c>
      <c r="S30" s="1569">
        <f t="shared" si="10"/>
        <v>100</v>
      </c>
      <c r="T30" s="1568" t="s">
        <v>8</v>
      </c>
      <c r="U30" s="1569">
        <f t="shared" si="11"/>
        <v>100</v>
      </c>
      <c r="V30" s="1568" t="s">
        <v>8</v>
      </c>
      <c r="W30" s="1569">
        <f t="shared" si="12"/>
        <v>100</v>
      </c>
      <c r="X30" s="1562"/>
      <c r="Y30" s="3682"/>
      <c r="Z30" s="1570" t="str">
        <f t="shared" si="13"/>
        <v>毗邻道路的类型与等级</v>
      </c>
      <c r="AA30" s="1571">
        <f t="shared" si="3"/>
        <v>1</v>
      </c>
      <c r="AB30" s="1571">
        <f t="shared" si="4"/>
        <v>1</v>
      </c>
      <c r="AC30" s="1571">
        <f t="shared" si="5"/>
        <v>1</v>
      </c>
    </row>
    <row r="31" spans="1:29" ht="15">
      <c r="A31" s="530"/>
      <c r="B31" s="593"/>
      <c r="C31" s="574"/>
      <c r="D31" s="553"/>
      <c r="E31" s="574"/>
      <c r="F31" s="553"/>
      <c r="G31" s="574"/>
      <c r="H31" s="553"/>
      <c r="I31" s="574"/>
      <c r="J31" s="553"/>
      <c r="K31" s="579"/>
      <c r="L31" s="2138"/>
      <c r="M31" s="2130"/>
      <c r="N31" s="2130"/>
      <c r="O31" s="2137"/>
      <c r="P31" s="3682"/>
      <c r="Q31" s="1567"/>
      <c r="R31" s="1568"/>
      <c r="S31" s="1569"/>
      <c r="T31" s="1568"/>
      <c r="U31" s="1569"/>
      <c r="V31" s="1568"/>
      <c r="W31" s="1569"/>
      <c r="X31" s="1562"/>
      <c r="Y31" s="3682"/>
      <c r="Z31" s="1570"/>
      <c r="AA31" s="1571">
        <v>1</v>
      </c>
      <c r="AB31" s="1571">
        <v>1</v>
      </c>
      <c r="AC31" s="1571">
        <v>1</v>
      </c>
    </row>
    <row r="32" spans="1:29" ht="15">
      <c r="A32" s="530"/>
      <c r="B32" s="525" t="s">
        <v>549</v>
      </c>
      <c r="C32" s="2592">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38"/>
      <c r="M32" s="2130"/>
      <c r="N32" s="2130"/>
      <c r="O32" s="2137"/>
      <c r="P32" s="3682"/>
      <c r="Q32" s="1567" t="str">
        <f t="shared" si="8"/>
        <v>土地级别</v>
      </c>
      <c r="R32" s="1568" t="s">
        <v>8</v>
      </c>
      <c r="S32" s="1569">
        <f t="shared" si="10"/>
        <v>100</v>
      </c>
      <c r="T32" s="1568" t="s">
        <v>8</v>
      </c>
      <c r="U32" s="1569">
        <f t="shared" si="11"/>
        <v>100</v>
      </c>
      <c r="V32" s="1568" t="s">
        <v>8</v>
      </c>
      <c r="W32" s="1569">
        <f t="shared" si="12"/>
        <v>100</v>
      </c>
      <c r="X32" s="1562"/>
      <c r="Y32" s="3682"/>
      <c r="Z32" s="1570" t="str">
        <f t="shared" si="13"/>
        <v>土地级别</v>
      </c>
      <c r="AA32" s="1571">
        <f t="shared" si="3"/>
        <v>1</v>
      </c>
      <c r="AB32" s="1571">
        <f t="shared" si="4"/>
        <v>1</v>
      </c>
      <c r="AC32" s="1571">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38"/>
      <c r="M33" s="2130"/>
      <c r="N33" s="2130"/>
      <c r="O33" s="2137"/>
      <c r="P33" s="3682"/>
      <c r="Q33" s="1567">
        <f t="shared" si="8"/>
        <v>111</v>
      </c>
      <c r="R33" s="1568" t="s">
        <v>8</v>
      </c>
      <c r="S33" s="1569">
        <f t="shared" si="10"/>
        <v>100</v>
      </c>
      <c r="T33" s="1568" t="s">
        <v>8</v>
      </c>
      <c r="U33" s="1569">
        <f t="shared" si="11"/>
        <v>100</v>
      </c>
      <c r="V33" s="1568" t="s">
        <v>8</v>
      </c>
      <c r="W33" s="1569">
        <f t="shared" si="12"/>
        <v>100</v>
      </c>
      <c r="X33" s="1562"/>
      <c r="Y33" s="3682"/>
      <c r="Z33" s="1570">
        <f t="shared" si="13"/>
        <v>111</v>
      </c>
      <c r="AA33" s="1571">
        <f t="shared" si="3"/>
        <v>1</v>
      </c>
      <c r="AB33" s="1571">
        <f t="shared" si="4"/>
        <v>1</v>
      </c>
      <c r="AC33" s="1571">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38"/>
      <c r="M34" s="2130"/>
      <c r="N34" s="2130"/>
      <c r="O34" s="2137"/>
      <c r="P34" s="3683" t="s">
        <v>550</v>
      </c>
      <c r="Q34" s="1567">
        <f t="shared" si="8"/>
        <v>111</v>
      </c>
      <c r="R34" s="1568" t="s">
        <v>8</v>
      </c>
      <c r="S34" s="1569">
        <f t="shared" si="10"/>
        <v>100</v>
      </c>
      <c r="T34" s="1568" t="s">
        <v>8</v>
      </c>
      <c r="U34" s="1569">
        <f t="shared" si="11"/>
        <v>100</v>
      </c>
      <c r="V34" s="1568" t="s">
        <v>8</v>
      </c>
      <c r="W34" s="1569">
        <f t="shared" si="12"/>
        <v>100</v>
      </c>
      <c r="X34" s="1562"/>
      <c r="Y34" s="3684" t="s">
        <v>550</v>
      </c>
      <c r="Z34" s="1570">
        <f t="shared" si="13"/>
        <v>111</v>
      </c>
      <c r="AA34" s="1571">
        <f t="shared" si="3"/>
        <v>1</v>
      </c>
      <c r="AB34" s="1571">
        <f t="shared" si="4"/>
        <v>1</v>
      </c>
      <c r="AC34" s="1571">
        <f t="shared" si="5"/>
        <v>1</v>
      </c>
    </row>
    <row r="35" spans="1:29" s="1336" customFormat="1" ht="15.75" thickBot="1">
      <c r="A35" s="587"/>
      <c r="B35" s="2590">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6"/>
      <c r="M35" s="2167"/>
      <c r="N35" s="2167"/>
      <c r="O35" s="2139"/>
      <c r="P35" s="3684"/>
      <c r="Q35" s="1567">
        <f t="shared" si="8"/>
        <v>111</v>
      </c>
      <c r="R35" s="1572" t="s">
        <v>8</v>
      </c>
      <c r="S35" s="1573">
        <f t="shared" si="10"/>
        <v>100</v>
      </c>
      <c r="T35" s="1572" t="s">
        <v>8</v>
      </c>
      <c r="U35" s="1573">
        <f t="shared" si="11"/>
        <v>100</v>
      </c>
      <c r="V35" s="1572" t="s">
        <v>8</v>
      </c>
      <c r="W35" s="1573">
        <f t="shared" si="12"/>
        <v>100</v>
      </c>
      <c r="X35" s="1574"/>
      <c r="Y35" s="3684"/>
      <c r="Z35" s="1575">
        <f t="shared" si="13"/>
        <v>111</v>
      </c>
      <c r="AA35" s="1571">
        <f t="shared" si="3"/>
        <v>1</v>
      </c>
      <c r="AB35" s="1571">
        <f t="shared" si="4"/>
        <v>1</v>
      </c>
      <c r="AC35" s="1571">
        <f t="shared" si="5"/>
        <v>1</v>
      </c>
    </row>
    <row r="36" spans="1:29" ht="15">
      <c r="A36" s="2903" t="s">
        <v>2754</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38"/>
      <c r="M36" s="2130"/>
      <c r="N36" s="2130"/>
      <c r="O36" s="2137"/>
      <c r="P36" s="3684"/>
      <c r="Q36" s="1567" t="str">
        <f>B36</f>
        <v>宗地面积</v>
      </c>
      <c r="R36" s="1568" t="s">
        <v>8</v>
      </c>
      <c r="S36" s="1569" t="e">
        <f t="shared" si="10"/>
        <v>#N/A</v>
      </c>
      <c r="T36" s="1568" t="s">
        <v>8</v>
      </c>
      <c r="U36" s="1569" t="e">
        <f t="shared" si="11"/>
        <v>#N/A</v>
      </c>
      <c r="V36" s="1568" t="s">
        <v>8</v>
      </c>
      <c r="W36" s="1569" t="e">
        <f t="shared" si="12"/>
        <v>#N/A</v>
      </c>
      <c r="X36" s="1562"/>
      <c r="Y36" s="3684"/>
      <c r="Z36" s="1570" t="str">
        <f t="shared" si="13"/>
        <v>宗地面积</v>
      </c>
      <c r="AA36" s="1571" t="e">
        <f t="shared" si="3"/>
        <v>#N/A</v>
      </c>
      <c r="AB36" s="1571" t="e">
        <f t="shared" si="4"/>
        <v>#N/A</v>
      </c>
      <c r="AC36" s="1571"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38"/>
      <c r="M37" s="2130"/>
      <c r="N37" s="2130"/>
      <c r="O37" s="2137"/>
      <c r="P37" s="3684"/>
      <c r="Q37" s="1567" t="str">
        <f t="shared" ref="Q37:Q42" si="14">B37</f>
        <v>宗地形状</v>
      </c>
      <c r="R37" s="1568" t="s">
        <v>8</v>
      </c>
      <c r="S37" s="1569">
        <f t="shared" si="10"/>
        <v>100</v>
      </c>
      <c r="T37" s="1568" t="s">
        <v>8</v>
      </c>
      <c r="U37" s="1569">
        <f t="shared" si="11"/>
        <v>100</v>
      </c>
      <c r="V37" s="1568" t="s">
        <v>8</v>
      </c>
      <c r="W37" s="1569">
        <f t="shared" si="12"/>
        <v>100</v>
      </c>
      <c r="X37" s="1562"/>
      <c r="Y37" s="3684"/>
      <c r="Z37" s="1570" t="str">
        <f t="shared" si="13"/>
        <v>宗地形状</v>
      </c>
      <c r="AA37" s="1571">
        <f t="shared" si="3"/>
        <v>1</v>
      </c>
      <c r="AB37" s="1571">
        <f t="shared" si="4"/>
        <v>1</v>
      </c>
      <c r="AC37" s="1571">
        <f t="shared" si="5"/>
        <v>1</v>
      </c>
    </row>
    <row r="38" spans="1:29" s="1217" customFormat="1" ht="15">
      <c r="A38" s="598"/>
      <c r="B38" s="1891" t="s">
        <v>2424</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1"/>
      <c r="M38" s="2132"/>
      <c r="N38" s="2132"/>
      <c r="O38" s="2133"/>
      <c r="P38" s="3684"/>
      <c r="Q38" s="1567" t="str">
        <f t="shared" si="14"/>
        <v>宗地开发程度</v>
      </c>
      <c r="R38" s="1563" t="s">
        <v>8</v>
      </c>
      <c r="S38" s="1564">
        <f t="shared" si="10"/>
        <v>100</v>
      </c>
      <c r="T38" s="1563" t="s">
        <v>8</v>
      </c>
      <c r="U38" s="1564">
        <f t="shared" si="11"/>
        <v>100</v>
      </c>
      <c r="V38" s="1563" t="s">
        <v>8</v>
      </c>
      <c r="W38" s="1564">
        <f t="shared" si="12"/>
        <v>100</v>
      </c>
      <c r="X38" s="1565"/>
      <c r="Y38" s="3684"/>
      <c r="Z38" s="1147" t="str">
        <f t="shared" si="13"/>
        <v>宗地开发程度</v>
      </c>
      <c r="AA38" s="1566">
        <f t="shared" si="3"/>
        <v>1</v>
      </c>
      <c r="AB38" s="1566">
        <f t="shared" si="4"/>
        <v>1</v>
      </c>
      <c r="AC38" s="1566">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38"/>
      <c r="M39" s="2130"/>
      <c r="N39" s="2130"/>
      <c r="O39" s="2137"/>
      <c r="P39" s="3684" t="s">
        <v>601</v>
      </c>
      <c r="Q39" s="1567" t="str">
        <f t="shared" si="14"/>
        <v>工程地质条件</v>
      </c>
      <c r="R39" s="1568" t="s">
        <v>8</v>
      </c>
      <c r="S39" s="1569">
        <f t="shared" si="10"/>
        <v>100</v>
      </c>
      <c r="T39" s="1568" t="s">
        <v>8</v>
      </c>
      <c r="U39" s="1569">
        <f t="shared" si="11"/>
        <v>100</v>
      </c>
      <c r="V39" s="1568" t="s">
        <v>8</v>
      </c>
      <c r="W39" s="1569">
        <f t="shared" si="12"/>
        <v>100</v>
      </c>
      <c r="X39" s="1562"/>
      <c r="Y39" s="3684" t="s">
        <v>601</v>
      </c>
      <c r="Z39" s="1570" t="str">
        <f t="shared" si="13"/>
        <v>工程地质条件</v>
      </c>
      <c r="AA39" s="1571">
        <f t="shared" si="3"/>
        <v>1</v>
      </c>
      <c r="AB39" s="1571">
        <f t="shared" si="4"/>
        <v>1</v>
      </c>
      <c r="AC39" s="1571">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38"/>
      <c r="M40" s="2130"/>
      <c r="N40" s="2130"/>
      <c r="O40" s="2137"/>
      <c r="P40" s="3684"/>
      <c r="Q40" s="1567">
        <f t="shared" si="14"/>
        <v>111</v>
      </c>
      <c r="R40" s="1568" t="s">
        <v>8</v>
      </c>
      <c r="S40" s="1569">
        <f t="shared" si="10"/>
        <v>100</v>
      </c>
      <c r="T40" s="1568" t="s">
        <v>8</v>
      </c>
      <c r="U40" s="1569">
        <f t="shared" si="11"/>
        <v>100</v>
      </c>
      <c r="V40" s="1568" t="s">
        <v>8</v>
      </c>
      <c r="W40" s="1569">
        <f t="shared" si="12"/>
        <v>100</v>
      </c>
      <c r="X40" s="1562"/>
      <c r="Y40" s="3684"/>
      <c r="Z40" s="1570">
        <f t="shared" si="13"/>
        <v>111</v>
      </c>
      <c r="AA40" s="1571">
        <f t="shared" si="3"/>
        <v>1</v>
      </c>
      <c r="AB40" s="1571">
        <f t="shared" si="4"/>
        <v>1</v>
      </c>
      <c r="AC40" s="1571">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38"/>
      <c r="M41" s="2130"/>
      <c r="N41" s="2130"/>
      <c r="O41" s="2137"/>
      <c r="P41" s="3684"/>
      <c r="Q41" s="1567">
        <f t="shared" si="14"/>
        <v>111</v>
      </c>
      <c r="R41" s="1568" t="s">
        <v>8</v>
      </c>
      <c r="S41" s="1569">
        <f t="shared" si="10"/>
        <v>100</v>
      </c>
      <c r="T41" s="1568" t="s">
        <v>8</v>
      </c>
      <c r="U41" s="1569">
        <f t="shared" si="11"/>
        <v>100</v>
      </c>
      <c r="V41" s="1568" t="s">
        <v>8</v>
      </c>
      <c r="W41" s="1569">
        <f t="shared" si="12"/>
        <v>100</v>
      </c>
      <c r="X41" s="1562"/>
      <c r="Y41" s="3684"/>
      <c r="Z41" s="1570">
        <f t="shared" si="13"/>
        <v>111</v>
      </c>
      <c r="AA41" s="1571">
        <f t="shared" si="3"/>
        <v>1</v>
      </c>
      <c r="AB41" s="1571">
        <f t="shared" si="4"/>
        <v>1</v>
      </c>
      <c r="AC41" s="1571">
        <f t="shared" si="5"/>
        <v>1</v>
      </c>
    </row>
    <row r="42" spans="1:29" s="1336"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6"/>
      <c r="M42" s="2167"/>
      <c r="N42" s="2167"/>
      <c r="O42" s="2139"/>
      <c r="P42" s="3684"/>
      <c r="Q42" s="1567">
        <f t="shared" si="14"/>
        <v>111</v>
      </c>
      <c r="R42" s="1572" t="s">
        <v>8</v>
      </c>
      <c r="S42" s="1573">
        <f t="shared" si="10"/>
        <v>100</v>
      </c>
      <c r="T42" s="1572" t="s">
        <v>8</v>
      </c>
      <c r="U42" s="1573">
        <f t="shared" si="11"/>
        <v>100</v>
      </c>
      <c r="V42" s="1572" t="s">
        <v>8</v>
      </c>
      <c r="W42" s="1573">
        <f t="shared" si="12"/>
        <v>100</v>
      </c>
      <c r="X42" s="1574"/>
      <c r="Y42" s="3684"/>
      <c r="Z42" s="1575">
        <f t="shared" si="13"/>
        <v>111</v>
      </c>
      <c r="AA42" s="1571">
        <f t="shared" si="3"/>
        <v>1</v>
      </c>
      <c r="AB42" s="1571">
        <f t="shared" si="4"/>
        <v>1</v>
      </c>
      <c r="AC42" s="1571">
        <f t="shared" si="5"/>
        <v>1</v>
      </c>
    </row>
    <row r="43" spans="1:29" ht="15">
      <c r="A43" s="605" t="s">
        <v>556</v>
      </c>
      <c r="B43" s="606" t="s">
        <v>2933</v>
      </c>
      <c r="C43" s="607" t="s">
        <v>1</v>
      </c>
      <c r="D43" s="608"/>
      <c r="E43" s="609"/>
      <c r="F43" s="610"/>
      <c r="G43" s="611"/>
      <c r="H43" s="612"/>
      <c r="I43" s="609"/>
      <c r="J43" s="612"/>
      <c r="K43" s="1337"/>
      <c r="L43" s="2140"/>
      <c r="M43" s="2130"/>
      <c r="N43" s="2130"/>
      <c r="O43" s="2141"/>
      <c r="P43" s="3679" t="str">
        <f>A43</f>
        <v>成交单价</v>
      </c>
      <c r="Q43" s="3679"/>
      <c r="R43" s="3693">
        <f>E43</f>
        <v>0</v>
      </c>
      <c r="S43" s="3693"/>
      <c r="T43" s="3693">
        <f>G43</f>
        <v>0</v>
      </c>
      <c r="U43" s="3693"/>
      <c r="V43" s="3693">
        <f>I43</f>
        <v>0</v>
      </c>
      <c r="W43" s="3693"/>
      <c r="X43" s="1554"/>
      <c r="Y43" s="1576"/>
      <c r="Z43" s="1554"/>
      <c r="AA43" s="1554"/>
      <c r="AB43" s="1554"/>
      <c r="AC43" s="1554"/>
    </row>
    <row r="44" spans="1:29" ht="15.75" thickBot="1">
      <c r="A44" s="613" t="s">
        <v>2692</v>
      </c>
      <c r="B44" s="614"/>
      <c r="C44" s="615" t="e">
        <f>R45</f>
        <v>#DIV/0!</v>
      </c>
      <c r="D44" s="616"/>
      <c r="E44" s="615" t="e">
        <f>R44</f>
        <v>#DIV/0!</v>
      </c>
      <c r="F44" s="617"/>
      <c r="G44" s="618" t="e">
        <f>T44</f>
        <v>#DIV/0!</v>
      </c>
      <c r="H44" s="616"/>
      <c r="I44" s="615" t="e">
        <f>V44</f>
        <v>#DIV/0!</v>
      </c>
      <c r="J44" s="616"/>
      <c r="K44" s="1338"/>
      <c r="L44" s="2140"/>
      <c r="M44" s="2130"/>
      <c r="N44" s="2130"/>
      <c r="O44" s="2141"/>
      <c r="P44" s="3679" t="str">
        <f>A44</f>
        <v>比较价格（元/平方米）</v>
      </c>
      <c r="Q44" s="3679"/>
      <c r="R44" s="3703" t="e">
        <f>ROUND(PRODUCT(R43,AA9:AA42),0)</f>
        <v>#DIV/0!</v>
      </c>
      <c r="S44" s="3703"/>
      <c r="T44" s="3703" t="e">
        <f>ROUND(PRODUCT(T43,AB9:AB42),0)</f>
        <v>#DIV/0!</v>
      </c>
      <c r="U44" s="3703"/>
      <c r="V44" s="3703" t="e">
        <f>ROUND(PRODUCT(V43,AC9:AC42),0)</f>
        <v>#DIV/0!</v>
      </c>
      <c r="W44" s="3703"/>
      <c r="X44" s="1554"/>
      <c r="Y44" s="1554"/>
      <c r="Z44" s="1554"/>
      <c r="AA44" s="1554"/>
      <c r="AB44" s="1554"/>
      <c r="AC44" s="1554"/>
    </row>
    <row r="45" spans="1:29" ht="15.75" thickBot="1">
      <c r="A45" s="619" t="s">
        <v>2934</v>
      </c>
      <c r="B45" s="620"/>
      <c r="C45" s="621" t="e">
        <f>R45</f>
        <v>#DIV/0!</v>
      </c>
      <c r="D45" s="621"/>
      <c r="E45" s="621"/>
      <c r="F45" s="621"/>
      <c r="G45" s="621"/>
      <c r="H45" s="621"/>
      <c r="I45" s="621"/>
      <c r="J45" s="621"/>
      <c r="K45" s="1339"/>
      <c r="L45" s="2140"/>
      <c r="M45" s="2130"/>
      <c r="N45" s="2130"/>
      <c r="O45" s="2141"/>
      <c r="P45" s="3700" t="str">
        <f>A45</f>
        <v>估价对象XX用房的比较价格（楼面单价，元/平方米）</v>
      </c>
      <c r="Q45" s="3701"/>
      <c r="R45" s="3702" t="e">
        <f>ROUND(AVERAGE(R44:V44),0)</f>
        <v>#DIV/0!</v>
      </c>
      <c r="S45" s="3702"/>
      <c r="T45" s="3702"/>
      <c r="U45" s="3702"/>
      <c r="V45" s="3702"/>
      <c r="W45" s="3702"/>
      <c r="X45" s="1554"/>
      <c r="Y45" s="1554"/>
      <c r="Z45" s="1554"/>
      <c r="AA45" s="1554"/>
      <c r="AB45" s="1554"/>
      <c r="AC45" s="1554"/>
    </row>
    <row r="46" spans="1:29">
      <c r="A46" s="2141"/>
      <c r="B46" s="2141"/>
      <c r="C46" s="2141"/>
      <c r="D46" s="2141"/>
      <c r="E46" s="2141"/>
      <c r="F46" s="2141"/>
      <c r="G46" s="2144"/>
      <c r="H46" s="2141"/>
      <c r="I46" s="2141"/>
      <c r="J46" s="2141"/>
      <c r="K46" s="2145"/>
      <c r="L46" s="2146"/>
      <c r="M46" s="2130"/>
      <c r="N46" s="2130"/>
      <c r="O46" s="2141"/>
      <c r="P46" s="1554"/>
      <c r="Q46" s="1554"/>
      <c r="R46" s="1554"/>
      <c r="S46" s="1554"/>
      <c r="T46" s="1554"/>
      <c r="U46" s="1554"/>
      <c r="V46" s="1554"/>
      <c r="W46" s="1554"/>
      <c r="X46" s="1554"/>
      <c r="Y46" s="1554"/>
      <c r="Z46" s="1554"/>
      <c r="AA46" s="1554"/>
      <c r="AB46" s="1554"/>
      <c r="AC46" s="1554"/>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2" customFormat="1" ht="13.5" customHeight="1">
      <c r="A50" s="2142"/>
      <c r="B50" s="2142"/>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2"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7" t="s">
        <v>560</v>
      </c>
      <c r="B52" s="628" t="s">
        <v>561</v>
      </c>
      <c r="C52" s="1555" t="s">
        <v>1725</v>
      </c>
      <c r="D52" s="2223" t="s">
        <v>2293</v>
      </c>
      <c r="E52" s="629" t="s">
        <v>562</v>
      </c>
      <c r="F52" s="1947" t="s">
        <v>563</v>
      </c>
      <c r="G52" s="3705" t="s">
        <v>2284</v>
      </c>
      <c r="H52" s="3706"/>
      <c r="I52" s="1948" t="s">
        <v>1948</v>
      </c>
      <c r="J52" s="1550" t="str">
        <f>项目基本情况!F41</f>
        <v>山东省青岛市</v>
      </c>
      <c r="K52" s="2150" t="s">
        <v>1724</v>
      </c>
      <c r="L52" s="2146"/>
      <c r="M52" s="2141"/>
      <c r="N52" s="2141"/>
      <c r="O52" s="2141"/>
      <c r="P52" s="2141"/>
      <c r="Q52" s="2141"/>
      <c r="R52" s="2141"/>
      <c r="S52" s="2141"/>
      <c r="T52" s="2141"/>
      <c r="U52" s="2141"/>
      <c r="V52" s="2141"/>
      <c r="W52" s="2141"/>
      <c r="X52" s="2141"/>
      <c r="Y52" s="2141"/>
      <c r="Z52" s="2141"/>
      <c r="AA52" s="2141"/>
      <c r="AB52" s="2141"/>
      <c r="AC52" s="2141"/>
    </row>
    <row r="53" spans="1:29" s="1343" customFormat="1" ht="12.75">
      <c r="A53" s="631" t="s">
        <v>564</v>
      </c>
      <c r="B53" s="632" t="e">
        <f>C45</f>
        <v>#DIV/0!</v>
      </c>
      <c r="C53" s="633">
        <v>1</v>
      </c>
      <c r="D53" s="2224">
        <v>1</v>
      </c>
      <c r="E53" s="633">
        <f>'数据-汇总表'!E8+'数据-汇总表'!E9</f>
        <v>129061</v>
      </c>
      <c r="F53" s="1946" t="e">
        <f t="shared" ref="F53:F62" si="15">ROUND(B53*E53/10000,0)</f>
        <v>#DIV/0!</v>
      </c>
      <c r="G53" s="3707"/>
      <c r="H53" s="3708"/>
      <c r="I53" s="1949">
        <v>1</v>
      </c>
      <c r="J53" s="1551">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3" customFormat="1" ht="12.75">
      <c r="A54" s="635" t="s">
        <v>565</v>
      </c>
      <c r="B54" s="636" t="e">
        <f>ROUND($C$45*C54*D54,0)</f>
        <v>#DIV/0!</v>
      </c>
      <c r="C54" s="376">
        <f t="shared" ref="C54:C62" si="16">IF($C$52="北京市系数",I54,J54)</f>
        <v>0</v>
      </c>
      <c r="D54" s="2225">
        <v>0.25</v>
      </c>
      <c r="E54" s="637"/>
      <c r="F54" s="1946" t="e">
        <f t="shared" si="15"/>
        <v>#DIV/0!</v>
      </c>
      <c r="G54" s="3709" t="s">
        <v>2285</v>
      </c>
      <c r="H54" s="1950">
        <f>项目基本情况!B43</f>
        <v>0</v>
      </c>
      <c r="I54" s="1949">
        <f>SUMIF(修正!$A$45:$A$56,H54,修正!B45:B56)</f>
        <v>0</v>
      </c>
      <c r="J54" s="1553"/>
      <c r="K54" s="2151"/>
      <c r="L54" s="2151"/>
      <c r="M54" s="2151"/>
      <c r="N54" s="2151"/>
      <c r="O54" s="2151"/>
      <c r="P54" s="2151"/>
      <c r="Q54" s="2151"/>
      <c r="R54" s="2151"/>
      <c r="S54" s="2151"/>
      <c r="T54" s="2151"/>
      <c r="U54" s="2151"/>
      <c r="V54" s="2151"/>
      <c r="W54" s="2151"/>
      <c r="X54" s="2151"/>
      <c r="Y54" s="2151"/>
      <c r="Z54" s="2151"/>
      <c r="AA54" s="2151"/>
      <c r="AB54" s="2151"/>
      <c r="AC54" s="2151"/>
    </row>
    <row r="55" spans="1:29" s="1343" customFormat="1" ht="12.75">
      <c r="A55" s="635" t="s">
        <v>566</v>
      </c>
      <c r="B55" s="636" t="e">
        <f t="shared" ref="B55:B62" si="17">ROUND($C$45*C55*D55,0)</f>
        <v>#DIV/0!</v>
      </c>
      <c r="C55" s="376">
        <f t="shared" si="16"/>
        <v>0</v>
      </c>
      <c r="D55" s="2225">
        <v>0.25</v>
      </c>
      <c r="E55" s="637"/>
      <c r="F55" s="1946" t="e">
        <f t="shared" si="15"/>
        <v>#DIV/0!</v>
      </c>
      <c r="G55" s="3709"/>
      <c r="H55" s="1951">
        <f>项目基本情况!B43</f>
        <v>0</v>
      </c>
      <c r="I55" s="1949">
        <f>SUMIF(修正!$A$45:$A$56,H55,修正!C45:C56)</f>
        <v>0</v>
      </c>
      <c r="J55" s="1553"/>
      <c r="K55" s="2151"/>
      <c r="L55" s="2151"/>
      <c r="M55" s="2151"/>
      <c r="N55" s="2151"/>
      <c r="O55" s="2151"/>
      <c r="P55" s="2151"/>
      <c r="Q55" s="2151"/>
      <c r="R55" s="2151"/>
      <c r="S55" s="2151"/>
      <c r="T55" s="2151"/>
      <c r="U55" s="2151"/>
      <c r="V55" s="2151"/>
      <c r="W55" s="2151"/>
      <c r="X55" s="2151"/>
      <c r="Y55" s="2151"/>
      <c r="Z55" s="2151"/>
      <c r="AA55" s="2151"/>
      <c r="AB55" s="2151"/>
      <c r="AC55" s="2151"/>
    </row>
    <row r="56" spans="1:29" s="1343" customFormat="1" ht="12.75">
      <c r="A56" s="635" t="s">
        <v>567</v>
      </c>
      <c r="B56" s="636" t="e">
        <f t="shared" si="17"/>
        <v>#DIV/0!</v>
      </c>
      <c r="C56" s="376">
        <f t="shared" si="16"/>
        <v>0</v>
      </c>
      <c r="D56" s="2225">
        <v>0.25</v>
      </c>
      <c r="E56" s="637"/>
      <c r="F56" s="1946" t="e">
        <f t="shared" si="15"/>
        <v>#DIV/0!</v>
      </c>
      <c r="G56" s="3709"/>
      <c r="H56" s="1951">
        <f>项目基本情况!B43</f>
        <v>0</v>
      </c>
      <c r="I56" s="1949">
        <f>SUMIF(修正!$A$45:$A$56,H56,修正!D45:D56)</f>
        <v>0</v>
      </c>
      <c r="J56" s="1553"/>
      <c r="K56" s="2151"/>
      <c r="L56" s="2151"/>
      <c r="M56" s="2151"/>
      <c r="N56" s="2151"/>
      <c r="O56" s="2151"/>
      <c r="P56" s="2151"/>
      <c r="Q56" s="2151"/>
      <c r="R56" s="2151"/>
      <c r="S56" s="2151"/>
      <c r="T56" s="2151"/>
      <c r="U56" s="2151"/>
      <c r="V56" s="2151"/>
      <c r="W56" s="2151"/>
      <c r="X56" s="2151"/>
      <c r="Y56" s="2151"/>
      <c r="Z56" s="2151"/>
      <c r="AA56" s="2151"/>
      <c r="AB56" s="2151"/>
      <c r="AC56" s="2151"/>
    </row>
    <row r="57" spans="1:29" s="1343" customFormat="1" ht="12.75">
      <c r="A57" s="635" t="s">
        <v>568</v>
      </c>
      <c r="B57" s="636" t="e">
        <f t="shared" si="17"/>
        <v>#DIV/0!</v>
      </c>
      <c r="C57" s="376">
        <f t="shared" si="16"/>
        <v>0</v>
      </c>
      <c r="D57" s="2225">
        <v>0.25</v>
      </c>
      <c r="E57" s="637"/>
      <c r="F57" s="1946" t="e">
        <f t="shared" si="15"/>
        <v>#DIV/0!</v>
      </c>
      <c r="G57" s="3709"/>
      <c r="H57" s="1951">
        <f>项目基本情况!B43</f>
        <v>0</v>
      </c>
      <c r="I57" s="1949">
        <f>SUMIF(修正!$A$45:$A$56,H57,修正!E45:E56)</f>
        <v>0</v>
      </c>
      <c r="J57" s="1553"/>
      <c r="K57" s="2151"/>
      <c r="L57" s="2151"/>
      <c r="M57" s="2151"/>
      <c r="N57" s="2151"/>
      <c r="O57" s="2151"/>
      <c r="P57" s="2151"/>
      <c r="Q57" s="2151"/>
      <c r="R57" s="2151"/>
      <c r="S57" s="2151"/>
      <c r="T57" s="2151"/>
      <c r="U57" s="2151"/>
      <c r="V57" s="2151"/>
      <c r="W57" s="2151"/>
      <c r="X57" s="2151"/>
      <c r="Y57" s="2151"/>
      <c r="Z57" s="2151"/>
      <c r="AA57" s="2151"/>
      <c r="AB57" s="2151"/>
      <c r="AC57" s="2151"/>
    </row>
    <row r="58" spans="1:29" s="1343" customFormat="1" ht="12.75">
      <c r="A58" s="2327" t="s">
        <v>2328</v>
      </c>
      <c r="B58" s="636" t="e">
        <f t="shared" si="17"/>
        <v>#DIV/0!</v>
      </c>
      <c r="C58" s="376">
        <f t="shared" si="16"/>
        <v>0</v>
      </c>
      <c r="D58" s="2225">
        <v>0.25</v>
      </c>
      <c r="E58" s="639">
        <f>'数据-汇总表'!E11</f>
        <v>0</v>
      </c>
      <c r="F58" s="1946" t="e">
        <f t="shared" si="15"/>
        <v>#DIV/0!</v>
      </c>
      <c r="G58" s="1952" t="s">
        <v>2286</v>
      </c>
      <c r="H58" s="1951">
        <f>项目基本情况!C43</f>
        <v>0</v>
      </c>
      <c r="I58" s="1949">
        <f>SUMIF(修正!$A$45:$A$56,H58,修正!F45:F56)</f>
        <v>0</v>
      </c>
      <c r="J58" s="1553"/>
      <c r="K58" s="2151"/>
      <c r="L58" s="2151"/>
      <c r="M58" s="2151"/>
      <c r="N58" s="2151"/>
      <c r="O58" s="2151"/>
      <c r="P58" s="2151"/>
      <c r="Q58" s="2151"/>
      <c r="R58" s="2151"/>
      <c r="S58" s="2151"/>
      <c r="T58" s="2151"/>
      <c r="U58" s="2151"/>
      <c r="V58" s="2151"/>
      <c r="W58" s="2151"/>
      <c r="X58" s="2151"/>
      <c r="Y58" s="2151"/>
      <c r="Z58" s="2151"/>
      <c r="AA58" s="2151"/>
      <c r="AB58" s="2151"/>
      <c r="AC58" s="2151"/>
    </row>
    <row r="59" spans="1:29" s="1343" customFormat="1" ht="12.75">
      <c r="A59" s="635" t="s">
        <v>569</v>
      </c>
      <c r="B59" s="636" t="e">
        <f t="shared" si="17"/>
        <v>#DIV/0!</v>
      </c>
      <c r="C59" s="376">
        <f t="shared" si="16"/>
        <v>0</v>
      </c>
      <c r="D59" s="2225">
        <v>0.25</v>
      </c>
      <c r="E59" s="639">
        <f>'数据-汇总表'!E12</f>
        <v>0</v>
      </c>
      <c r="F59" s="1946" t="e">
        <f t="shared" si="15"/>
        <v>#DIV/0!</v>
      </c>
      <c r="G59" s="1942" t="s">
        <v>1678</v>
      </c>
      <c r="H59" s="1950">
        <f>IF(G59="商业",项目基本情况!B43,IF(G59="办公",项目基本情况!C43,IF(G59="住宅",项目基本情况!D43,项目基本情况!E43)))</f>
        <v>0</v>
      </c>
      <c r="I59" s="1949">
        <f>SUMIF(修正!$A$45:$A$56,H59,修正!G45:G56)</f>
        <v>0</v>
      </c>
      <c r="J59" s="1553"/>
      <c r="K59" s="2151"/>
      <c r="L59" s="2151"/>
      <c r="M59" s="2151"/>
      <c r="N59" s="2151"/>
      <c r="O59" s="2151"/>
      <c r="P59" s="2151"/>
      <c r="Q59" s="2151"/>
      <c r="R59" s="2151"/>
      <c r="S59" s="2151"/>
      <c r="T59" s="2151"/>
      <c r="U59" s="2151"/>
      <c r="V59" s="2151"/>
      <c r="W59" s="2151"/>
      <c r="X59" s="2151"/>
      <c r="Y59" s="2151"/>
      <c r="Z59" s="2151"/>
      <c r="AA59" s="2151"/>
      <c r="AB59" s="2151"/>
      <c r="AC59" s="2151"/>
    </row>
    <row r="60" spans="1:29" s="1343" customFormat="1" ht="12.75">
      <c r="A60" s="635" t="s">
        <v>570</v>
      </c>
      <c r="B60" s="636" t="e">
        <f t="shared" si="17"/>
        <v>#DIV/0!</v>
      </c>
      <c r="C60" s="376">
        <f t="shared" si="16"/>
        <v>0</v>
      </c>
      <c r="D60" s="2225">
        <v>0.25</v>
      </c>
      <c r="E60" s="639">
        <f>'数据-汇总表'!E13</f>
        <v>28104</v>
      </c>
      <c r="F60" s="1946" t="e">
        <f t="shared" si="15"/>
        <v>#DIV/0!</v>
      </c>
      <c r="G60" s="1942" t="s">
        <v>923</v>
      </c>
      <c r="H60" s="1950">
        <f>IF(G60="商业",项目基本情况!B43,IF(G60="办公",项目基本情况!C43,IF(G60="住宅",项目基本情况!D43,项目基本情况!E43)))</f>
        <v>0</v>
      </c>
      <c r="I60" s="1949">
        <f>SUMIF(修正!$A$45:$A$56,H60,修正!H45:H56)</f>
        <v>0</v>
      </c>
      <c r="J60" s="1553"/>
      <c r="K60" s="2151"/>
      <c r="L60" s="2151"/>
      <c r="M60" s="2151"/>
      <c r="N60" s="2151"/>
      <c r="O60" s="2151"/>
      <c r="P60" s="2151"/>
      <c r="Q60" s="2151"/>
      <c r="R60" s="2151"/>
      <c r="S60" s="2151"/>
      <c r="T60" s="2151"/>
      <c r="U60" s="2151"/>
      <c r="V60" s="2151"/>
      <c r="W60" s="2151"/>
      <c r="X60" s="2151"/>
      <c r="Y60" s="2151"/>
      <c r="Z60" s="2151"/>
      <c r="AA60" s="2151"/>
      <c r="AB60" s="2151"/>
      <c r="AC60" s="2151"/>
    </row>
    <row r="61" spans="1:29" s="1343" customFormat="1" ht="12.75">
      <c r="A61" s="635" t="s">
        <v>571</v>
      </c>
      <c r="B61" s="636" t="e">
        <f t="shared" si="17"/>
        <v>#DIV/0!</v>
      </c>
      <c r="C61" s="376">
        <f t="shared" si="16"/>
        <v>0</v>
      </c>
      <c r="D61" s="2225">
        <v>0.25</v>
      </c>
      <c r="E61" s="639">
        <f>'数据-汇总表'!E14</f>
        <v>0</v>
      </c>
      <c r="F61" s="1946" t="e">
        <f t="shared" si="15"/>
        <v>#DIV/0!</v>
      </c>
      <c r="G61" s="1952" t="s">
        <v>2285</v>
      </c>
      <c r="H61" s="1951">
        <f>项目基本情况!B43</f>
        <v>0</v>
      </c>
      <c r="I61" s="1949">
        <f>SUMIF(修正!$A$45:$A$56,H61,修正!H45:H56)</f>
        <v>0</v>
      </c>
      <c r="J61" s="1553"/>
      <c r="K61" s="2151"/>
      <c r="L61" s="2151"/>
      <c r="M61" s="2151"/>
      <c r="N61" s="2151"/>
      <c r="O61" s="2151"/>
      <c r="P61" s="2151"/>
      <c r="Q61" s="2151"/>
      <c r="R61" s="2151"/>
      <c r="S61" s="2151"/>
      <c r="T61" s="2151"/>
      <c r="U61" s="2151"/>
      <c r="V61" s="2151"/>
      <c r="W61" s="2151"/>
      <c r="X61" s="2151"/>
      <c r="Y61" s="2151"/>
      <c r="Z61" s="2151"/>
      <c r="AA61" s="2151"/>
      <c r="AB61" s="2151"/>
      <c r="AC61" s="2151"/>
    </row>
    <row r="62" spans="1:29" s="1343" customFormat="1" ht="13.5" thickBot="1">
      <c r="A62" s="635" t="s">
        <v>572</v>
      </c>
      <c r="B62" s="636" t="e">
        <f t="shared" si="17"/>
        <v>#DIV/0!</v>
      </c>
      <c r="C62" s="376">
        <f t="shared" si="16"/>
        <v>0</v>
      </c>
      <c r="D62" s="2225">
        <v>0.25</v>
      </c>
      <c r="E62" s="639">
        <f>'数据-汇总表'!E15</f>
        <v>0</v>
      </c>
      <c r="F62" s="1946" t="e">
        <f t="shared" si="15"/>
        <v>#DIV/0!</v>
      </c>
      <c r="G62" s="1953" t="s">
        <v>2286</v>
      </c>
      <c r="H62" s="1954">
        <f>项目基本情况!C43</f>
        <v>0</v>
      </c>
      <c r="I62" s="1949">
        <f>SUMIF(修正!$A$45:$A$56,H62,修正!H45:H56)</f>
        <v>0</v>
      </c>
      <c r="J62" s="1553"/>
      <c r="K62" s="2151"/>
      <c r="L62" s="2151"/>
      <c r="M62" s="2151"/>
      <c r="N62" s="2151"/>
      <c r="O62" s="2151"/>
      <c r="P62" s="2151"/>
      <c r="Q62" s="2151"/>
      <c r="R62" s="2151"/>
      <c r="S62" s="2151"/>
      <c r="T62" s="2151"/>
      <c r="U62" s="2151"/>
      <c r="V62" s="2151"/>
      <c r="W62" s="2151"/>
      <c r="X62" s="2151"/>
      <c r="Y62" s="2151"/>
      <c r="Z62" s="2151"/>
      <c r="AA62" s="2151"/>
      <c r="AB62" s="2151"/>
      <c r="AC62" s="2151"/>
    </row>
    <row r="63" spans="1:29" s="1343" customFormat="1" ht="13.5" thickBot="1">
      <c r="A63" s="640" t="s">
        <v>573</v>
      </c>
      <c r="B63" s="641" t="s">
        <v>17</v>
      </c>
      <c r="C63" s="641" t="s">
        <v>18</v>
      </c>
      <c r="D63" s="641" t="s">
        <v>2294</v>
      </c>
      <c r="E63" s="641">
        <f>IF(B43="楼面地价",SUM(E53:E62),'数据-汇总表'!D3)</f>
        <v>72846.2</v>
      </c>
      <c r="F63" s="642"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796" t="str">
        <f>YEAR(C9)&amp;"-"&amp;MONTH(C9)&amp;"-1"</f>
        <v>2018-9-1</v>
      </c>
      <c r="D65" s="2795">
        <f>EDATE(C65,-3)</f>
        <v>43252</v>
      </c>
      <c r="E65" s="2795">
        <f t="shared" ref="E65:N65" si="18">EDATE(D65,-3)</f>
        <v>43160</v>
      </c>
      <c r="F65" s="2795">
        <f t="shared" si="18"/>
        <v>43070</v>
      </c>
      <c r="G65" s="2795">
        <f t="shared" si="18"/>
        <v>42979</v>
      </c>
      <c r="H65" s="2795">
        <f t="shared" si="18"/>
        <v>42887</v>
      </c>
      <c r="I65" s="2795">
        <f t="shared" si="18"/>
        <v>42795</v>
      </c>
      <c r="J65" s="2795">
        <f t="shared" si="18"/>
        <v>42705</v>
      </c>
      <c r="K65" s="2795">
        <f t="shared" si="18"/>
        <v>42614</v>
      </c>
      <c r="L65" s="2795">
        <f t="shared" si="18"/>
        <v>42522</v>
      </c>
      <c r="M65" s="2795">
        <f t="shared" si="18"/>
        <v>42430</v>
      </c>
      <c r="N65" s="2795">
        <f t="shared" si="18"/>
        <v>42339</v>
      </c>
      <c r="O65" s="2141"/>
      <c r="P65" s="2141"/>
      <c r="Q65" s="2141"/>
      <c r="R65" s="2141"/>
      <c r="S65" s="2141"/>
      <c r="T65" s="2141"/>
      <c r="U65" s="2141"/>
      <c r="V65" s="2141"/>
      <c r="W65" s="2141"/>
      <c r="X65" s="2141"/>
      <c r="Y65" s="2141"/>
      <c r="Z65" s="2141"/>
      <c r="AA65" s="2141"/>
      <c r="AB65" s="2141"/>
      <c r="AC65" s="2141"/>
    </row>
    <row r="66" spans="1:29" ht="21.75" thickBot="1">
      <c r="A66" s="1579" t="s">
        <v>574</v>
      </c>
      <c r="B66" s="1554"/>
      <c r="C66" s="1578"/>
      <c r="D66" s="1578"/>
      <c r="E66" s="1578"/>
      <c r="F66" s="1580"/>
      <c r="G66" s="1580"/>
      <c r="H66" s="1578"/>
      <c r="I66" s="1578"/>
      <c r="J66" s="1578"/>
      <c r="K66" s="1581"/>
      <c r="L66" s="1577"/>
      <c r="M66" s="1578"/>
      <c r="N66" s="1578"/>
      <c r="O66" s="2153"/>
      <c r="P66" s="2153"/>
      <c r="Q66" s="2154"/>
      <c r="R66" s="2141"/>
      <c r="S66" s="2141"/>
      <c r="T66" s="2141"/>
      <c r="U66" s="2141"/>
      <c r="V66" s="2141"/>
      <c r="W66" s="2141"/>
      <c r="X66" s="2141"/>
      <c r="Y66" s="2141"/>
      <c r="Z66" s="2141"/>
      <c r="AA66" s="2141"/>
      <c r="AB66" s="2141"/>
      <c r="AC66" s="2141"/>
    </row>
    <row r="67" spans="1:29" s="1344" customFormat="1" ht="15">
      <c r="A67" s="2564" t="s">
        <v>2533</v>
      </c>
      <c r="B67" s="644"/>
      <c r="C67" s="2790" t="str">
        <f>YEAR(C65)&amp;"-"&amp;ROUNDUP(MONTH(C65)/3,0)</f>
        <v>2018-3</v>
      </c>
      <c r="D67" s="2797" t="str">
        <f t="shared" ref="D67:N67" si="19">YEAR(D65)&amp;"-"&amp;ROUNDUP(MONTH(D65)/3,0)</f>
        <v>2018-2</v>
      </c>
      <c r="E67" s="2797" t="str">
        <f t="shared" si="19"/>
        <v>2018-1</v>
      </c>
      <c r="F67" s="2797" t="str">
        <f t="shared" si="19"/>
        <v>2017-4</v>
      </c>
      <c r="G67" s="2797" t="str">
        <f t="shared" si="19"/>
        <v>2017-3</v>
      </c>
      <c r="H67" s="2797" t="str">
        <f t="shared" si="19"/>
        <v>2017-2</v>
      </c>
      <c r="I67" s="2797" t="str">
        <f t="shared" si="19"/>
        <v>2017-1</v>
      </c>
      <c r="J67" s="2797" t="str">
        <f t="shared" si="19"/>
        <v>2016-4</v>
      </c>
      <c r="K67" s="2797" t="str">
        <f t="shared" si="19"/>
        <v>2016-3</v>
      </c>
      <c r="L67" s="2797" t="str">
        <f t="shared" si="19"/>
        <v>2016-2</v>
      </c>
      <c r="M67" s="2797" t="str">
        <f t="shared" si="19"/>
        <v>2016-1</v>
      </c>
      <c r="N67" s="2797" t="str">
        <f t="shared" si="19"/>
        <v>2015-4</v>
      </c>
      <c r="O67" s="2155"/>
      <c r="P67" s="2156"/>
      <c r="Q67" s="2157"/>
      <c r="R67" s="2157"/>
      <c r="S67" s="2157"/>
      <c r="T67" s="2157"/>
      <c r="U67" s="2157"/>
      <c r="V67" s="2157"/>
      <c r="W67" s="2157"/>
      <c r="X67" s="2157"/>
      <c r="Y67" s="2157"/>
      <c r="Z67" s="2157"/>
      <c r="AA67" s="2157"/>
      <c r="AB67" s="2157"/>
      <c r="AC67" s="2157"/>
    </row>
    <row r="68" spans="1:29" s="1217" customFormat="1" ht="27.75" customHeight="1">
      <c r="A68" s="2794" t="s">
        <v>2648</v>
      </c>
      <c r="B68" s="477" t="str">
        <f>"北京市平均增长率"&amp;TEXT(基准地价!P24,"0.00%")</f>
        <v>北京市平均增长率1.41%</v>
      </c>
      <c r="C68" s="891">
        <v>100</v>
      </c>
      <c r="D68" s="728"/>
      <c r="E68" s="728"/>
      <c r="F68" s="728"/>
      <c r="G68" s="728"/>
      <c r="H68" s="728"/>
      <c r="I68" s="728"/>
      <c r="J68" s="728"/>
      <c r="K68" s="728"/>
      <c r="L68" s="728"/>
      <c r="M68" s="2788"/>
      <c r="N68" s="2789"/>
      <c r="O68" s="2158"/>
      <c r="P68" s="2154"/>
      <c r="Q68" s="1989"/>
      <c r="R68" s="1989"/>
      <c r="S68" s="1989"/>
      <c r="T68" s="1989"/>
      <c r="U68" s="1989"/>
      <c r="V68" s="1989"/>
      <c r="W68" s="1989"/>
      <c r="X68" s="1989"/>
      <c r="Y68" s="1989"/>
      <c r="Z68" s="1989"/>
      <c r="AA68" s="1989"/>
      <c r="AB68" s="1989"/>
      <c r="AC68" s="1989"/>
    </row>
    <row r="69" spans="1:29" s="1217" customFormat="1" ht="15.75" thickBot="1">
      <c r="A69" s="651" t="s">
        <v>575</v>
      </c>
      <c r="B69" s="652"/>
      <c r="C69" s="2786"/>
      <c r="D69" s="2787"/>
      <c r="E69" s="2787"/>
      <c r="F69" s="2787"/>
      <c r="G69" s="2787"/>
      <c r="H69" s="2787"/>
      <c r="I69" s="2787"/>
      <c r="J69" s="2787"/>
      <c r="K69" s="2787"/>
      <c r="L69" s="2787"/>
      <c r="M69" s="2787"/>
      <c r="N69" s="2787"/>
      <c r="O69" s="2158"/>
      <c r="P69" s="2154"/>
      <c r="Q69" s="2154"/>
      <c r="R69" s="1989"/>
      <c r="S69" s="1989"/>
      <c r="T69" s="1989"/>
      <c r="U69" s="1989"/>
      <c r="V69" s="1989"/>
      <c r="W69" s="1989"/>
      <c r="X69" s="1989"/>
      <c r="Y69" s="1989"/>
      <c r="Z69" s="1989"/>
      <c r="AA69" s="1989"/>
      <c r="AB69" s="1989"/>
      <c r="AC69" s="1989"/>
    </row>
    <row r="70" spans="1:29" s="1217" customFormat="1" ht="15">
      <c r="A70" s="657" t="s">
        <v>531</v>
      </c>
      <c r="B70" s="646"/>
      <c r="C70" s="658" t="s">
        <v>576</v>
      </c>
      <c r="D70" s="659"/>
      <c r="E70" s="659"/>
      <c r="F70" s="659"/>
      <c r="G70" s="659"/>
      <c r="H70" s="659"/>
      <c r="I70" s="659"/>
      <c r="J70" s="659"/>
      <c r="K70" s="659"/>
      <c r="L70" s="660"/>
      <c r="M70" s="661"/>
      <c r="N70" s="2158"/>
      <c r="O70" s="2158"/>
      <c r="P70" s="2159"/>
      <c r="Q70" s="2154"/>
      <c r="R70" s="1989"/>
      <c r="S70" s="1989"/>
      <c r="T70" s="1989"/>
      <c r="U70" s="1989"/>
      <c r="V70" s="1989"/>
      <c r="W70" s="1989"/>
      <c r="X70" s="1989"/>
      <c r="Y70" s="1989"/>
      <c r="Z70" s="1989"/>
      <c r="AA70" s="1989"/>
      <c r="AB70" s="1989"/>
      <c r="AC70" s="1989"/>
    </row>
    <row r="71" spans="1:29" s="1217" customFormat="1" ht="15.75" thickBot="1">
      <c r="A71" s="657"/>
      <c r="B71" s="646"/>
      <c r="C71" s="647">
        <v>100</v>
      </c>
      <c r="D71" s="648"/>
      <c r="E71" s="648"/>
      <c r="F71" s="648"/>
      <c r="G71" s="648"/>
      <c r="H71" s="648"/>
      <c r="I71" s="648"/>
      <c r="J71" s="648"/>
      <c r="K71" s="648"/>
      <c r="L71" s="648"/>
      <c r="M71" s="650"/>
      <c r="N71" s="2158"/>
      <c r="O71" s="2158"/>
      <c r="P71" s="2154"/>
      <c r="Q71" s="2154"/>
      <c r="R71" s="1989"/>
      <c r="S71" s="1989"/>
      <c r="T71" s="1989"/>
      <c r="U71" s="1989"/>
      <c r="V71" s="1989"/>
      <c r="W71" s="1989"/>
      <c r="X71" s="1989"/>
      <c r="Y71" s="1989"/>
      <c r="Z71" s="1989"/>
      <c r="AA71" s="1989"/>
      <c r="AB71" s="1989"/>
      <c r="AC71" s="1989"/>
    </row>
    <row r="72" spans="1:29">
      <c r="A72" s="662" t="s">
        <v>577</v>
      </c>
      <c r="B72" s="663" t="s">
        <v>534</v>
      </c>
      <c r="C72" s="596"/>
      <c r="D72" s="596"/>
      <c r="E72" s="596"/>
      <c r="F72" s="596"/>
      <c r="G72" s="596"/>
      <c r="H72" s="596"/>
      <c r="I72" s="596"/>
      <c r="J72" s="596"/>
      <c r="K72" s="664"/>
      <c r="L72" s="665"/>
      <c r="M72" s="666"/>
      <c r="N72" s="2160"/>
      <c r="O72" s="2160"/>
      <c r="P72" s="2161"/>
      <c r="Q72" s="2154"/>
      <c r="R72" s="2141"/>
      <c r="S72" s="2141"/>
      <c r="T72" s="2141"/>
      <c r="U72" s="2141"/>
      <c r="V72" s="2141"/>
      <c r="W72" s="2141"/>
      <c r="X72" s="2141"/>
      <c r="Y72" s="2141"/>
      <c r="Z72" s="2141"/>
      <c r="AA72" s="2141"/>
      <c r="AB72" s="2141"/>
      <c r="AC72" s="2141"/>
    </row>
    <row r="73" spans="1:29" ht="15.75" thickBot="1">
      <c r="A73" s="667"/>
      <c r="B73" s="668"/>
      <c r="C73" s="669"/>
      <c r="D73" s="669"/>
      <c r="E73" s="669"/>
      <c r="F73" s="669"/>
      <c r="G73" s="669"/>
      <c r="H73" s="669"/>
      <c r="I73" s="669"/>
      <c r="J73" s="669"/>
      <c r="K73" s="669"/>
      <c r="L73" s="669"/>
      <c r="M73" s="670"/>
      <c r="N73" s="2162"/>
      <c r="O73" s="2162"/>
      <c r="P73" s="2161"/>
      <c r="Q73" s="2154"/>
      <c r="R73" s="2141"/>
      <c r="S73" s="2141"/>
      <c r="T73" s="2141"/>
      <c r="U73" s="2141"/>
      <c r="V73" s="2141"/>
      <c r="W73" s="2141"/>
      <c r="X73" s="2141"/>
      <c r="Y73" s="2141"/>
      <c r="Z73" s="2141"/>
      <c r="AA73" s="2141"/>
      <c r="AB73" s="2141"/>
      <c r="AC73" s="2141"/>
    </row>
    <row r="74" spans="1:29" ht="27.75" thickTop="1">
      <c r="A74" s="667"/>
      <c r="B74" s="671" t="s">
        <v>537</v>
      </c>
      <c r="C74" s="672"/>
      <c r="D74" s="672"/>
      <c r="E74" s="672"/>
      <c r="F74" s="672"/>
      <c r="G74" s="672"/>
      <c r="H74" s="672"/>
      <c r="I74" s="672"/>
      <c r="J74" s="672"/>
      <c r="K74" s="673"/>
      <c r="L74" s="674"/>
      <c r="M74" s="675"/>
      <c r="N74" s="2160"/>
      <c r="O74" s="2160"/>
      <c r="P74" s="2161"/>
      <c r="Q74" s="2154"/>
      <c r="R74" s="2141"/>
      <c r="S74" s="2141"/>
      <c r="T74" s="2141"/>
      <c r="U74" s="2141"/>
      <c r="V74" s="2141"/>
      <c r="W74" s="2141"/>
      <c r="X74" s="2141"/>
      <c r="Y74" s="2141"/>
      <c r="Z74" s="2141"/>
      <c r="AA74" s="2141"/>
      <c r="AB74" s="2141"/>
      <c r="AC74" s="2141"/>
    </row>
    <row r="75" spans="1:29" ht="15.75" thickBot="1">
      <c r="A75" s="667"/>
      <c r="B75" s="676"/>
      <c r="C75" s="677"/>
      <c r="D75" s="677"/>
      <c r="E75" s="677"/>
      <c r="F75" s="677"/>
      <c r="G75" s="677"/>
      <c r="H75" s="677"/>
      <c r="I75" s="677"/>
      <c r="J75" s="677"/>
      <c r="K75" s="677"/>
      <c r="L75" s="677"/>
      <c r="M75" s="678"/>
      <c r="N75" s="2162"/>
      <c r="O75" s="2162"/>
      <c r="P75" s="2161"/>
      <c r="Q75" s="2154"/>
      <c r="R75" s="2141"/>
      <c r="S75" s="2141"/>
      <c r="T75" s="2141"/>
      <c r="U75" s="2141"/>
      <c r="V75" s="2141"/>
      <c r="W75" s="2141"/>
      <c r="X75" s="2141"/>
      <c r="Y75" s="2141"/>
      <c r="Z75" s="2141"/>
      <c r="AA75" s="2141"/>
      <c r="AB75" s="2141"/>
      <c r="AC75" s="2141"/>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7"/>
      <c r="B77" s="681"/>
      <c r="C77" s="539"/>
      <c r="D77" s="539"/>
      <c r="E77" s="539"/>
      <c r="F77" s="539"/>
      <c r="G77" s="539"/>
      <c r="H77" s="539"/>
      <c r="I77" s="539"/>
      <c r="J77" s="539"/>
      <c r="K77" s="682"/>
      <c r="L77" s="683"/>
      <c r="M77" s="684"/>
      <c r="N77" s="2160"/>
      <c r="O77" s="2160"/>
      <c r="P77" s="2161"/>
      <c r="Q77" s="2154"/>
      <c r="R77" s="2141"/>
      <c r="S77" s="2141"/>
      <c r="T77" s="2141"/>
      <c r="U77" s="2141"/>
      <c r="V77" s="2141"/>
      <c r="W77" s="2141"/>
      <c r="X77" s="2141"/>
      <c r="Y77" s="2141"/>
      <c r="Z77" s="2141"/>
      <c r="AA77" s="2141"/>
      <c r="AB77" s="2141"/>
      <c r="AC77" s="2141"/>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2"/>
      <c r="O78" s="2162"/>
      <c r="P78" s="2161"/>
      <c r="Q78" s="2154"/>
      <c r="R78" s="2141"/>
      <c r="S78" s="2141"/>
      <c r="T78" s="2141"/>
      <c r="U78" s="2141"/>
      <c r="V78" s="2141"/>
      <c r="W78" s="2141"/>
      <c r="X78" s="2141"/>
      <c r="Y78" s="2141"/>
      <c r="Z78" s="2141"/>
      <c r="AA78" s="2141"/>
      <c r="AB78" s="2141"/>
      <c r="AC78" s="2141"/>
    </row>
    <row r="79" spans="1:29" s="1336" customFormat="1" ht="15.75" thickTop="1">
      <c r="A79" s="685"/>
      <c r="B79" s="671">
        <f>B14</f>
        <v>111</v>
      </c>
      <c r="C79" s="686"/>
      <c r="D79" s="686"/>
      <c r="E79" s="686"/>
      <c r="F79" s="686"/>
      <c r="G79" s="686"/>
      <c r="H79" s="687"/>
      <c r="I79" s="687"/>
      <c r="J79" s="687"/>
      <c r="K79" s="687"/>
      <c r="L79" s="688"/>
      <c r="M79" s="689"/>
      <c r="N79" s="2163"/>
      <c r="O79" s="2163"/>
      <c r="P79" s="2164"/>
      <c r="Q79" s="2165"/>
      <c r="R79" s="2166"/>
      <c r="S79" s="2166"/>
      <c r="T79" s="2166"/>
      <c r="U79" s="2166"/>
      <c r="V79" s="2166"/>
      <c r="W79" s="2166"/>
      <c r="X79" s="2166"/>
      <c r="Y79" s="2166"/>
      <c r="Z79" s="2166"/>
      <c r="AA79" s="2166"/>
      <c r="AB79" s="2166"/>
      <c r="AC79" s="2166"/>
    </row>
    <row r="80" spans="1:29" s="1336" customFormat="1" ht="15.75" thickBot="1">
      <c r="A80" s="685"/>
      <c r="B80" s="676"/>
      <c r="C80" s="690"/>
      <c r="D80" s="669"/>
      <c r="E80" s="669"/>
      <c r="F80" s="669"/>
      <c r="G80" s="669"/>
      <c r="H80" s="669"/>
      <c r="I80" s="669"/>
      <c r="J80" s="669"/>
      <c r="K80" s="669"/>
      <c r="L80" s="669"/>
      <c r="M80" s="670"/>
      <c r="N80" s="2162"/>
      <c r="O80" s="2162"/>
      <c r="P80" s="2164"/>
      <c r="Q80" s="2165"/>
      <c r="R80" s="2166"/>
      <c r="S80" s="2166"/>
      <c r="T80" s="2166"/>
      <c r="U80" s="2166"/>
      <c r="V80" s="2166"/>
      <c r="W80" s="2166"/>
      <c r="X80" s="2166"/>
      <c r="Y80" s="2166"/>
      <c r="Z80" s="2166"/>
      <c r="AA80" s="2166"/>
      <c r="AB80" s="2166"/>
      <c r="AC80" s="2166"/>
    </row>
    <row r="81" spans="1:29" s="1336" customFormat="1" ht="15.75" thickTop="1">
      <c r="A81" s="685"/>
      <c r="B81" s="671">
        <f>B15</f>
        <v>111</v>
      </c>
      <c r="C81" s="686"/>
      <c r="D81" s="686"/>
      <c r="E81" s="686"/>
      <c r="F81" s="686"/>
      <c r="G81" s="686"/>
      <c r="H81" s="687"/>
      <c r="I81" s="687"/>
      <c r="J81" s="687"/>
      <c r="K81" s="687"/>
      <c r="L81" s="688"/>
      <c r="M81" s="689"/>
      <c r="N81" s="2163"/>
      <c r="O81" s="2163"/>
      <c r="P81" s="2167"/>
      <c r="Q81" s="2168"/>
      <c r="R81" s="2166"/>
      <c r="S81" s="2166"/>
      <c r="T81" s="2166"/>
      <c r="U81" s="2166"/>
      <c r="V81" s="2166"/>
      <c r="W81" s="2166"/>
      <c r="X81" s="2166"/>
      <c r="Y81" s="2166"/>
      <c r="Z81" s="2166"/>
      <c r="AA81" s="2166"/>
      <c r="AB81" s="2166"/>
      <c r="AC81" s="2166"/>
    </row>
    <row r="82" spans="1:29" s="1336" customFormat="1" ht="15.75" thickBot="1">
      <c r="A82" s="685"/>
      <c r="B82" s="676"/>
      <c r="C82" s="690"/>
      <c r="D82" s="690"/>
      <c r="E82" s="690"/>
      <c r="F82" s="690"/>
      <c r="G82" s="690"/>
      <c r="H82" s="691"/>
      <c r="I82" s="691"/>
      <c r="J82" s="691"/>
      <c r="K82" s="691"/>
      <c r="L82" s="691"/>
      <c r="M82" s="692"/>
      <c r="N82" s="2163"/>
      <c r="O82" s="2163"/>
      <c r="P82" s="2164"/>
      <c r="Q82" s="2165"/>
      <c r="R82" s="2166"/>
      <c r="S82" s="2166"/>
      <c r="T82" s="2166"/>
      <c r="U82" s="2166"/>
      <c r="V82" s="2166"/>
      <c r="W82" s="2166"/>
      <c r="X82" s="2166"/>
      <c r="Y82" s="2166"/>
      <c r="Z82" s="2166"/>
      <c r="AA82" s="2166"/>
      <c r="AB82" s="2166"/>
      <c r="AC82" s="2166"/>
    </row>
    <row r="83" spans="1:29" s="1336" customFormat="1" ht="15.75" thickTop="1">
      <c r="A83" s="685"/>
      <c r="B83" s="679">
        <f>B16</f>
        <v>111</v>
      </c>
      <c r="C83" s="659"/>
      <c r="D83" s="659"/>
      <c r="E83" s="659"/>
      <c r="F83" s="659"/>
      <c r="G83" s="659"/>
      <c r="H83" s="693"/>
      <c r="I83" s="693"/>
      <c r="J83" s="693"/>
      <c r="K83" s="693"/>
      <c r="L83" s="694"/>
      <c r="M83" s="695"/>
      <c r="N83" s="2163"/>
      <c r="O83" s="2163"/>
      <c r="P83" s="2169"/>
      <c r="Q83" s="2165"/>
      <c r="R83" s="2166"/>
      <c r="S83" s="2166"/>
      <c r="T83" s="2166"/>
      <c r="U83" s="2166"/>
      <c r="V83" s="2166"/>
      <c r="W83" s="2166"/>
      <c r="X83" s="2166"/>
      <c r="Y83" s="2166"/>
      <c r="Z83" s="2166"/>
      <c r="AA83" s="2166"/>
      <c r="AB83" s="2166"/>
      <c r="AC83" s="2166"/>
    </row>
    <row r="84" spans="1:29" s="1336" customFormat="1" ht="15.75" thickBot="1">
      <c r="A84" s="696"/>
      <c r="B84" s="697"/>
      <c r="C84" s="698"/>
      <c r="D84" s="698"/>
      <c r="E84" s="698"/>
      <c r="F84" s="698"/>
      <c r="G84" s="698"/>
      <c r="H84" s="699"/>
      <c r="I84" s="699"/>
      <c r="J84" s="699"/>
      <c r="K84" s="699"/>
      <c r="L84" s="699"/>
      <c r="M84" s="700"/>
      <c r="N84" s="2163"/>
      <c r="O84" s="2163"/>
      <c r="P84" s="2164"/>
      <c r="Q84" s="2165"/>
      <c r="R84" s="2166"/>
      <c r="S84" s="2166"/>
      <c r="T84" s="2166"/>
      <c r="U84" s="2166"/>
      <c r="V84" s="2166"/>
      <c r="W84" s="2166"/>
      <c r="X84" s="2166"/>
      <c r="Y84" s="2166"/>
      <c r="Z84" s="2166"/>
      <c r="AA84" s="2166"/>
      <c r="AB84" s="2166"/>
      <c r="AC84" s="2166"/>
    </row>
    <row r="85" spans="1:29">
      <c r="A85" s="662" t="s">
        <v>539</v>
      </c>
      <c r="B85" s="663" t="s">
        <v>602</v>
      </c>
      <c r="C85" s="701" t="s">
        <v>579</v>
      </c>
      <c r="D85" s="701" t="s">
        <v>580</v>
      </c>
      <c r="E85" s="701" t="s">
        <v>581</v>
      </c>
      <c r="F85" s="701" t="s">
        <v>582</v>
      </c>
      <c r="G85" s="701" t="s">
        <v>583</v>
      </c>
      <c r="H85" s="702"/>
      <c r="I85" s="702"/>
      <c r="J85" s="702"/>
      <c r="K85" s="703"/>
      <c r="L85" s="704"/>
      <c r="M85" s="705"/>
      <c r="N85" s="2160"/>
      <c r="O85" s="2160"/>
      <c r="P85" s="2170"/>
      <c r="Q85" s="2154"/>
      <c r="R85" s="2141"/>
      <c r="S85" s="2141"/>
      <c r="T85" s="2141"/>
      <c r="U85" s="2141"/>
      <c r="V85" s="2141"/>
      <c r="W85" s="2141"/>
      <c r="X85" s="2141"/>
      <c r="Y85" s="2141"/>
      <c r="Z85" s="2141"/>
      <c r="AA85" s="2141"/>
      <c r="AB85" s="2141"/>
      <c r="AC85" s="2141"/>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2"/>
      <c r="O86" s="2162"/>
      <c r="P86" s="2161"/>
      <c r="Q86" s="2154"/>
      <c r="R86" s="2141"/>
      <c r="S86" s="2141"/>
      <c r="T86" s="2141"/>
      <c r="U86" s="2141"/>
      <c r="V86" s="2141"/>
      <c r="W86" s="2141"/>
      <c r="X86" s="2141"/>
      <c r="Y86" s="2141"/>
      <c r="Z86" s="2141"/>
      <c r="AA86" s="2141"/>
      <c r="AB86" s="2141"/>
      <c r="AC86" s="2141"/>
    </row>
    <row r="87" spans="1:29" ht="15.75" thickTop="1">
      <c r="A87" s="667"/>
      <c r="B87" s="671" t="s">
        <v>586</v>
      </c>
      <c r="C87" s="706" t="s">
        <v>579</v>
      </c>
      <c r="D87" s="706" t="s">
        <v>580</v>
      </c>
      <c r="E87" s="706" t="s">
        <v>581</v>
      </c>
      <c r="F87" s="706" t="s">
        <v>582</v>
      </c>
      <c r="G87" s="706" t="s">
        <v>583</v>
      </c>
      <c r="H87" s="672"/>
      <c r="I87" s="672"/>
      <c r="J87" s="672"/>
      <c r="K87" s="673"/>
      <c r="L87" s="674"/>
      <c r="M87" s="675"/>
      <c r="N87" s="2160"/>
      <c r="O87" s="2160"/>
      <c r="P87" s="2161"/>
      <c r="Q87" s="2154"/>
      <c r="R87" s="2141"/>
      <c r="S87" s="2141"/>
      <c r="T87" s="2141"/>
      <c r="U87" s="2141"/>
      <c r="V87" s="2141"/>
      <c r="W87" s="2141"/>
      <c r="X87" s="2141"/>
      <c r="Y87" s="2141"/>
      <c r="Z87" s="2141"/>
      <c r="AA87" s="2141"/>
      <c r="AB87" s="2141"/>
      <c r="AC87" s="2141"/>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2"/>
      <c r="O88" s="2162"/>
      <c r="P88" s="2161"/>
      <c r="Q88" s="2154"/>
      <c r="R88" s="2141"/>
      <c r="S88" s="2141"/>
      <c r="T88" s="2141"/>
      <c r="U88" s="2141"/>
      <c r="V88" s="2141"/>
      <c r="W88" s="2141"/>
      <c r="X88" s="2141"/>
      <c r="Y88" s="2141"/>
      <c r="Z88" s="2141"/>
      <c r="AA88" s="2141"/>
      <c r="AB88" s="2141"/>
      <c r="AC88" s="2141"/>
    </row>
    <row r="89" spans="1:29" s="1217" customFormat="1" ht="27.75" thickTop="1">
      <c r="A89" s="707"/>
      <c r="B89" s="671" t="s">
        <v>587</v>
      </c>
      <c r="C89" s="706" t="s">
        <v>579</v>
      </c>
      <c r="D89" s="706" t="s">
        <v>580</v>
      </c>
      <c r="E89" s="706" t="s">
        <v>581</v>
      </c>
      <c r="F89" s="706" t="s">
        <v>582</v>
      </c>
      <c r="G89" s="706" t="s">
        <v>583</v>
      </c>
      <c r="H89" s="706"/>
      <c r="I89" s="706"/>
      <c r="J89" s="706"/>
      <c r="K89" s="706"/>
      <c r="L89" s="708"/>
      <c r="M89" s="709"/>
      <c r="N89" s="2158"/>
      <c r="O89" s="2158"/>
      <c r="P89" s="2161"/>
      <c r="Q89" s="2154"/>
      <c r="R89" s="1989"/>
      <c r="S89" s="1989"/>
      <c r="T89" s="1989"/>
      <c r="U89" s="1989"/>
      <c r="V89" s="1989"/>
      <c r="W89" s="1989"/>
      <c r="X89" s="1989"/>
      <c r="Y89" s="1989"/>
      <c r="Z89" s="1989"/>
      <c r="AA89" s="1989"/>
      <c r="AB89" s="1989"/>
      <c r="AC89" s="1989"/>
    </row>
    <row r="90" spans="1:29" s="1217" customFormat="1" ht="15.75" thickBot="1">
      <c r="A90" s="707"/>
      <c r="B90" s="676"/>
      <c r="C90" s="710">
        <v>100</v>
      </c>
      <c r="D90" s="677">
        <f>C90-$K21</f>
        <v>100</v>
      </c>
      <c r="E90" s="677">
        <f>D90-$K21</f>
        <v>100</v>
      </c>
      <c r="F90" s="677">
        <f>E90-$K21</f>
        <v>100</v>
      </c>
      <c r="G90" s="677">
        <f>F90-$K21</f>
        <v>100</v>
      </c>
      <c r="H90" s="677"/>
      <c r="I90" s="677"/>
      <c r="J90" s="677"/>
      <c r="K90" s="677"/>
      <c r="L90" s="677"/>
      <c r="M90" s="678"/>
      <c r="N90" s="2162"/>
      <c r="O90" s="2162"/>
      <c r="P90" s="2161"/>
      <c r="Q90" s="2154"/>
      <c r="R90" s="1989"/>
      <c r="S90" s="1989"/>
      <c r="T90" s="1989"/>
      <c r="U90" s="1989"/>
      <c r="V90" s="1989"/>
      <c r="W90" s="1989"/>
      <c r="X90" s="1989"/>
      <c r="Y90" s="1989"/>
      <c r="Z90" s="1989"/>
      <c r="AA90" s="1989"/>
      <c r="AB90" s="1989"/>
      <c r="AC90" s="1989"/>
    </row>
    <row r="91" spans="1:29" s="1217" customFormat="1" ht="27.75" thickTop="1">
      <c r="A91" s="707"/>
      <c r="B91" s="671" t="s">
        <v>588</v>
      </c>
      <c r="C91" s="701" t="s">
        <v>579</v>
      </c>
      <c r="D91" s="701" t="s">
        <v>580</v>
      </c>
      <c r="E91" s="701" t="s">
        <v>581</v>
      </c>
      <c r="F91" s="701" t="s">
        <v>582</v>
      </c>
      <c r="G91" s="701" t="s">
        <v>583</v>
      </c>
      <c r="H91" s="706"/>
      <c r="I91" s="706"/>
      <c r="J91" s="706"/>
      <c r="K91" s="706"/>
      <c r="L91" s="706"/>
      <c r="M91" s="709"/>
      <c r="N91" s="2158"/>
      <c r="O91" s="2158"/>
      <c r="P91" s="2161"/>
      <c r="Q91" s="2154"/>
      <c r="R91" s="1989"/>
      <c r="S91" s="1989"/>
      <c r="T91" s="1989"/>
      <c r="U91" s="1989"/>
      <c r="V91" s="1989"/>
      <c r="W91" s="1989"/>
      <c r="X91" s="1989"/>
      <c r="Y91" s="1989"/>
      <c r="Z91" s="1989"/>
      <c r="AA91" s="1989"/>
      <c r="AB91" s="1989"/>
      <c r="AC91" s="1989"/>
    </row>
    <row r="92" spans="1:29" s="1217" customFormat="1" ht="15.75" thickBot="1">
      <c r="A92" s="707"/>
      <c r="B92" s="676"/>
      <c r="C92" s="677">
        <v>100</v>
      </c>
      <c r="D92" s="677">
        <f>C92-$K23</f>
        <v>100</v>
      </c>
      <c r="E92" s="677">
        <f>D92-$K23</f>
        <v>100</v>
      </c>
      <c r="F92" s="677">
        <f>E92-$K23</f>
        <v>100</v>
      </c>
      <c r="G92" s="677">
        <f>F92-$K23</f>
        <v>100</v>
      </c>
      <c r="H92" s="677"/>
      <c r="I92" s="677"/>
      <c r="J92" s="677"/>
      <c r="K92" s="677"/>
      <c r="L92" s="677"/>
      <c r="M92" s="678"/>
      <c r="N92" s="2162"/>
      <c r="O92" s="2162"/>
      <c r="P92" s="2161"/>
      <c r="Q92" s="2154"/>
      <c r="R92" s="1989"/>
      <c r="S92" s="1989"/>
      <c r="T92" s="1989"/>
      <c r="U92" s="1989"/>
      <c r="V92" s="1989"/>
      <c r="W92" s="1989"/>
      <c r="X92" s="1989"/>
      <c r="Y92" s="1989"/>
      <c r="Z92" s="1989"/>
      <c r="AA92" s="1989"/>
      <c r="AB92" s="1989"/>
      <c r="AC92" s="1989"/>
    </row>
    <row r="93" spans="1:29" s="1336" customFormat="1" ht="15.75" thickTop="1">
      <c r="A93" s="685"/>
      <c r="B93" s="1892" t="s">
        <v>2548</v>
      </c>
      <c r="C93" s="701" t="s">
        <v>579</v>
      </c>
      <c r="D93" s="701" t="s">
        <v>580</v>
      </c>
      <c r="E93" s="701" t="s">
        <v>581</v>
      </c>
      <c r="F93" s="701" t="s">
        <v>582</v>
      </c>
      <c r="G93" s="701" t="s">
        <v>583</v>
      </c>
      <c r="H93" s="711"/>
      <c r="I93" s="711"/>
      <c r="J93" s="711"/>
      <c r="K93" s="711"/>
      <c r="L93" s="712"/>
      <c r="M93" s="713"/>
      <c r="N93" s="2163"/>
      <c r="O93" s="2163"/>
      <c r="P93" s="2164"/>
      <c r="Q93" s="2165"/>
      <c r="R93" s="2166"/>
      <c r="S93" s="2166"/>
      <c r="T93" s="2166"/>
      <c r="U93" s="2166"/>
      <c r="V93" s="2166"/>
      <c r="W93" s="2166"/>
      <c r="X93" s="2166"/>
      <c r="Y93" s="2166"/>
      <c r="Z93" s="2166"/>
      <c r="AA93" s="2166"/>
      <c r="AB93" s="2166"/>
      <c r="AC93" s="2166"/>
    </row>
    <row r="94" spans="1:29" s="1336" customFormat="1" ht="15.75" thickBot="1">
      <c r="A94" s="685"/>
      <c r="B94" s="676"/>
      <c r="C94" s="677">
        <v>100</v>
      </c>
      <c r="D94" s="677">
        <f>C94-$K25</f>
        <v>100</v>
      </c>
      <c r="E94" s="677">
        <f>D94-$K25</f>
        <v>100</v>
      </c>
      <c r="F94" s="677">
        <f>E94-$K25</f>
        <v>100</v>
      </c>
      <c r="G94" s="677">
        <f>F94-$K25</f>
        <v>100</v>
      </c>
      <c r="H94" s="714"/>
      <c r="I94" s="714"/>
      <c r="J94" s="714"/>
      <c r="K94" s="714"/>
      <c r="L94" s="714"/>
      <c r="M94" s="715"/>
      <c r="N94" s="2163"/>
      <c r="O94" s="2163"/>
      <c r="P94" s="2164"/>
      <c r="Q94" s="2165"/>
      <c r="R94" s="2166"/>
      <c r="S94" s="2166"/>
      <c r="T94" s="2166"/>
      <c r="U94" s="2166"/>
      <c r="V94" s="2166"/>
      <c r="W94" s="2166"/>
      <c r="X94" s="2166"/>
      <c r="Y94" s="2166"/>
      <c r="Z94" s="2166"/>
      <c r="AA94" s="2166"/>
      <c r="AB94" s="2166"/>
      <c r="AC94" s="2166"/>
    </row>
    <row r="95" spans="1:29" s="1336" customFormat="1" ht="15.75" thickTop="1">
      <c r="A95" s="685"/>
      <c r="B95" s="2593" t="s">
        <v>2550</v>
      </c>
      <c r="C95" s="2594" t="s">
        <v>2551</v>
      </c>
      <c r="D95" s="2594" t="s">
        <v>2552</v>
      </c>
      <c r="E95" s="2594" t="s">
        <v>2553</v>
      </c>
      <c r="F95" s="2594" t="s">
        <v>2554</v>
      </c>
      <c r="G95" s="2594" t="s">
        <v>2555</v>
      </c>
      <c r="H95" s="711"/>
      <c r="I95" s="711"/>
      <c r="J95" s="711"/>
      <c r="K95" s="711"/>
      <c r="L95" s="711"/>
      <c r="M95" s="713"/>
      <c r="N95" s="2163"/>
      <c r="O95" s="2163"/>
      <c r="P95" s="2164"/>
      <c r="Q95" s="2165"/>
      <c r="R95" s="2166"/>
      <c r="S95" s="2166"/>
      <c r="T95" s="2166"/>
      <c r="U95" s="2166"/>
      <c r="V95" s="2166"/>
      <c r="W95" s="2166"/>
      <c r="X95" s="2166"/>
      <c r="Y95" s="2166"/>
      <c r="Z95" s="2166"/>
      <c r="AA95" s="2166"/>
      <c r="AB95" s="2166"/>
      <c r="AC95" s="2166"/>
    </row>
    <row r="96" spans="1:29" s="1336" customFormat="1" ht="15.75" thickBot="1">
      <c r="A96" s="685"/>
      <c r="B96" s="679"/>
      <c r="C96" s="677">
        <v>100</v>
      </c>
      <c r="D96" s="677">
        <f>C96-$K27</f>
        <v>100</v>
      </c>
      <c r="E96" s="677">
        <f>D96-$K27</f>
        <v>100</v>
      </c>
      <c r="F96" s="677">
        <f>E96-$K27</f>
        <v>100</v>
      </c>
      <c r="G96" s="677">
        <f>F96-$K27</f>
        <v>100</v>
      </c>
      <c r="H96" s="681"/>
      <c r="I96" s="681"/>
      <c r="J96" s="681"/>
      <c r="K96" s="681"/>
      <c r="L96" s="681"/>
      <c r="M96" s="2586"/>
      <c r="N96" s="2163"/>
      <c r="O96" s="2163"/>
      <c r="P96" s="2164"/>
      <c r="Q96" s="2165"/>
      <c r="R96" s="2166"/>
      <c r="S96" s="2166"/>
      <c r="T96" s="2166"/>
      <c r="U96" s="2166"/>
      <c r="V96" s="2166"/>
      <c r="W96" s="2166"/>
      <c r="X96" s="2166"/>
      <c r="Y96" s="2166"/>
      <c r="Z96" s="2166"/>
      <c r="AA96" s="2166"/>
      <c r="AB96" s="2166"/>
      <c r="AC96" s="2166"/>
    </row>
    <row r="97" spans="1:29" ht="15.75" thickTop="1">
      <c r="A97" s="667"/>
      <c r="B97" s="671" t="str">
        <f>B29</f>
        <v>临街状况</v>
      </c>
      <c r="C97" s="672" t="s">
        <v>589</v>
      </c>
      <c r="D97" s="672" t="s">
        <v>590</v>
      </c>
      <c r="E97" s="672" t="s">
        <v>591</v>
      </c>
      <c r="F97" s="672" t="s">
        <v>592</v>
      </c>
      <c r="G97" s="672"/>
      <c r="H97" s="672"/>
      <c r="I97" s="672"/>
      <c r="J97" s="672"/>
      <c r="K97" s="673"/>
      <c r="L97" s="674"/>
      <c r="M97" s="675"/>
      <c r="N97" s="2160"/>
      <c r="O97" s="2160"/>
      <c r="P97" s="2161"/>
      <c r="Q97" s="2154"/>
      <c r="R97" s="2141"/>
      <c r="S97" s="2141"/>
      <c r="T97" s="2141"/>
      <c r="U97" s="2141"/>
      <c r="V97" s="2141"/>
      <c r="W97" s="2141"/>
      <c r="X97" s="2141"/>
      <c r="Y97" s="2141"/>
      <c r="Z97" s="2141"/>
      <c r="AA97" s="2141"/>
      <c r="AB97" s="2141"/>
      <c r="AC97" s="2141"/>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7"/>
      <c r="B99" s="671" t="s">
        <v>548</v>
      </c>
      <c r="C99" s="686"/>
      <c r="D99" s="686"/>
      <c r="E99" s="686"/>
      <c r="F99" s="686"/>
      <c r="G99" s="686"/>
      <c r="H99" s="716"/>
      <c r="I99" s="716"/>
      <c r="J99" s="716"/>
      <c r="K99" s="717"/>
      <c r="L99" s="718"/>
      <c r="M99" s="719"/>
      <c r="N99" s="2160"/>
      <c r="O99" s="2160"/>
      <c r="P99" s="2161"/>
      <c r="Q99" s="2154"/>
      <c r="R99" s="2141"/>
      <c r="S99" s="2141"/>
      <c r="T99" s="2141"/>
      <c r="U99" s="2141"/>
      <c r="V99" s="2141"/>
      <c r="W99" s="2141"/>
      <c r="X99" s="2141"/>
      <c r="Y99" s="2141"/>
      <c r="Z99" s="2141"/>
      <c r="AA99" s="2141"/>
      <c r="AB99" s="2141"/>
      <c r="AC99" s="2141"/>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7"/>
      <c r="B101" s="671" t="s">
        <v>549</v>
      </c>
      <c r="C101" s="716"/>
      <c r="D101" s="716"/>
      <c r="E101" s="716"/>
      <c r="F101" s="716"/>
      <c r="G101" s="716"/>
      <c r="H101" s="716"/>
      <c r="I101" s="716"/>
      <c r="J101" s="716"/>
      <c r="K101" s="717"/>
      <c r="L101" s="718"/>
      <c r="M101" s="719"/>
      <c r="N101" s="2160"/>
      <c r="O101" s="2160"/>
      <c r="P101" s="2161"/>
      <c r="Q101" s="2154"/>
      <c r="R101" s="2141"/>
      <c r="S101" s="2141"/>
      <c r="T101" s="2141"/>
      <c r="U101" s="2141"/>
      <c r="V101" s="2141"/>
      <c r="W101" s="2141"/>
      <c r="X101" s="2141"/>
      <c r="Y101" s="2141"/>
      <c r="Z101" s="2141"/>
      <c r="AA101" s="2141"/>
      <c r="AB101" s="2141"/>
      <c r="AC101" s="2141"/>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7"/>
      <c r="B103" s="679">
        <f>B33</f>
        <v>111</v>
      </c>
      <c r="C103" s="686"/>
      <c r="D103" s="686"/>
      <c r="E103" s="686"/>
      <c r="F103" s="686"/>
      <c r="G103" s="720"/>
      <c r="H103" s="720"/>
      <c r="I103" s="720"/>
      <c r="J103" s="720"/>
      <c r="K103" s="721"/>
      <c r="L103" s="722"/>
      <c r="M103" s="723"/>
      <c r="N103" s="2160"/>
      <c r="O103" s="2160"/>
      <c r="P103" s="2161"/>
      <c r="Q103" s="2154"/>
      <c r="R103" s="2141"/>
      <c r="S103" s="2141"/>
      <c r="T103" s="2141"/>
      <c r="U103" s="2141"/>
      <c r="V103" s="2141"/>
      <c r="W103" s="2141"/>
      <c r="X103" s="2141"/>
      <c r="Y103" s="2141"/>
      <c r="Z103" s="2141"/>
      <c r="AA103" s="2141"/>
      <c r="AB103" s="2141"/>
      <c r="AC103" s="2141"/>
    </row>
    <row r="104" spans="1:29" ht="15.75" thickBot="1">
      <c r="A104" s="667"/>
      <c r="B104" s="697"/>
      <c r="C104" s="690"/>
      <c r="D104" s="669"/>
      <c r="E104" s="669"/>
      <c r="F104" s="669"/>
      <c r="G104" s="724"/>
      <c r="H104" s="724"/>
      <c r="I104" s="724"/>
      <c r="J104" s="724"/>
      <c r="K104" s="724"/>
      <c r="L104" s="724"/>
      <c r="M104" s="725"/>
      <c r="N104" s="2162"/>
      <c r="O104" s="2162"/>
      <c r="P104" s="2161"/>
      <c r="Q104" s="2154"/>
      <c r="R104" s="2141"/>
      <c r="S104" s="2141"/>
      <c r="T104" s="2141"/>
      <c r="U104" s="2141"/>
      <c r="V104" s="2141"/>
      <c r="W104" s="2141"/>
      <c r="X104" s="2141"/>
      <c r="Y104" s="2141"/>
      <c r="Z104" s="2141"/>
      <c r="AA104" s="2141"/>
      <c r="AB104" s="2141"/>
      <c r="AC104" s="2141"/>
    </row>
    <row r="105" spans="1:29" ht="15" thickTop="1">
      <c r="A105" s="585"/>
      <c r="B105" s="671">
        <f>B34</f>
        <v>111</v>
      </c>
      <c r="C105" s="686"/>
      <c r="D105" s="686"/>
      <c r="E105" s="686"/>
      <c r="F105" s="686"/>
      <c r="G105" s="716"/>
      <c r="H105" s="716"/>
      <c r="I105" s="716"/>
      <c r="J105" s="716"/>
      <c r="K105" s="717"/>
      <c r="L105" s="718"/>
      <c r="M105" s="719"/>
      <c r="N105" s="2160"/>
      <c r="O105" s="2160"/>
      <c r="P105" s="2161"/>
      <c r="Q105" s="2154"/>
      <c r="R105" s="2141"/>
      <c r="S105" s="2141"/>
      <c r="T105" s="2141"/>
      <c r="U105" s="2141"/>
      <c r="V105" s="2141"/>
      <c r="W105" s="2141"/>
      <c r="X105" s="2141"/>
      <c r="Y105" s="2141"/>
      <c r="Z105" s="2141"/>
      <c r="AA105" s="2141"/>
      <c r="AB105" s="2141"/>
      <c r="AC105" s="2141"/>
    </row>
    <row r="106" spans="1:29" ht="15.75" thickBot="1">
      <c r="A106" s="667"/>
      <c r="B106" s="676"/>
      <c r="C106" s="690"/>
      <c r="D106" s="690"/>
      <c r="E106" s="690"/>
      <c r="F106" s="690"/>
      <c r="G106" s="669"/>
      <c r="H106" s="669"/>
      <c r="I106" s="669"/>
      <c r="J106" s="669"/>
      <c r="K106" s="669"/>
      <c r="L106" s="669"/>
      <c r="M106" s="670"/>
      <c r="N106" s="2162"/>
      <c r="O106" s="2162"/>
      <c r="P106" s="2161"/>
      <c r="Q106" s="2154"/>
      <c r="R106" s="2141"/>
      <c r="S106" s="2141"/>
      <c r="T106" s="2141"/>
      <c r="U106" s="2141"/>
      <c r="V106" s="2141"/>
      <c r="W106" s="2141"/>
      <c r="X106" s="2141"/>
      <c r="Y106" s="2141"/>
      <c r="Z106" s="2141"/>
      <c r="AA106" s="2141"/>
      <c r="AB106" s="2141"/>
      <c r="AC106" s="2141"/>
    </row>
    <row r="107" spans="1:29" s="1336" customFormat="1" ht="15" thickTop="1">
      <c r="A107" s="726"/>
      <c r="B107" s="727">
        <f>B35</f>
        <v>111</v>
      </c>
      <c r="C107" s="659"/>
      <c r="D107" s="659"/>
      <c r="E107" s="659"/>
      <c r="F107" s="659"/>
      <c r="G107" s="728"/>
      <c r="H107" s="728"/>
      <c r="I107" s="728"/>
      <c r="J107" s="729"/>
      <c r="K107" s="729"/>
      <c r="L107" s="730"/>
      <c r="M107" s="731"/>
      <c r="N107" s="2163"/>
      <c r="O107" s="2163"/>
      <c r="P107" s="2164"/>
      <c r="Q107" s="2165"/>
      <c r="R107" s="2166"/>
      <c r="S107" s="2166"/>
      <c r="T107" s="2166"/>
      <c r="U107" s="2166"/>
      <c r="V107" s="2166"/>
      <c r="W107" s="2166"/>
      <c r="X107" s="2166"/>
      <c r="Y107" s="2166"/>
      <c r="Z107" s="2166"/>
      <c r="AA107" s="2166"/>
      <c r="AB107" s="2166"/>
      <c r="AC107" s="2166"/>
    </row>
    <row r="108" spans="1:29" s="1336" customFormat="1" ht="15.75" thickBot="1">
      <c r="A108" s="685"/>
      <c r="B108" s="679"/>
      <c r="C108" s="698"/>
      <c r="D108" s="698"/>
      <c r="E108" s="698"/>
      <c r="F108" s="698"/>
      <c r="G108" s="590"/>
      <c r="H108" s="590"/>
      <c r="I108" s="590"/>
      <c r="J108" s="590"/>
      <c r="K108" s="590"/>
      <c r="L108" s="590"/>
      <c r="M108" s="732"/>
      <c r="N108" s="2162"/>
      <c r="O108" s="2162"/>
      <c r="P108" s="2164"/>
      <c r="Q108" s="2165"/>
      <c r="R108" s="2166"/>
      <c r="S108" s="2166"/>
      <c r="T108" s="2166"/>
      <c r="U108" s="2166"/>
      <c r="V108" s="2166"/>
      <c r="W108" s="2166"/>
      <c r="X108" s="2166"/>
      <c r="Y108" s="2166"/>
      <c r="Z108" s="2166"/>
      <c r="AA108" s="2166"/>
      <c r="AB108" s="2166"/>
      <c r="AC108" s="2166"/>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88" t="str">
        <f t="shared" si="25"/>
        <v>(含)-</v>
      </c>
      <c r="L109" s="3089" t="str">
        <f t="shared" si="25"/>
        <v>(含)-</v>
      </c>
      <c r="M109" s="3090"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7"/>
      <c r="B110" s="679"/>
      <c r="C110" s="728"/>
      <c r="D110" s="728"/>
      <c r="E110" s="728"/>
      <c r="F110" s="728"/>
      <c r="G110" s="728"/>
      <c r="H110" s="728"/>
      <c r="I110" s="728"/>
      <c r="J110" s="729"/>
      <c r="K110" s="729"/>
      <c r="L110" s="730"/>
      <c r="M110" s="731"/>
      <c r="N110" s="2160"/>
      <c r="O110" s="2160"/>
      <c r="P110" s="2161"/>
      <c r="Q110" s="2154"/>
      <c r="R110" s="2141"/>
      <c r="S110" s="2141"/>
      <c r="T110" s="2141"/>
      <c r="U110" s="2141"/>
      <c r="V110" s="2141"/>
      <c r="W110" s="2141"/>
      <c r="X110" s="2141"/>
      <c r="Y110" s="2141"/>
      <c r="Z110" s="2141"/>
      <c r="AA110" s="2141"/>
      <c r="AB110" s="2141"/>
      <c r="AC110" s="2141"/>
    </row>
    <row r="111" spans="1:29" ht="15.75" thickBot="1">
      <c r="A111" s="667"/>
      <c r="B111" s="676"/>
      <c r="C111" s="698"/>
      <c r="D111" s="724"/>
      <c r="E111" s="724"/>
      <c r="F111" s="724"/>
      <c r="G111" s="724"/>
      <c r="H111" s="724"/>
      <c r="I111" s="724"/>
      <c r="J111" s="724"/>
      <c r="K111" s="724"/>
      <c r="L111" s="724"/>
      <c r="M111" s="725"/>
      <c r="N111" s="2162"/>
      <c r="O111" s="2162"/>
      <c r="P111" s="2161"/>
      <c r="Q111" s="2154"/>
      <c r="R111" s="2141"/>
      <c r="S111" s="2141"/>
      <c r="T111" s="2141"/>
      <c r="U111" s="2141"/>
      <c r="V111" s="2141"/>
      <c r="W111" s="2141"/>
      <c r="X111" s="2141"/>
      <c r="Y111" s="2141"/>
      <c r="Z111" s="2141"/>
      <c r="AA111" s="2141"/>
      <c r="AB111" s="2141"/>
      <c r="AC111" s="2141"/>
    </row>
    <row r="112" spans="1:29" ht="15" thickTop="1">
      <c r="A112" s="733"/>
      <c r="B112" s="671" t="s">
        <v>594</v>
      </c>
      <c r="C112" s="716"/>
      <c r="D112" s="716"/>
      <c r="E112" s="716"/>
      <c r="F112" s="716"/>
      <c r="G112" s="716"/>
      <c r="H112" s="716"/>
      <c r="I112" s="716"/>
      <c r="J112" s="716"/>
      <c r="K112" s="717"/>
      <c r="L112" s="718"/>
      <c r="M112" s="719"/>
      <c r="N112" s="2160"/>
      <c r="O112" s="2160"/>
      <c r="P112" s="2161"/>
      <c r="Q112" s="2154"/>
      <c r="R112" s="2141"/>
      <c r="S112" s="2141"/>
      <c r="T112" s="2141"/>
      <c r="U112" s="2141"/>
      <c r="V112" s="2141"/>
      <c r="W112" s="2141"/>
      <c r="X112" s="2141"/>
      <c r="Y112" s="2141"/>
      <c r="Z112" s="2141"/>
      <c r="AA112" s="2141"/>
      <c r="AB112" s="2141"/>
      <c r="AC112" s="2141"/>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2"/>
      <c r="O113" s="2162"/>
      <c r="P113" s="2161"/>
      <c r="Q113" s="2154"/>
      <c r="R113" s="2141"/>
      <c r="S113" s="2141"/>
      <c r="T113" s="2141"/>
      <c r="U113" s="2141"/>
      <c r="V113" s="2141"/>
      <c r="W113" s="2141"/>
      <c r="X113" s="2141"/>
      <c r="Y113" s="2141"/>
      <c r="Z113" s="2141"/>
      <c r="AA113" s="2141"/>
      <c r="AB113" s="2141"/>
      <c r="AC113" s="2141"/>
    </row>
    <row r="114" spans="1:29" s="1336" customFormat="1" ht="15" thickTop="1">
      <c r="A114" s="726"/>
      <c r="B114" s="1892" t="s">
        <v>2425</v>
      </c>
      <c r="C114" s="1371"/>
      <c r="D114" s="1371"/>
      <c r="E114" s="1371"/>
      <c r="F114" s="1371"/>
      <c r="G114" s="1371"/>
      <c r="H114" s="716"/>
      <c r="I114" s="716"/>
      <c r="J114" s="716"/>
      <c r="K114" s="717"/>
      <c r="L114" s="718"/>
      <c r="M114" s="719"/>
      <c r="N114" s="2163"/>
      <c r="O114" s="2163"/>
      <c r="P114" s="2164"/>
      <c r="Q114" s="2165"/>
      <c r="R114" s="2166"/>
      <c r="S114" s="2166"/>
      <c r="T114" s="2166"/>
      <c r="U114" s="2166"/>
      <c r="V114" s="2166"/>
      <c r="W114" s="2166"/>
      <c r="X114" s="2166"/>
      <c r="Y114" s="2166"/>
      <c r="Z114" s="2166"/>
      <c r="AA114" s="2166"/>
      <c r="AB114" s="2166"/>
      <c r="AC114" s="2166"/>
    </row>
    <row r="115" spans="1:29" s="1336"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3"/>
      <c r="B116" s="671" t="s">
        <v>596</v>
      </c>
      <c r="C116" s="686"/>
      <c r="D116" s="686"/>
      <c r="E116" s="716"/>
      <c r="F116" s="716"/>
      <c r="G116" s="716"/>
      <c r="H116" s="716"/>
      <c r="I116" s="716"/>
      <c r="J116" s="716"/>
      <c r="K116" s="717"/>
      <c r="L116" s="718"/>
      <c r="M116" s="719"/>
      <c r="N116" s="2160"/>
      <c r="O116" s="2160"/>
      <c r="P116" s="2161"/>
      <c r="Q116" s="2154"/>
      <c r="R116" s="2141"/>
      <c r="S116" s="2141"/>
      <c r="T116" s="2141"/>
      <c r="U116" s="2141"/>
      <c r="V116" s="2141"/>
      <c r="W116" s="2141"/>
      <c r="X116" s="2141"/>
      <c r="Y116" s="2141"/>
      <c r="Z116" s="2141"/>
      <c r="AA116" s="2141"/>
      <c r="AB116" s="2141"/>
      <c r="AC116" s="2141"/>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3"/>
      <c r="B118" s="671">
        <f>B40</f>
        <v>111</v>
      </c>
      <c r="C118" s="686"/>
      <c r="D118" s="686"/>
      <c r="E118" s="686"/>
      <c r="F118" s="686"/>
      <c r="G118" s="686"/>
      <c r="H118" s="716"/>
      <c r="I118" s="716"/>
      <c r="J118" s="716"/>
      <c r="K118" s="717"/>
      <c r="L118" s="718"/>
      <c r="M118" s="719"/>
      <c r="N118" s="2160"/>
      <c r="O118" s="2160"/>
      <c r="P118" s="2161"/>
      <c r="Q118" s="2154"/>
      <c r="R118" s="2141"/>
      <c r="S118" s="2141"/>
      <c r="T118" s="2141"/>
      <c r="U118" s="2141"/>
      <c r="V118" s="2141"/>
      <c r="W118" s="2141"/>
      <c r="X118" s="2141"/>
      <c r="Y118" s="2141"/>
      <c r="Z118" s="2141"/>
      <c r="AA118" s="2141"/>
      <c r="AB118" s="2141"/>
      <c r="AC118" s="2141"/>
    </row>
    <row r="119" spans="1:29" ht="15.75" thickBot="1">
      <c r="A119" s="667"/>
      <c r="B119" s="676"/>
      <c r="C119" s="690"/>
      <c r="D119" s="669"/>
      <c r="E119" s="669"/>
      <c r="F119" s="669"/>
      <c r="G119" s="669"/>
      <c r="H119" s="669"/>
      <c r="I119" s="669"/>
      <c r="J119" s="669"/>
      <c r="K119" s="669"/>
      <c r="L119" s="669"/>
      <c r="M119" s="670"/>
      <c r="N119" s="2162"/>
      <c r="O119" s="2162"/>
      <c r="P119" s="2161"/>
      <c r="Q119" s="2154"/>
      <c r="R119" s="2141"/>
      <c r="S119" s="2141"/>
      <c r="T119" s="2141"/>
      <c r="U119" s="2141"/>
      <c r="V119" s="2141"/>
      <c r="W119" s="2141"/>
      <c r="X119" s="2141"/>
      <c r="Y119" s="2141"/>
      <c r="Z119" s="2141"/>
      <c r="AA119" s="2141"/>
      <c r="AB119" s="2141"/>
      <c r="AC119" s="2141"/>
    </row>
    <row r="120" spans="1:29" ht="15" thickTop="1">
      <c r="A120" s="733"/>
      <c r="B120" s="671">
        <f>B41</f>
        <v>111</v>
      </c>
      <c r="C120" s="686"/>
      <c r="D120" s="686"/>
      <c r="E120" s="686"/>
      <c r="F120" s="686"/>
      <c r="G120" s="716"/>
      <c r="H120" s="716"/>
      <c r="I120" s="716"/>
      <c r="J120" s="716"/>
      <c r="K120" s="717"/>
      <c r="L120" s="718"/>
      <c r="M120" s="719"/>
      <c r="N120" s="2160"/>
      <c r="O120" s="2160"/>
      <c r="P120" s="2161"/>
      <c r="Q120" s="2154"/>
      <c r="R120" s="2141"/>
      <c r="S120" s="2141"/>
      <c r="T120" s="2141"/>
      <c r="U120" s="2141"/>
      <c r="V120" s="2141"/>
      <c r="W120" s="2141"/>
      <c r="X120" s="2141"/>
      <c r="Y120" s="2141"/>
      <c r="Z120" s="2141"/>
      <c r="AA120" s="2141"/>
      <c r="AB120" s="2141"/>
      <c r="AC120" s="2141"/>
    </row>
    <row r="121" spans="1:29" ht="15.75" thickBot="1">
      <c r="A121" s="667"/>
      <c r="B121" s="676"/>
      <c r="C121" s="690"/>
      <c r="D121" s="690"/>
      <c r="E121" s="690"/>
      <c r="F121" s="690"/>
      <c r="G121" s="669"/>
      <c r="H121" s="669"/>
      <c r="I121" s="669"/>
      <c r="J121" s="669"/>
      <c r="K121" s="669"/>
      <c r="L121" s="669"/>
      <c r="M121" s="670"/>
      <c r="N121" s="2162"/>
      <c r="O121" s="2162"/>
      <c r="P121" s="2161"/>
      <c r="Q121" s="2154"/>
      <c r="R121" s="2141"/>
      <c r="S121" s="2141"/>
      <c r="T121" s="2141"/>
      <c r="U121" s="2141"/>
      <c r="V121" s="2141"/>
      <c r="W121" s="2141"/>
      <c r="X121" s="2141"/>
      <c r="Y121" s="2141"/>
      <c r="Z121" s="2141"/>
      <c r="AA121" s="2141"/>
      <c r="AB121" s="2141"/>
      <c r="AC121" s="2141"/>
    </row>
    <row r="122" spans="1:29" s="1336" customFormat="1" ht="15" thickTop="1">
      <c r="A122" s="726"/>
      <c r="B122" s="671">
        <f>B42</f>
        <v>111</v>
      </c>
      <c r="C122" s="659"/>
      <c r="D122" s="659"/>
      <c r="E122" s="659"/>
      <c r="F122" s="659"/>
      <c r="G122" s="687"/>
      <c r="H122" s="687"/>
      <c r="I122" s="687"/>
      <c r="J122" s="687"/>
      <c r="K122" s="687"/>
      <c r="L122" s="688"/>
      <c r="M122" s="689"/>
      <c r="N122" s="2163"/>
      <c r="O122" s="2163"/>
      <c r="P122" s="2164"/>
      <c r="Q122" s="2165"/>
      <c r="R122" s="2166"/>
      <c r="S122" s="2166"/>
      <c r="T122" s="2166"/>
      <c r="U122" s="2166"/>
      <c r="V122" s="2166"/>
      <c r="W122" s="2166"/>
      <c r="X122" s="2166"/>
      <c r="Y122" s="2166"/>
      <c r="Z122" s="2166"/>
      <c r="AA122" s="2166"/>
      <c r="AB122" s="2166"/>
      <c r="AC122" s="2166"/>
    </row>
    <row r="123" spans="1:29" s="1336" customFormat="1" ht="15.75" thickBot="1">
      <c r="A123" s="696"/>
      <c r="B123" s="734"/>
      <c r="C123" s="698"/>
      <c r="D123" s="698"/>
      <c r="E123" s="698"/>
      <c r="F123" s="698"/>
      <c r="G123" s="724"/>
      <c r="H123" s="724"/>
      <c r="I123" s="724"/>
      <c r="J123" s="724"/>
      <c r="K123" s="724"/>
      <c r="L123" s="724"/>
      <c r="M123" s="725"/>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I12" sqref="I12"/>
    </sheetView>
  </sheetViews>
  <sheetFormatPr defaultColWidth="12" defaultRowHeight="12"/>
  <cols>
    <col min="1" max="1" width="9.75" style="1399" customWidth="1"/>
    <col min="2" max="2" width="19.25" style="1523"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1695</v>
      </c>
      <c r="B1" s="1395"/>
      <c r="C1" s="1401" t="s">
        <v>2426</v>
      </c>
      <c r="D1" s="1516">
        <f>SUM(D29:D30,D33:D39)</f>
        <v>0</v>
      </c>
      <c r="E1" s="1401" t="s">
        <v>2427</v>
      </c>
      <c r="F1" s="2448"/>
      <c r="G1" s="1396"/>
      <c r="H1" s="1396"/>
      <c r="I1" s="1396"/>
      <c r="J1" s="1396"/>
      <c r="K1" s="1396"/>
      <c r="L1" s="1878" t="s">
        <v>2238</v>
      </c>
      <c r="M1" s="1879">
        <f>SUMPRODUCT((区片价!B5:B9=I2)*(区片价!C3:F3=E2)*(区片价!C5:F9))</f>
        <v>0</v>
      </c>
      <c r="N1" s="1880">
        <f>SUMPRODUCT((因素修正幅度!B5:B9=I2)*(因素修正幅度!C3:F3=E2)*(因素修正幅度!C5:F9))</f>
        <v>0</v>
      </c>
      <c r="O1" s="2185"/>
      <c r="P1" s="2185"/>
      <c r="Q1" s="2185"/>
      <c r="R1" s="2932" t="s">
        <v>2761</v>
      </c>
      <c r="S1" s="2932" t="s">
        <v>2762</v>
      </c>
      <c r="T1" s="2932" t="s">
        <v>2783</v>
      </c>
      <c r="U1" s="2932" t="s">
        <v>2784</v>
      </c>
      <c r="V1" s="2932" t="s">
        <v>2785</v>
      </c>
      <c r="W1" s="2185"/>
      <c r="X1" s="2185"/>
      <c r="Y1" s="2185"/>
      <c r="Z1" s="2185"/>
      <c r="AA1" s="2185"/>
      <c r="AB1" s="2185"/>
      <c r="AC1" s="2186"/>
    </row>
    <row r="2" spans="1:39" ht="15.75">
      <c r="A2" s="1401" t="s">
        <v>920</v>
      </c>
      <c r="B2" s="1035" t="e">
        <f>C26</f>
        <v>#DIV/0!</v>
      </c>
      <c r="C2" s="1402" t="s">
        <v>921</v>
      </c>
      <c r="D2" s="1403" t="s">
        <v>922</v>
      </c>
      <c r="E2" s="1404"/>
      <c r="F2" s="1403" t="s">
        <v>924</v>
      </c>
      <c r="G2" s="1647">
        <f>IF(E2="商业",项目基本情况!B43,IF(E2="办公",项目基本情况!C43,IF(E2="住宅",项目基本情况!D43,项目基本情况!E43)))</f>
        <v>0</v>
      </c>
      <c r="H2" s="1403" t="s">
        <v>926</v>
      </c>
      <c r="I2" s="1648">
        <f>IF(E2="商业",项目基本情况!B44,IF(E2="办公",项目基本情况!C44,IF(E2="住宅",项目基本情况!D44,项目基本情况!E44)))</f>
        <v>0</v>
      </c>
      <c r="J2" s="1405"/>
      <c r="K2" s="1396"/>
      <c r="L2" s="1881" t="s">
        <v>2239</v>
      </c>
      <c r="M2" s="1882">
        <f>SUMPRODUCT((区片价!B10:B28=I2)*(区片价!C3:F3=E2)*(区片价!C10:F28))</f>
        <v>0</v>
      </c>
      <c r="N2" s="1883">
        <f>SUMPRODUCT((因素修正幅度!B10:B28=I2)*(因素修正幅度!C3:F3=E2)*(因素修正幅度!C10:F28))</f>
        <v>0</v>
      </c>
      <c r="O2" s="2185"/>
      <c r="P2" s="2185"/>
      <c r="Q2" s="2185"/>
      <c r="R2" s="2933">
        <v>1</v>
      </c>
      <c r="S2" s="2933">
        <f>ROUND(IF(G3&gt;1,IF(R2&lt;7,SUMPRODUCT((B93:B98=R2)*(C92:N92=G2)*(C93:N98)),SUMIF(C92:N92,G2,C100:N100)),IF(R2&lt;7,SUMPRODUCT((B102:B107=R2)*(C92:N92=G2)*(C102:N107)),SUMIF(C92:N92,G2,C109:N109))),4)</f>
        <v>0</v>
      </c>
      <c r="T2" s="2933" t="e">
        <f>ROUND($C$5*$C$18*$C$19*$C$20*S2*$C$24,0)</f>
        <v>#DIV/0!</v>
      </c>
      <c r="U2" s="2922"/>
      <c r="V2" s="2933" t="e">
        <f>ROUND(T2*U2/10000,0)</f>
        <v>#DIV/0!</v>
      </c>
      <c r="W2" s="2185"/>
      <c r="X2" s="2185"/>
      <c r="Y2" s="2185"/>
      <c r="Z2" s="2185"/>
      <c r="AA2" s="2185"/>
      <c r="AB2" s="2185"/>
      <c r="AC2" s="2186"/>
    </row>
    <row r="3" spans="1:39" ht="15.75">
      <c r="A3" s="1406" t="s">
        <v>1688</v>
      </c>
      <c r="B3" s="1035" t="e">
        <f>ROUND(B2*10000/D1,0)</f>
        <v>#DIV/0!</v>
      </c>
      <c r="C3" s="1402" t="s">
        <v>927</v>
      </c>
      <c r="D3" s="1403" t="s">
        <v>928</v>
      </c>
      <c r="E3" s="1407"/>
      <c r="F3" s="1408" t="s">
        <v>2935</v>
      </c>
      <c r="G3" s="1036">
        <f>IF(F3="宗地容积率",'数据-汇总表'!I4,IF(F3="估价对象容积率",'数据-汇总表'!I6,'数据-汇总表'!I7))</f>
        <v>1.8</v>
      </c>
      <c r="H3" s="1409" t="s">
        <v>929</v>
      </c>
      <c r="I3" s="1037">
        <v>8</v>
      </c>
      <c r="J3" s="1405" t="s">
        <v>930</v>
      </c>
      <c r="K3" s="1396"/>
      <c r="L3" s="1881" t="s">
        <v>2240</v>
      </c>
      <c r="M3" s="1882">
        <f>SUMPRODUCT((区片价!B29:B48=I2)*(区片价!C3:F3=E2)*(区片价!C29:F48))</f>
        <v>0</v>
      </c>
      <c r="N3" s="1883">
        <f>SUMPRODUCT((因素修正幅度!B29:B48=I2)*(因素修正幅度!C3:F3=E2)*(因素修正幅度!C29:F48))</f>
        <v>0</v>
      </c>
      <c r="O3" s="2185"/>
      <c r="P3" s="2185"/>
      <c r="Q3" s="2185"/>
      <c r="R3" s="2933">
        <v>2</v>
      </c>
      <c r="S3" s="2933">
        <f>ROUND(IF(G3&gt;1,IF(R3&lt;7,SUMPRODUCT((B93:B98=R3)*(C92:N92=G2)*(C93:N98)),SUMIF(C92:N92,G2,C100:N100)),IF(R3&lt;7,SUMPRODUCT((B102:B107=R3)*(C92:N92=G2)*(C102:N107)),SUMIF(C92:N92,G2,C109:N109))),4)</f>
        <v>0</v>
      </c>
      <c r="T3" s="2933" t="e">
        <f t="shared" ref="T3:T16" si="0">ROUND($C$5*$C$18*$C$19*$C$20*S3*$C$24,0)</f>
        <v>#DIV/0!</v>
      </c>
      <c r="U3" s="2922"/>
      <c r="V3" s="2933" t="e">
        <f t="shared" ref="V3:V16" si="1">ROUND(T3*U3/10000,0)</f>
        <v>#DIV/0!</v>
      </c>
      <c r="W3" s="2185"/>
      <c r="X3" s="2185"/>
      <c r="Y3" s="2185"/>
      <c r="Z3" s="2185"/>
      <c r="AA3" s="2185"/>
      <c r="AB3" s="2185"/>
      <c r="AC3" s="2186"/>
    </row>
    <row r="4" spans="1:39" ht="28.5">
      <c r="A4" s="1887" t="s">
        <v>2280</v>
      </c>
      <c r="B4" s="2449" t="e">
        <f>ROUND(B2*10000/F1,0)</f>
        <v>#DIV/0!</v>
      </c>
      <c r="C4" s="1890" t="s">
        <v>2254</v>
      </c>
      <c r="D4" s="1890" t="e">
        <f>ROUND(B2/(F1/666.67),0)</f>
        <v>#DIV/0!</v>
      </c>
      <c r="E4" s="1890" t="s">
        <v>2255</v>
      </c>
      <c r="F4" s="1888"/>
      <c r="G4" s="1888"/>
      <c r="H4" s="1888"/>
      <c r="I4" s="1888"/>
      <c r="J4" s="1889"/>
      <c r="K4" s="1396"/>
      <c r="L4" s="1881" t="s">
        <v>2241</v>
      </c>
      <c r="M4" s="1882">
        <f>SUMPRODUCT((区片价!B49:B75=I2)*(区片价!C3:F3=E2)*(区片价!C49:F75))</f>
        <v>0</v>
      </c>
      <c r="N4" s="1883">
        <f>SUMPRODUCT((因素修正幅度!B49:B75=I2)*(因素修正幅度!C3:F3=E2)*(因素修正幅度!C49:F75))</f>
        <v>0</v>
      </c>
      <c r="O4" s="2185"/>
      <c r="P4" s="2185"/>
      <c r="Q4" s="2185"/>
      <c r="R4" s="2933">
        <v>3</v>
      </c>
      <c r="S4" s="2933">
        <f>ROUND(IF(G3&gt;1,IF(R4&lt;7,SUMPRODUCT((B93:B98=R4)*(C92:N92=G2)*(C93:N98)),SUMIF(C92:N92,G2,C100:N100)),IF(R4&lt;7,SUMPRODUCT((B102:B107=R4)*(C92:N92=G2)*(C102:N107)),SUMIF(C92:N92,G2,C109:N109))),4)</f>
        <v>0</v>
      </c>
      <c r="T4" s="2933" t="e">
        <f t="shared" si="0"/>
        <v>#DIV/0!</v>
      </c>
      <c r="U4" s="2922"/>
      <c r="V4" s="2933" t="e">
        <f t="shared" si="1"/>
        <v>#DIV/0!</v>
      </c>
      <c r="W4" s="2185"/>
      <c r="X4" s="2185"/>
      <c r="Y4" s="2185"/>
      <c r="Z4" s="2185"/>
      <c r="AA4" s="2185"/>
      <c r="AB4" s="2185"/>
      <c r="AC4" s="2186"/>
    </row>
    <row r="5" spans="1:39" s="1416" customFormat="1" ht="15.75" thickBot="1">
      <c r="A5" s="1633" t="s">
        <v>1824</v>
      </c>
      <c r="B5" s="1410" t="s">
        <v>931</v>
      </c>
      <c r="C5" s="1038" t="e">
        <f>ROUND(IF(E2="商业",IF(F16="增加",C6*C7+C16,C6*C7-C16),IF(E2="住宅",IF(F16="增加",C6*C12+C16,C6*C12-C16),IF(F16="增加",C6+C16,C6-C16))),0)</f>
        <v>#DIV/0!</v>
      </c>
      <c r="D5" s="3116">
        <f>ROUND(IF(E2="商业",IF(F16="增加",C6+C16,C6-C16)),0)</f>
        <v>0</v>
      </c>
      <c r="E5" s="1411"/>
      <c r="F5" s="1411"/>
      <c r="G5" s="1412"/>
      <c r="H5" s="1412"/>
      <c r="I5" s="1412"/>
      <c r="J5" s="1413"/>
      <c r="K5" s="1589"/>
      <c r="L5" s="1881" t="s">
        <v>2242</v>
      </c>
      <c r="M5" s="1882">
        <f>SUMPRODUCT((区片价!B76:B109=I2)*(区片价!C3:F3=E2)*(区片价!C76:F109))</f>
        <v>0</v>
      </c>
      <c r="N5" s="1883">
        <f>SUMPRODUCT((因素修正幅度!B76:B109=I2)*(因素修正幅度!C3:F3=E2)*(因素修正幅度!C76:F109))</f>
        <v>0</v>
      </c>
      <c r="O5" s="2185"/>
      <c r="P5" s="2185"/>
      <c r="Q5" s="2185"/>
      <c r="R5" s="2933">
        <v>4</v>
      </c>
      <c r="S5" s="2933">
        <f>ROUND(IF(G3&gt;1,IF(R5&lt;7,SUMPRODUCT((B93:B98=R5)*(C92:N92=G2)*(C93:N98)),SUMIF(C92:N92,G2,C100:N100)),IF(R5&lt;7,SUMPRODUCT((B102:B107=R5)*(C92:N92=G2)*(C102:N107)),SUMIF(C92:N92,G2,C109:N109))),4)</f>
        <v>0</v>
      </c>
      <c r="T5" s="2933" t="e">
        <f t="shared" si="0"/>
        <v>#DIV/0!</v>
      </c>
      <c r="U5" s="2922"/>
      <c r="V5" s="2933" t="e">
        <f t="shared" si="1"/>
        <v>#DIV/0!</v>
      </c>
      <c r="W5" s="2185"/>
      <c r="X5" s="2185"/>
      <c r="Y5" s="2185"/>
      <c r="Z5" s="2185"/>
      <c r="AA5" s="2185"/>
      <c r="AB5" s="2185"/>
      <c r="AC5" s="2187"/>
      <c r="AD5" s="1414"/>
      <c r="AE5" s="1414"/>
      <c r="AF5" s="1414"/>
      <c r="AG5" s="1414"/>
      <c r="AH5" s="1414"/>
      <c r="AI5" s="1414"/>
      <c r="AJ5" s="1415"/>
      <c r="AK5" s="1415"/>
      <c r="AL5" s="1415"/>
      <c r="AM5" s="1415"/>
    </row>
    <row r="6" spans="1:39" ht="15.75" thickBot="1">
      <c r="A6" s="1634" t="s">
        <v>1871</v>
      </c>
      <c r="B6" s="1417" t="s">
        <v>931</v>
      </c>
      <c r="C6" s="1039">
        <f>SUMIF(L1:L12,基准地价!G2,M1:M12)</f>
        <v>0</v>
      </c>
      <c r="D6" s="1418" t="s">
        <v>1696</v>
      </c>
      <c r="E6" s="1419"/>
      <c r="F6" s="1419"/>
      <c r="G6" s="1420"/>
      <c r="H6" s="1420"/>
      <c r="I6" s="1420"/>
      <c r="J6" s="1421"/>
      <c r="K6" s="1590"/>
      <c r="L6" s="1881" t="s">
        <v>2243</v>
      </c>
      <c r="M6" s="1882">
        <f>SUMPRODUCT((区片价!B110:B157=I2)*(区片价!C3:F3=E2)*(区片价!C110:F157))</f>
        <v>0</v>
      </c>
      <c r="N6" s="1883">
        <f>SUMPRODUCT((因素修正幅度!B110:B157=I2)*(因素修正幅度!C3:F3=E2)*(因素修正幅度!C110:F157))</f>
        <v>0</v>
      </c>
      <c r="O6" s="2185"/>
      <c r="P6" s="2185"/>
      <c r="Q6" s="2185"/>
      <c r="R6" s="2933">
        <v>5</v>
      </c>
      <c r="S6" s="2933">
        <f>ROUND(IF(G3&gt;1,IF(R6&lt;7,SUMPRODUCT((B93:B98=R6)*(C92:N92=G2)*(C93:N98)),SUMIF(C92:N92,G2,C100:N100)),IF(R6&lt;7,SUMPRODUCT((B102:B107=R6)*(C92:N92=G2)*(C102:N107)),SUMIF(C92:N92,G2,C109:N109))),4)</f>
        <v>0</v>
      </c>
      <c r="T6" s="2933" t="e">
        <f t="shared" si="0"/>
        <v>#DIV/0!</v>
      </c>
      <c r="U6" s="2922"/>
      <c r="V6" s="2933" t="e">
        <f t="shared" si="1"/>
        <v>#DIV/0!</v>
      </c>
      <c r="W6" s="2185"/>
      <c r="X6" s="2185"/>
      <c r="Y6" s="2185"/>
      <c r="Z6" s="2185"/>
      <c r="AA6" s="2185"/>
      <c r="AB6" s="2185"/>
      <c r="AC6" s="2187"/>
      <c r="AD6" s="1414"/>
      <c r="AE6" s="1414"/>
      <c r="AF6" s="1414"/>
      <c r="AG6" s="1414"/>
      <c r="AH6" s="1414"/>
      <c r="AI6" s="1414"/>
      <c r="AJ6" s="1415"/>
    </row>
    <row r="7" spans="1:39" ht="24">
      <c r="A7" s="3717" t="str">
        <f>IF(E2="商业",IF(C8="不临58条商业街","",2),"")</f>
        <v/>
      </c>
      <c r="B7" s="1422" t="s">
        <v>932</v>
      </c>
      <c r="C7" s="1040" t="e">
        <f>IF(C8="不临58条商业街",1,ROUND(1+(1.6*E8+1.2*E9+0.8*E10+0.4*E11)*C9,4))</f>
        <v>#DIV/0!</v>
      </c>
      <c r="D7" s="1423" t="s">
        <v>933</v>
      </c>
      <c r="E7" s="1041"/>
      <c r="F7" s="1424"/>
      <c r="G7" s="1425"/>
      <c r="H7" s="1425"/>
      <c r="I7" s="1425"/>
      <c r="J7" s="1426"/>
      <c r="K7" s="1590"/>
      <c r="L7" s="1881" t="s">
        <v>2244</v>
      </c>
      <c r="M7" s="1882">
        <f>SUMPRODUCT((区片价!B158:B205=I2)*(区片价!C3:F3=E2)*(区片价!C158:F205))</f>
        <v>0</v>
      </c>
      <c r="N7" s="1883">
        <f>SUMPRODUCT((因素修正幅度!B158:B205=I2)*(因素修正幅度!C3:F3=E2)*(因素修正幅度!C158:F205))</f>
        <v>0</v>
      </c>
      <c r="O7" s="2185"/>
      <c r="P7" s="2185"/>
      <c r="Q7" s="2185"/>
      <c r="R7" s="2933">
        <v>6</v>
      </c>
      <c r="S7" s="2933">
        <f>ROUND(IF(G3&gt;1,IF(R7&lt;7,SUMPRODUCT((B93:B98=R7)*(C92:N92=G2)*(C93:N98)),SUMIF(C92:N92,G2,C100:N100)),IF(R7&lt;7,SUMPRODUCT((B102:B107=R7)*(C92:N92=G2)*(C102:N107)),SUMIF(C92:N92,G2,C109:N109))),4)</f>
        <v>0</v>
      </c>
      <c r="T7" s="2933" t="e">
        <f t="shared" si="0"/>
        <v>#DIV/0!</v>
      </c>
      <c r="U7" s="2922"/>
      <c r="V7" s="2933" t="e">
        <f t="shared" si="1"/>
        <v>#DIV/0!</v>
      </c>
      <c r="W7" s="2931" t="s">
        <v>2764</v>
      </c>
      <c r="X7" s="2923">
        <f>G2</f>
        <v>0</v>
      </c>
      <c r="Y7" s="2923" t="s">
        <v>2765</v>
      </c>
      <c r="Z7" s="2924">
        <f>G3</f>
        <v>1.8</v>
      </c>
      <c r="AA7" s="2188"/>
      <c r="AB7" s="2188"/>
      <c r="AC7" s="2189"/>
      <c r="AD7" s="2925"/>
      <c r="AE7" s="2925"/>
      <c r="AF7" s="2925"/>
      <c r="AG7" s="2925"/>
      <c r="AH7" s="2925"/>
      <c r="AI7" s="2925"/>
      <c r="AJ7" s="2926"/>
    </row>
    <row r="8" spans="1:39" ht="15">
      <c r="A8" s="3718"/>
      <c r="B8" s="1409" t="s">
        <v>934</v>
      </c>
      <c r="C8" s="1524"/>
      <c r="D8" s="1042" t="s">
        <v>935</v>
      </c>
      <c r="E8" s="1043" t="e">
        <f>ROUND(C11/E7,4)</f>
        <v>#DIV/0!</v>
      </c>
      <c r="F8" s="1427" t="s">
        <v>936</v>
      </c>
      <c r="G8" s="1428"/>
      <c r="H8" s="1428"/>
      <c r="I8" s="1428"/>
      <c r="J8" s="1429"/>
      <c r="K8" s="1396"/>
      <c r="L8" s="1881" t="s">
        <v>2245</v>
      </c>
      <c r="M8" s="1882">
        <f>SUMPRODUCT((区片价!B206:B244=I2)*(区片价!C3:F3=E2)*(区片价!C206:F244))</f>
        <v>0</v>
      </c>
      <c r="N8" s="1883">
        <f>SUMPRODUCT((因素修正幅度!B206:B244=I2)*(因素修正幅度!C3:F3=E2)*(因素修正幅度!C206:F244))</f>
        <v>0</v>
      </c>
      <c r="O8" s="2185"/>
      <c r="P8" s="2185"/>
      <c r="Q8" s="2185"/>
      <c r="R8" s="2933">
        <v>7</v>
      </c>
      <c r="S8" s="2922"/>
      <c r="T8" s="2933" t="e">
        <f t="shared" si="0"/>
        <v>#DIV/0!</v>
      </c>
      <c r="U8" s="2922"/>
      <c r="V8" s="2933" t="e">
        <f t="shared" si="1"/>
        <v>#DIV/0!</v>
      </c>
      <c r="W8" s="3727" t="s">
        <v>2782</v>
      </c>
      <c r="X8" s="3728"/>
      <c r="Y8" s="1845" t="s">
        <v>2766</v>
      </c>
      <c r="Z8" s="1845" t="s">
        <v>2767</v>
      </c>
      <c r="AA8" s="1845" t="s">
        <v>2768</v>
      </c>
      <c r="AB8" s="1845" t="s">
        <v>2769</v>
      </c>
      <c r="AC8" s="1845" t="s">
        <v>2770</v>
      </c>
      <c r="AD8" s="1845" t="s">
        <v>2771</v>
      </c>
      <c r="AE8" s="1845" t="s">
        <v>2772</v>
      </c>
      <c r="AF8" s="1845" t="s">
        <v>2773</v>
      </c>
      <c r="AG8" s="1845" t="s">
        <v>2774</v>
      </c>
      <c r="AH8" s="1845" t="s">
        <v>2775</v>
      </c>
      <c r="AI8" s="1845" t="s">
        <v>2776</v>
      </c>
      <c r="AJ8" s="1845" t="s">
        <v>2777</v>
      </c>
    </row>
    <row r="9" spans="1:39" ht="15">
      <c r="A9" s="3718"/>
      <c r="B9" s="1409" t="s">
        <v>937</v>
      </c>
      <c r="C9" s="1044">
        <f>SUMIF(修正!C59:C119,C8,修正!E59:E119)</f>
        <v>0</v>
      </c>
      <c r="D9" s="1045" t="s">
        <v>938</v>
      </c>
      <c r="E9" s="1045" t="e">
        <f>ROUND(C11/E7,4)</f>
        <v>#DIV/0!</v>
      </c>
      <c r="F9" s="1427" t="s">
        <v>939</v>
      </c>
      <c r="G9" s="1428"/>
      <c r="H9" s="1428"/>
      <c r="I9" s="1428"/>
      <c r="J9" s="1429"/>
      <c r="K9" s="1396"/>
      <c r="L9" s="1881" t="s">
        <v>2246</v>
      </c>
      <c r="M9" s="1882">
        <f>SUMPRODUCT((区片价!B245:B289=I2)*(区片价!C3:F3=E2)*(区片价!C245:F289))</f>
        <v>0</v>
      </c>
      <c r="N9" s="1883">
        <f>SUMPRODUCT((因素修正幅度!B245:B289=I2)*(因素修正幅度!C3:F3=E2)*(因素修正幅度!C245:F289))</f>
        <v>0</v>
      </c>
      <c r="O9" s="2185"/>
      <c r="P9" s="2185"/>
      <c r="Q9" s="2185"/>
      <c r="R9" s="2933">
        <v>8</v>
      </c>
      <c r="S9" s="2922"/>
      <c r="T9" s="2933" t="e">
        <f t="shared" si="0"/>
        <v>#DIV/0!</v>
      </c>
      <c r="U9" s="2922"/>
      <c r="V9" s="2933" t="e">
        <f t="shared" si="1"/>
        <v>#DIV/0!</v>
      </c>
      <c r="W9" s="3726" t="s">
        <v>2778</v>
      </c>
      <c r="X9" s="2927" t="s">
        <v>2779</v>
      </c>
      <c r="Y9" s="3094"/>
      <c r="Z9" s="2928">
        <f>$Y$9</f>
        <v>0</v>
      </c>
      <c r="AA9" s="2928">
        <f t="shared" ref="AA9:AJ9" si="2">$Y$9</f>
        <v>0</v>
      </c>
      <c r="AB9" s="2928">
        <f t="shared" si="2"/>
        <v>0</v>
      </c>
      <c r="AC9" s="2928">
        <f t="shared" si="2"/>
        <v>0</v>
      </c>
      <c r="AD9" s="2928">
        <f t="shared" si="2"/>
        <v>0</v>
      </c>
      <c r="AE9" s="2928">
        <f t="shared" si="2"/>
        <v>0</v>
      </c>
      <c r="AF9" s="2928">
        <f t="shared" si="2"/>
        <v>0</v>
      </c>
      <c r="AG9" s="2928">
        <f t="shared" si="2"/>
        <v>0</v>
      </c>
      <c r="AH9" s="2928">
        <f t="shared" si="2"/>
        <v>0</v>
      </c>
      <c r="AI9" s="2928">
        <f t="shared" si="2"/>
        <v>0</v>
      </c>
      <c r="AJ9" s="2928">
        <f t="shared" si="2"/>
        <v>0</v>
      </c>
    </row>
    <row r="10" spans="1:39" ht="15">
      <c r="A10" s="3718"/>
      <c r="B10" s="1409" t="s">
        <v>940</v>
      </c>
      <c r="C10" s="1045">
        <f>SUMIF(修正!C59:C119,C8,修正!F59:F119)</f>
        <v>0</v>
      </c>
      <c r="D10" s="1045" t="s">
        <v>941</v>
      </c>
      <c r="E10" s="1045" t="e">
        <f>ROUND(C11/E7,4)</f>
        <v>#DIV/0!</v>
      </c>
      <c r="F10" s="1427" t="s">
        <v>942</v>
      </c>
      <c r="G10" s="1428"/>
      <c r="H10" s="1428"/>
      <c r="I10" s="1428"/>
      <c r="J10" s="1429"/>
      <c r="K10" s="1396"/>
      <c r="L10" s="1881" t="s">
        <v>2247</v>
      </c>
      <c r="M10" s="1882">
        <f>SUMPRODUCT((区片价!B290:B316=I2)*(区片价!C3:F3=E2)*(区片价!C290:F316))</f>
        <v>0</v>
      </c>
      <c r="N10" s="1883">
        <f>SUMPRODUCT((因素修正幅度!B290:B316=I2)*(因素修正幅度!C3:F3=E2)*(因素修正幅度!C290:F316))</f>
        <v>0</v>
      </c>
      <c r="O10" s="2185"/>
      <c r="P10" s="2185"/>
      <c r="Q10" s="2185"/>
      <c r="R10" s="2933">
        <v>9</v>
      </c>
      <c r="S10" s="2922"/>
      <c r="T10" s="2933" t="e">
        <f t="shared" si="0"/>
        <v>#DIV/0!</v>
      </c>
      <c r="U10" s="2922"/>
      <c r="V10" s="2933" t="e">
        <f t="shared" si="1"/>
        <v>#DIV/0!</v>
      </c>
      <c r="W10" s="3726"/>
      <c r="X10" s="2927">
        <v>7</v>
      </c>
      <c r="Y10" s="2929">
        <f>(-0.163*(Y9^2)-0.59*Y9+7617)*(10^(-4))</f>
        <v>0.76170000000000004</v>
      </c>
      <c r="Z10" s="2929">
        <f>(-0.163*(Z9^2)-0.59*Z9+7617)*(10^(-4))</f>
        <v>0.76170000000000004</v>
      </c>
      <c r="AA10" s="2929">
        <f>(-0.161*(AA9^2)-7.509*AA9+6533)*(10^(-4))</f>
        <v>0.65329999999999999</v>
      </c>
      <c r="AB10" s="2929">
        <f>(-0.161*(AB9^2)-7.509*AB9+6533)*(10^(-4))</f>
        <v>0.65329999999999999</v>
      </c>
      <c r="AC10" s="2929">
        <f>(-0.161*(AC9^2)-7.509*AC9+6533)*(10^(-4))</f>
        <v>0.65329999999999999</v>
      </c>
      <c r="AD10" s="2929">
        <f>(-0.161*(AD9^2)-7.509*AD9+6533)*(10^(-4))</f>
        <v>0.65329999999999999</v>
      </c>
      <c r="AE10" s="2929">
        <f>(-0.161*(AE9^2)-7.509*AE9+6533)*(10^(-4))</f>
        <v>0.65329999999999999</v>
      </c>
      <c r="AF10" s="2929">
        <f>(-0.214*(AF9^2)-21.991*AF9+4665)*(10^(-4))</f>
        <v>0.46650000000000003</v>
      </c>
      <c r="AG10" s="2929">
        <f>(-0.214*(AG9^2)-21.991*AG9+4665)*(10^(-4))</f>
        <v>0.46650000000000003</v>
      </c>
      <c r="AH10" s="2929">
        <f>(-0.214*(AH9^2)-21.991*AH9+4665)*(10^(-4))</f>
        <v>0.46650000000000003</v>
      </c>
      <c r="AI10" s="2929">
        <f>(-0.214*(AI9^2)-21.991*AI9+4665)*(10^(-4))</f>
        <v>0.46650000000000003</v>
      </c>
      <c r="AJ10" s="2929">
        <f>(-0.214*(AJ9^2)-21.991*AJ9+4665)*(10^(-4))</f>
        <v>0.46650000000000003</v>
      </c>
    </row>
    <row r="11" spans="1:39" ht="15.75" customHeight="1" thickBot="1">
      <c r="A11" s="3718"/>
      <c r="B11" s="1430" t="s">
        <v>943</v>
      </c>
      <c r="C11" s="1046">
        <f>C10/4</f>
        <v>0</v>
      </c>
      <c r="D11" s="1046" t="s">
        <v>944</v>
      </c>
      <c r="E11" s="1046" t="e">
        <f>ROUND(C11/E7,4)</f>
        <v>#DIV/0!</v>
      </c>
      <c r="F11" s="1431" t="s">
        <v>945</v>
      </c>
      <c r="G11" s="1432"/>
      <c r="H11" s="1432"/>
      <c r="I11" s="1432"/>
      <c r="J11" s="1433"/>
      <c r="K11" s="1396"/>
      <c r="L11" s="1881" t="s">
        <v>2248</v>
      </c>
      <c r="M11" s="1882">
        <f>SUMPRODUCT((区片价!B317:B337=I2)*(区片价!C3:F3=E2)*(区片价!C317:F337))</f>
        <v>0</v>
      </c>
      <c r="N11" s="1883">
        <f>SUMPRODUCT((因素修正幅度!B317:B337=I2)*(因素修正幅度!C3:F3=E2)*(因素修正幅度!C317:F337))</f>
        <v>0</v>
      </c>
      <c r="O11" s="2185"/>
      <c r="P11" s="2185"/>
      <c r="Q11" s="2185"/>
      <c r="R11" s="2933">
        <v>10</v>
      </c>
      <c r="S11" s="2922"/>
      <c r="T11" s="2933" t="e">
        <f t="shared" si="0"/>
        <v>#DIV/0!</v>
      </c>
      <c r="U11" s="2922"/>
      <c r="V11" s="2933" t="e">
        <f t="shared" si="1"/>
        <v>#DIV/0!</v>
      </c>
      <c r="W11" s="3726" t="s">
        <v>2780</v>
      </c>
      <c r="X11" s="1045" t="s">
        <v>2765</v>
      </c>
      <c r="Y11" s="1648">
        <f>$G$3</f>
        <v>1.8</v>
      </c>
      <c r="Z11" s="1648">
        <f t="shared" ref="Z11:AJ11" si="3">$G$3</f>
        <v>1.8</v>
      </c>
      <c r="AA11" s="1648">
        <f t="shared" si="3"/>
        <v>1.8</v>
      </c>
      <c r="AB11" s="1648">
        <f t="shared" si="3"/>
        <v>1.8</v>
      </c>
      <c r="AC11" s="1648">
        <f t="shared" si="3"/>
        <v>1.8</v>
      </c>
      <c r="AD11" s="1648">
        <f t="shared" si="3"/>
        <v>1.8</v>
      </c>
      <c r="AE11" s="1648">
        <f t="shared" si="3"/>
        <v>1.8</v>
      </c>
      <c r="AF11" s="1648">
        <f t="shared" si="3"/>
        <v>1.8</v>
      </c>
      <c r="AG11" s="1648">
        <f t="shared" si="3"/>
        <v>1.8</v>
      </c>
      <c r="AH11" s="1648">
        <f t="shared" si="3"/>
        <v>1.8</v>
      </c>
      <c r="AI11" s="1648">
        <f t="shared" si="3"/>
        <v>1.8</v>
      </c>
      <c r="AJ11" s="1648">
        <f t="shared" si="3"/>
        <v>1.8</v>
      </c>
    </row>
    <row r="12" spans="1:39" ht="25.5" thickBot="1">
      <c r="A12" s="3717" t="s">
        <v>1872</v>
      </c>
      <c r="B12" s="1434" t="s">
        <v>946</v>
      </c>
      <c r="C12" s="1040">
        <f>ROUND(C15*D15*E15*F15*G15*H15*I15*J15,4)</f>
        <v>1</v>
      </c>
      <c r="D12" s="1435" t="s">
        <v>947</v>
      </c>
      <c r="E12" s="1436"/>
      <c r="F12" s="1436"/>
      <c r="G12" s="1437"/>
      <c r="H12" s="1437"/>
      <c r="I12" s="1437"/>
      <c r="J12" s="1438"/>
      <c r="K12" s="1396"/>
      <c r="L12" s="1884" t="s">
        <v>2249</v>
      </c>
      <c r="M12" s="1885">
        <f>SUMPRODUCT((区片价!B338:B344=I2)*(区片价!C3:F3=E2)*(区片价!C338:F344))</f>
        <v>0</v>
      </c>
      <c r="N12" s="1886">
        <f>SUMPRODUCT((因素修正幅度!B338:B344=I2)*(因素修正幅度!C3:F3=E2)*(因素修正幅度!C338:F344))</f>
        <v>0</v>
      </c>
      <c r="O12" s="2185"/>
      <c r="P12" s="2185"/>
      <c r="Q12" s="2185"/>
      <c r="R12" s="2933">
        <v>11</v>
      </c>
      <c r="S12" s="2922"/>
      <c r="T12" s="2933" t="e">
        <f t="shared" si="0"/>
        <v>#DIV/0!</v>
      </c>
      <c r="U12" s="2922"/>
      <c r="V12" s="2933" t="e">
        <f t="shared" si="1"/>
        <v>#DIV/0!</v>
      </c>
      <c r="W12" s="3726"/>
      <c r="X12" s="2930" t="s">
        <v>2781</v>
      </c>
      <c r="Y12" s="2928">
        <f t="shared" ref="Y12:AJ12" si="4">Y9</f>
        <v>0</v>
      </c>
      <c r="Z12" s="2928">
        <f t="shared" si="4"/>
        <v>0</v>
      </c>
      <c r="AA12" s="2928">
        <f t="shared" si="4"/>
        <v>0</v>
      </c>
      <c r="AB12" s="2928">
        <f t="shared" si="4"/>
        <v>0</v>
      </c>
      <c r="AC12" s="2928">
        <f t="shared" si="4"/>
        <v>0</v>
      </c>
      <c r="AD12" s="2928">
        <f t="shared" si="4"/>
        <v>0</v>
      </c>
      <c r="AE12" s="2928">
        <f t="shared" si="4"/>
        <v>0</v>
      </c>
      <c r="AF12" s="2928">
        <f t="shared" si="4"/>
        <v>0</v>
      </c>
      <c r="AG12" s="2928">
        <f t="shared" si="4"/>
        <v>0</v>
      </c>
      <c r="AH12" s="2928">
        <f t="shared" si="4"/>
        <v>0</v>
      </c>
      <c r="AI12" s="2928">
        <f t="shared" si="4"/>
        <v>0</v>
      </c>
      <c r="AJ12" s="2928">
        <f t="shared" si="4"/>
        <v>0</v>
      </c>
    </row>
    <row r="13" spans="1:39" ht="24">
      <c r="A13" s="3719"/>
      <c r="B13" s="1439" t="s">
        <v>1697</v>
      </c>
      <c r="C13" s="1440" t="s">
        <v>1698</v>
      </c>
      <c r="D13" s="1086" t="s">
        <v>1699</v>
      </c>
      <c r="E13" s="1086" t="s">
        <v>1700</v>
      </c>
      <c r="F13" s="1441" t="s">
        <v>948</v>
      </c>
      <c r="G13" s="1442" t="s">
        <v>1643</v>
      </c>
      <c r="H13" s="1443" t="s">
        <v>1643</v>
      </c>
      <c r="I13" s="1444" t="s">
        <v>1643</v>
      </c>
      <c r="J13" s="1445" t="s">
        <v>1643</v>
      </c>
      <c r="K13" s="1396"/>
      <c r="L13" s="2185"/>
      <c r="M13" s="2185"/>
      <c r="N13" s="2185"/>
      <c r="O13" s="2185"/>
      <c r="P13" s="2185"/>
      <c r="Q13" s="2185"/>
      <c r="R13" s="2933">
        <v>12</v>
      </c>
      <c r="S13" s="2922"/>
      <c r="T13" s="2933" t="e">
        <f t="shared" si="0"/>
        <v>#DIV/0!</v>
      </c>
      <c r="U13" s="2922"/>
      <c r="V13" s="2933" t="e">
        <f t="shared" si="1"/>
        <v>#DIV/0!</v>
      </c>
      <c r="W13" s="3726"/>
      <c r="X13" s="2930"/>
      <c r="Y13" s="2929">
        <f>(-0.163*(Y12^2)-0.59*Y12+7617)*(10^(-4))/Y11</f>
        <v>0.42316666666666669</v>
      </c>
      <c r="Z13" s="2929">
        <f t="shared" ref="Z13:AJ13" si="5">(-0.163*(Z12^2)-0.59*Z12+7617)*(10^(-4))/Z11</f>
        <v>0.42316666666666669</v>
      </c>
      <c r="AA13" s="2929">
        <f t="shared" si="5"/>
        <v>0.42316666666666669</v>
      </c>
      <c r="AB13" s="2929">
        <f t="shared" si="5"/>
        <v>0.42316666666666669</v>
      </c>
      <c r="AC13" s="2929">
        <f t="shared" si="5"/>
        <v>0.42316666666666669</v>
      </c>
      <c r="AD13" s="2929">
        <f t="shared" si="5"/>
        <v>0.42316666666666669</v>
      </c>
      <c r="AE13" s="2929">
        <f t="shared" si="5"/>
        <v>0.42316666666666669</v>
      </c>
      <c r="AF13" s="2929">
        <f t="shared" si="5"/>
        <v>0.42316666666666669</v>
      </c>
      <c r="AG13" s="2929">
        <f t="shared" si="5"/>
        <v>0.42316666666666669</v>
      </c>
      <c r="AH13" s="2929">
        <f t="shared" si="5"/>
        <v>0.42316666666666669</v>
      </c>
      <c r="AI13" s="2929">
        <f t="shared" si="5"/>
        <v>0.42316666666666669</v>
      </c>
      <c r="AJ13" s="2929">
        <f t="shared" si="5"/>
        <v>0.42316666666666669</v>
      </c>
    </row>
    <row r="14" spans="1:39" ht="12.75" customHeight="1" thickBot="1">
      <c r="A14" s="3719"/>
      <c r="B14" s="1446"/>
      <c r="C14" s="1447"/>
      <c r="D14" s="1448"/>
      <c r="E14" s="1448"/>
      <c r="F14" s="1449"/>
      <c r="G14" s="1450" t="s">
        <v>949</v>
      </c>
      <c r="H14" s="1451"/>
      <c r="I14" s="1452"/>
      <c r="J14" s="1453"/>
      <c r="K14" s="1396"/>
      <c r="L14" s="2185"/>
      <c r="M14" s="2185"/>
      <c r="N14" s="2185"/>
      <c r="O14" s="2185"/>
      <c r="P14" s="2185"/>
      <c r="Q14" s="2185"/>
      <c r="R14" s="2933">
        <v>13</v>
      </c>
      <c r="S14" s="2922"/>
      <c r="T14" s="2933" t="e">
        <f t="shared" si="0"/>
        <v>#DIV/0!</v>
      </c>
      <c r="U14" s="2922"/>
      <c r="V14" s="2933" t="e">
        <f t="shared" si="1"/>
        <v>#DIV/0!</v>
      </c>
      <c r="W14" s="2185"/>
      <c r="X14" s="2185"/>
      <c r="Y14" s="2185"/>
      <c r="Z14" s="2185"/>
      <c r="AA14" s="2185"/>
      <c r="AB14" s="2185"/>
      <c r="AC14" s="2186"/>
    </row>
    <row r="15" spans="1:39" ht="13.5" customHeight="1" thickBot="1">
      <c r="A15" s="3720"/>
      <c r="B15" s="1454" t="s">
        <v>1701</v>
      </c>
      <c r="C15" s="1048">
        <f>IF(C14="有",1.1,1)</f>
        <v>1</v>
      </c>
      <c r="D15" s="1048">
        <f>IF(D14="有",1.1,1)</f>
        <v>1</v>
      </c>
      <c r="E15" s="1048">
        <f>IF(E14="有",1.1,1)</f>
        <v>1</v>
      </c>
      <c r="F15" s="1048">
        <f>IF(F14="500米范围内",1.2,IF(F14="500-1000米",1.1,1))</f>
        <v>1</v>
      </c>
      <c r="G15" s="1049">
        <v>1</v>
      </c>
      <c r="H15" s="1049">
        <v>1</v>
      </c>
      <c r="I15" s="1049">
        <v>1</v>
      </c>
      <c r="J15" s="1050">
        <v>1</v>
      </c>
      <c r="K15" s="1396"/>
      <c r="L15" s="1593" t="s">
        <v>898</v>
      </c>
      <c r="M15" s="1423" t="s">
        <v>984</v>
      </c>
      <c r="N15" s="1423" t="s">
        <v>985</v>
      </c>
      <c r="O15" s="1423" t="s">
        <v>902</v>
      </c>
      <c r="P15" s="1471" t="s">
        <v>986</v>
      </c>
      <c r="Q15" s="2185"/>
      <c r="R15" s="2933">
        <v>14</v>
      </c>
      <c r="S15" s="2922"/>
      <c r="T15" s="2933" t="e">
        <f t="shared" si="0"/>
        <v>#DIV/0!</v>
      </c>
      <c r="U15" s="2922"/>
      <c r="V15" s="2933" t="e">
        <f t="shared" si="1"/>
        <v>#DIV/0!</v>
      </c>
      <c r="W15" s="2185"/>
      <c r="X15" s="2185"/>
      <c r="Y15" s="2185"/>
      <c r="Z15" s="2185"/>
      <c r="AA15" s="2185"/>
      <c r="AB15" s="2185"/>
      <c r="AC15" s="2186"/>
    </row>
    <row r="16" spans="1:39" ht="24">
      <c r="A16" s="3717" t="s">
        <v>1839</v>
      </c>
      <c r="B16" s="1422" t="s">
        <v>950</v>
      </c>
      <c r="C16" s="1051" t="e">
        <f>ROUND(SUM(G17:J17)/C17,0)</f>
        <v>#DIV/0!</v>
      </c>
      <c r="D16" s="1455" t="s">
        <v>951</v>
      </c>
      <c r="E16" s="1456"/>
      <c r="F16" s="1457"/>
      <c r="G16" s="1458"/>
      <c r="H16" s="1458"/>
      <c r="I16" s="1458"/>
      <c r="J16" s="1458"/>
      <c r="K16" s="1396"/>
      <c r="L16" s="1459" t="s">
        <v>988</v>
      </c>
      <c r="M16" s="1044">
        <v>0.25</v>
      </c>
      <c r="N16" s="1044">
        <v>0.2</v>
      </c>
      <c r="O16" s="1044">
        <v>0.15</v>
      </c>
      <c r="P16" s="1534">
        <v>0.1</v>
      </c>
      <c r="Q16" s="2188"/>
      <c r="R16" s="2933">
        <v>15</v>
      </c>
      <c r="S16" s="2922"/>
      <c r="T16" s="2933" t="e">
        <f t="shared" si="0"/>
        <v>#DIV/0!</v>
      </c>
      <c r="U16" s="2922"/>
      <c r="V16" s="2933" t="e">
        <f t="shared" si="1"/>
        <v>#DIV/0!</v>
      </c>
      <c r="W16" s="2188"/>
      <c r="X16" s="2188"/>
      <c r="Y16" s="2188"/>
      <c r="Z16" s="2188"/>
      <c r="AA16" s="2188"/>
      <c r="AB16" s="2188"/>
      <c r="AC16" s="2189"/>
    </row>
    <row r="17" spans="1:40" ht="13.5" thickBot="1">
      <c r="A17" s="3718"/>
      <c r="B17" s="1460" t="s">
        <v>953</v>
      </c>
      <c r="C17" s="1052">
        <f>SUMPRODUCT((修正!A2:A5=E2)*(修正!B1:M1=G2)*(修正!B2:M5))</f>
        <v>0</v>
      </c>
      <c r="D17" s="1462" t="s">
        <v>954</v>
      </c>
      <c r="E17" s="1463" t="str">
        <f>IF(OR(G2="八级",G2="九级",G2="十级",G2="十一级",G2="十二级"),"五通一平","七通一平")</f>
        <v>七通一平</v>
      </c>
      <c r="F17" s="1461" t="s">
        <v>955</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6"/>
      <c r="L17" s="1464" t="s">
        <v>974</v>
      </c>
      <c r="M17" s="1535">
        <f ca="1">ROUND($E$20*(1+M16),3)</f>
        <v>5.3999999999999999E-2</v>
      </c>
      <c r="N17" s="1535">
        <f ca="1">ROUND($E$20*(1+N16),3)</f>
        <v>5.1999999999999998E-2</v>
      </c>
      <c r="O17" s="1535">
        <f ca="1">ROUND($E$20*(1+O16),3)</f>
        <v>0.05</v>
      </c>
      <c r="P17" s="1536">
        <f ca="1">ROUND($E$20*(1+P16),3)</f>
        <v>4.8000000000000001E-2</v>
      </c>
      <c r="Q17" s="2188"/>
      <c r="R17" s="2189"/>
      <c r="S17" s="2189"/>
      <c r="T17" s="2189"/>
      <c r="U17" s="2189"/>
      <c r="V17" s="2189"/>
      <c r="W17" s="2188"/>
      <c r="X17" s="2188"/>
      <c r="Y17" s="2188"/>
      <c r="Z17" s="2188"/>
      <c r="AA17" s="2188"/>
      <c r="AB17" s="2188"/>
      <c r="AC17" s="2189"/>
      <c r="AH17" s="1397"/>
      <c r="AI17" s="1397"/>
      <c r="AJ17" s="1400"/>
      <c r="AK17" s="1400"/>
      <c r="AL17" s="1400"/>
      <c r="AM17" s="1400"/>
    </row>
    <row r="18" spans="1:40" s="1416" customFormat="1" ht="15.75" thickBot="1">
      <c r="A18" s="1636" t="s">
        <v>1830</v>
      </c>
      <c r="B18" s="2768" t="s">
        <v>956</v>
      </c>
      <c r="C18" s="2769">
        <f>SUMIF(修正!C18:C39,E3,修正!E18:E39)</f>
        <v>0</v>
      </c>
      <c r="D18" s="2770"/>
      <c r="E18" s="2771"/>
      <c r="F18" s="2772"/>
      <c r="G18" s="2766"/>
      <c r="H18" s="2766"/>
      <c r="I18" s="2766"/>
      <c r="J18" s="2773"/>
      <c r="K18" s="1476"/>
      <c r="L18" s="1476"/>
      <c r="M18" s="1476"/>
      <c r="N18" s="1476"/>
      <c r="O18" s="1592"/>
      <c r="P18" s="1592"/>
      <c r="Q18" s="2190"/>
      <c r="R18" s="2190"/>
      <c r="S18" s="2190"/>
      <c r="T18" s="2190"/>
      <c r="U18" s="2190"/>
      <c r="V18" s="2190"/>
      <c r="W18" s="2189"/>
      <c r="X18" s="2189"/>
      <c r="Y18" s="2189"/>
      <c r="Z18" s="2189"/>
      <c r="AA18" s="2188"/>
      <c r="AB18" s="2188"/>
      <c r="AC18" s="2191"/>
      <c r="AD18" s="1467"/>
      <c r="AE18" s="1467"/>
      <c r="AF18" s="1467"/>
      <c r="AG18" s="1467"/>
      <c r="AH18" s="1398"/>
      <c r="AI18" s="1398"/>
      <c r="AJ18" s="1399"/>
      <c r="AK18" s="1399"/>
      <c r="AL18" s="1399"/>
    </row>
    <row r="19" spans="1:40" s="1416" customFormat="1" ht="27.75" thickBot="1">
      <c r="A19" s="1635" t="s">
        <v>1836</v>
      </c>
      <c r="B19" s="1465" t="s">
        <v>957</v>
      </c>
      <c r="C19" s="1054" t="e">
        <f>ROUND(IF(H19="按公示增长率计算",SUMPRODUCT((地价!A3:A23=YEAR(G19)&amp;"-"&amp;ROUNDUP(MONTH(G19)/3,0))*(地价!X2:AB2=E2)*(地价!X3:AB23)),IF(H19="地价指数",M20/M19,(1+I19)^O19)),4)</f>
        <v>#DIV/0!</v>
      </c>
      <c r="D19" s="1469" t="s">
        <v>958</v>
      </c>
      <c r="E19" s="1055">
        <v>41640</v>
      </c>
      <c r="F19" s="1469" t="s">
        <v>959</v>
      </c>
      <c r="G19" s="1056">
        <f>'数据-取费表'!B2</f>
        <v>43346</v>
      </c>
      <c r="H19" s="1470" t="s">
        <v>2936</v>
      </c>
      <c r="I19" s="2780" t="str">
        <f>IF(H19="季度增幅（自定义）",SUMIF(N21:N24,E2,O21:O24),"")</f>
        <v/>
      </c>
      <c r="J19" s="1466"/>
      <c r="K19" s="1476"/>
      <c r="L19" s="3035" t="s">
        <v>2840</v>
      </c>
      <c r="M19" s="3036">
        <f>ROUND(SUMIF(地价!B2:F2,E2,地价!B23:F23),0)</f>
        <v>0</v>
      </c>
      <c r="N19" s="2782" t="s">
        <v>1677</v>
      </c>
      <c r="O19" s="2781">
        <f>ROUNDDOWN(DATEDIF(E19,G19,"M")/3,0)</f>
        <v>18</v>
      </c>
      <c r="P19" s="1591"/>
      <c r="R19" s="2921"/>
      <c r="S19" s="2921"/>
      <c r="T19" s="2921"/>
      <c r="U19" s="2921"/>
      <c r="V19" s="2921"/>
      <c r="W19" s="2191"/>
      <c r="X19" s="2191"/>
      <c r="Y19" s="2191"/>
      <c r="Z19" s="2191"/>
      <c r="AA19" s="2191"/>
      <c r="AB19" s="2191"/>
      <c r="AC19" s="2191"/>
      <c r="AD19" s="1398"/>
      <c r="AE19" s="1398"/>
      <c r="AF19" s="1398"/>
      <c r="AG19" s="1398"/>
      <c r="AH19" s="1467"/>
      <c r="AI19" s="1468"/>
      <c r="AJ19" s="1472"/>
      <c r="AK19" s="1399"/>
      <c r="AL19" s="1415"/>
      <c r="AM19" s="1415"/>
      <c r="AN19" s="1415"/>
    </row>
    <row r="20" spans="1:40" s="1416" customFormat="1" ht="27.75" thickBot="1">
      <c r="A20" s="2774" t="s">
        <v>1837</v>
      </c>
      <c r="B20" s="2775" t="s">
        <v>972</v>
      </c>
      <c r="C20" s="2776" t="e">
        <f>ROUND(POWER(1+G20,J20-I20)*(POWER(1+G20,I20)-1)/(POWER(1+G20,J20)-1),4)</f>
        <v>#DIV/0!</v>
      </c>
      <c r="D20" s="2777" t="s">
        <v>973</v>
      </c>
      <c r="E20" s="3091">
        <f ca="1">存贷款利率!I4/100</f>
        <v>4.3499999999999997E-2</v>
      </c>
      <c r="F20" s="2777" t="s">
        <v>974</v>
      </c>
      <c r="G20" s="2778">
        <f>SUMIF(M15:P15,E2,M17:P17)</f>
        <v>0</v>
      </c>
      <c r="H20" s="2777" t="s">
        <v>975</v>
      </c>
      <c r="I20" s="2767" t="e">
        <f>SUMIF('数据-取费表'!C6:C15,E2,'数据-取费表'!F6:F15)/COUNTIF('数据-取费表'!C6:C15,E2)</f>
        <v>#DIV/0!</v>
      </c>
      <c r="J20" s="2779">
        <f>IF(E2="住宅",70,IF(E2="商业",40,50))</f>
        <v>50</v>
      </c>
      <c r="K20" s="1476"/>
      <c r="L20" s="3037" t="s">
        <v>2841</v>
      </c>
      <c r="M20" s="3038">
        <f>ROUND(SUMPRODUCT((地价!A4:A23=YEAR(G19)&amp;"-"&amp;ROUNDUP(MONTH(G19)/3,0))*(地价!B2:F2=E2)*(地价!B4:F23)),0)</f>
        <v>0</v>
      </c>
      <c r="N20" s="2785" t="s">
        <v>2645</v>
      </c>
      <c r="O20" s="2783" t="s">
        <v>2644</v>
      </c>
      <c r="P20" s="2784" t="s">
        <v>2649</v>
      </c>
      <c r="R20" s="2921"/>
      <c r="S20" s="2921"/>
      <c r="T20" s="2921"/>
      <c r="U20" s="2921"/>
      <c r="V20" s="2921"/>
      <c r="W20" s="2191"/>
      <c r="X20" s="2191"/>
      <c r="Y20" s="2191"/>
      <c r="Z20" s="2191"/>
      <c r="AA20" s="2191"/>
      <c r="AB20" s="2191"/>
      <c r="AC20" s="2191"/>
      <c r="AD20" s="1467"/>
      <c r="AE20" s="1467"/>
      <c r="AF20" s="1467"/>
      <c r="AG20" s="1467"/>
      <c r="AH20" s="1467"/>
      <c r="AI20" s="1467"/>
    </row>
    <row r="21" spans="1:40" s="1416" customFormat="1" ht="14.25">
      <c r="A21" s="1637" t="s">
        <v>1838</v>
      </c>
      <c r="B21" s="1475" t="s">
        <v>2760</v>
      </c>
      <c r="C21" s="1155">
        <f>IF(B21="容积率修正",IF(G3&lt;=10,D22,J22),C23)</f>
        <v>0</v>
      </c>
      <c r="D21" s="1476"/>
      <c r="E21" s="1476"/>
      <c r="F21" s="1476"/>
      <c r="G21" s="1476"/>
      <c r="H21" s="1476"/>
      <c r="I21" s="1476"/>
      <c r="J21" s="1477"/>
      <c r="K21" s="1476"/>
      <c r="L21" s="1476"/>
      <c r="M21" s="1476"/>
      <c r="N21" s="1473" t="s">
        <v>976</v>
      </c>
      <c r="O21" s="1537"/>
      <c r="P21" s="2765">
        <f>SUMPRODUCT((地价!A3:A23=YEAR(G19)&amp;"-"&amp;ROUNDUP(MONTH(G19)/3,0))*(地价!AD2:AH2=N21)*(地价!AD3:AH23))</f>
        <v>1.54E-2</v>
      </c>
      <c r="R21" s="2921"/>
      <c r="S21" s="2921"/>
      <c r="T21" s="2921"/>
      <c r="U21" s="2921"/>
      <c r="V21" s="2921"/>
      <c r="W21" s="2191"/>
      <c r="X21" s="2191"/>
      <c r="Y21" s="2191"/>
      <c r="Z21" s="2191"/>
      <c r="AA21" s="2191"/>
      <c r="AB21" s="2191"/>
      <c r="AC21" s="2191"/>
      <c r="AD21" s="1398"/>
      <c r="AE21" s="1398"/>
      <c r="AF21" s="1398"/>
      <c r="AG21" s="1398"/>
      <c r="AH21" s="1467"/>
      <c r="AI21" s="1467"/>
    </row>
    <row r="22" spans="1:40" s="1416" customFormat="1" ht="14.25">
      <c r="A22" s="1638" t="s">
        <v>1871</v>
      </c>
      <c r="B22" s="1478" t="s">
        <v>977</v>
      </c>
      <c r="C22" s="1057" t="s">
        <v>1703</v>
      </c>
      <c r="D22" s="1057" t="b">
        <f>IF(E22=G22,F22,IF(G3&lt;=10,ROUND(F22+(H22-F22)*(G3-E22)/(G22-E22),4),"——"))</f>
        <v>0</v>
      </c>
      <c r="E22" s="1036">
        <f>ROUNDDOWN(G3,1)</f>
        <v>1.8</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1.8</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978</v>
      </c>
      <c r="J22" s="1057" t="str">
        <f>IF(G3&gt;10,D113,"——")</f>
        <v>——</v>
      </c>
      <c r="K22" s="1476"/>
      <c r="L22" s="1476"/>
      <c r="M22" s="1476"/>
      <c r="N22" s="1473" t="s">
        <v>979</v>
      </c>
      <c r="O22" s="1537"/>
      <c r="P22" s="2765">
        <f>SUMPRODUCT((地价!A3:A23=YEAR(G19)&amp;"-"&amp;ROUNDUP(MONTH(G19)/3,0))*(地价!AD2:AH2=N22)*(地价!AD3:AH23))</f>
        <v>1.54E-2</v>
      </c>
      <c r="R22" s="2921"/>
      <c r="S22" s="2921"/>
      <c r="T22" s="2921"/>
      <c r="U22" s="2921"/>
      <c r="V22" s="2921"/>
      <c r="W22" s="2191"/>
      <c r="X22" s="2191"/>
      <c r="Y22" s="2191"/>
      <c r="Z22" s="2191"/>
      <c r="AA22" s="2191"/>
      <c r="AB22" s="2191"/>
      <c r="AC22" s="2191"/>
      <c r="AD22" s="1467"/>
      <c r="AE22" s="1467"/>
      <c r="AF22" s="1467"/>
      <c r="AG22" s="1467"/>
      <c r="AH22" s="1467"/>
      <c r="AI22" s="1467"/>
    </row>
    <row r="23" spans="1:40" ht="27.75" thickBot="1">
      <c r="A23" s="1638" t="s">
        <v>1872</v>
      </c>
      <c r="B23" s="1478" t="s">
        <v>980</v>
      </c>
      <c r="C23" s="1058">
        <f>ROUND(IF(G3&gt;1,IF(I3&lt;7,SUMPRODUCT((B93:B98=I3)*(C92:N92=G2)*(C93:N98)),SUMIF(C92:N92,G2,C100:N100)),IF(I3&lt;7,SUMPRODUCT((B102:B107=I3)*(C92:N92=G2)*(C102:N107)),SUMIF(C92:N92,G2,C109:N109))),4)</f>
        <v>0</v>
      </c>
      <c r="D23" s="1525"/>
      <c r="E23" s="1525"/>
      <c r="F23" s="1526"/>
      <c r="G23" s="1527"/>
      <c r="H23" s="1528"/>
      <c r="I23" s="1529"/>
      <c r="J23" s="1529"/>
      <c r="K23" s="1396"/>
      <c r="L23" s="1396"/>
      <c r="M23" s="1396"/>
      <c r="N23" s="1473" t="s">
        <v>923</v>
      </c>
      <c r="O23" s="1537"/>
      <c r="P23" s="2765">
        <f>SUMPRODUCT((地价!A3:A23=YEAR(G19)&amp;"-"&amp;ROUNDUP(MONTH(G19)/3,0))*(地价!AD2:AH2=N23)*(地价!AD3:AH23))</f>
        <v>2.4500000000000001E-2</v>
      </c>
      <c r="R23" s="2921"/>
      <c r="S23" s="2921"/>
      <c r="T23" s="2921"/>
      <c r="U23" s="2921"/>
      <c r="V23" s="2921"/>
      <c r="W23" s="2191"/>
      <c r="X23" s="2191"/>
      <c r="Y23" s="2191"/>
      <c r="Z23" s="2191"/>
      <c r="AA23" s="2191"/>
      <c r="AB23" s="2191"/>
      <c r="AC23" s="2191"/>
      <c r="AN23" s="1399"/>
    </row>
    <row r="24" spans="1:40" s="1416" customFormat="1" ht="15.75" thickBot="1">
      <c r="A24" s="1636" t="s">
        <v>1873</v>
      </c>
      <c r="B24" s="1410" t="s">
        <v>981</v>
      </c>
      <c r="C24" s="1059">
        <f>SUMIF(A44:A87,E2,B44:B87)</f>
        <v>0</v>
      </c>
      <c r="D24" s="1530"/>
      <c r="E24" s="1531"/>
      <c r="F24" s="1531"/>
      <c r="G24" s="1531"/>
      <c r="H24" s="1531"/>
      <c r="I24" s="1531"/>
      <c r="J24" s="1531"/>
      <c r="K24" s="1476"/>
      <c r="L24" s="1476"/>
      <c r="M24" s="1476"/>
      <c r="N24" s="1479" t="s">
        <v>982</v>
      </c>
      <c r="O24" s="1538"/>
      <c r="P24" s="1536">
        <f>SUMPRODUCT((地价!A3:A23=YEAR(G19)&amp;"-"&amp;ROUNDUP(MONTH(G19)/3,0))*(地价!AD2:AH2=N24)*(地价!AD3:AH23))</f>
        <v>1.41E-2</v>
      </c>
      <c r="R24" s="2921"/>
      <c r="S24" s="2921"/>
      <c r="T24" s="2921"/>
      <c r="U24" s="2921"/>
      <c r="V24" s="2921"/>
      <c r="W24" s="2191"/>
      <c r="X24" s="2191"/>
      <c r="Y24" s="2191"/>
      <c r="Z24" s="2191"/>
      <c r="AA24" s="2191"/>
      <c r="AB24" s="2191"/>
      <c r="AC24" s="2191"/>
      <c r="AD24" s="1467"/>
      <c r="AE24" s="1467"/>
      <c r="AF24" s="1467"/>
      <c r="AG24" s="1467"/>
      <c r="AH24" s="1467"/>
      <c r="AI24" s="1467"/>
    </row>
    <row r="25" spans="1:40" ht="15" thickBot="1">
      <c r="A25" s="1636" t="s">
        <v>1874</v>
      </c>
      <c r="B25" s="1481" t="s">
        <v>983</v>
      </c>
      <c r="C25" s="1482"/>
      <c r="D25" s="1425"/>
      <c r="E25" s="1425"/>
      <c r="F25" s="1483"/>
      <c r="G25" s="1425"/>
      <c r="H25" s="1425"/>
      <c r="I25" s="1425"/>
      <c r="J25" s="1426"/>
      <c r="K25" s="1396"/>
      <c r="L25" s="2191"/>
      <c r="M25" s="2191"/>
      <c r="N25" s="2793" t="s">
        <v>2647</v>
      </c>
      <c r="O25" s="2191"/>
      <c r="P25" s="1536">
        <f>SUMPRODUCT((地价!A3:A23=YEAR(G19)&amp;"-"&amp;ROUNDUP(MONTH(G19)/3,0))*(地价!AD2:AH2=N25)*(地价!AD3:AH23))</f>
        <v>2.23E-2</v>
      </c>
      <c r="R25" s="2921"/>
      <c r="S25" s="2921"/>
      <c r="T25" s="2921"/>
      <c r="U25" s="2921"/>
      <c r="V25" s="2921"/>
      <c r="W25" s="2191"/>
      <c r="X25" s="2191"/>
      <c r="Y25" s="2191"/>
      <c r="Z25" s="2191"/>
      <c r="AA25" s="2191"/>
      <c r="AB25" s="2191"/>
      <c r="AC25" s="2191"/>
    </row>
    <row r="26" spans="1:40" ht="14.25">
      <c r="A26" s="1484"/>
      <c r="B26" s="1478" t="s">
        <v>987</v>
      </c>
      <c r="C26" s="1060" t="e">
        <f>E29+SUM(E33:E39)</f>
        <v>#DIV/0!</v>
      </c>
      <c r="D26" s="1485"/>
      <c r="E26" s="1451"/>
      <c r="F26" s="1486"/>
      <c r="G26" s="1451"/>
      <c r="H26" s="1451"/>
      <c r="I26" s="1451"/>
      <c r="J26" s="1487"/>
      <c r="K26" s="1396"/>
      <c r="L26" s="2191"/>
      <c r="M26" s="2191"/>
      <c r="N26" s="2191"/>
      <c r="O26" s="2191"/>
      <c r="P26" s="2191"/>
      <c r="Q26" s="2191"/>
      <c r="R26" s="2921"/>
      <c r="S26" s="2921"/>
      <c r="T26" s="2921"/>
      <c r="U26" s="2921"/>
      <c r="V26" s="2921"/>
      <c r="W26" s="2191"/>
      <c r="X26" s="2191"/>
      <c r="Y26" s="2191"/>
      <c r="Z26" s="2191"/>
      <c r="AA26" s="2191"/>
      <c r="AB26" s="2191"/>
      <c r="AC26" s="2191"/>
      <c r="AD26" s="1467"/>
      <c r="AE26" s="1467"/>
      <c r="AF26" s="1467"/>
      <c r="AG26" s="1467"/>
    </row>
    <row r="27" spans="1:40" ht="15" thickBot="1">
      <c r="A27" s="1484"/>
      <c r="B27" s="1488" t="s">
        <v>989</v>
      </c>
      <c r="C27" s="1061" t="e">
        <f>E30+SUM(I33:I39)</f>
        <v>#DIV/0!</v>
      </c>
      <c r="D27" s="1489"/>
      <c r="E27" s="1490"/>
      <c r="F27" s="1491"/>
      <c r="G27" s="1490"/>
      <c r="H27" s="1490"/>
      <c r="I27" s="1490"/>
      <c r="J27" s="1492"/>
      <c r="K27" s="1396"/>
      <c r="L27" s="2191"/>
      <c r="M27" s="2191"/>
      <c r="N27" s="2191"/>
      <c r="O27" s="2191"/>
      <c r="P27" s="2191"/>
      <c r="Q27" s="2191"/>
      <c r="R27" s="2921"/>
      <c r="S27" s="2921"/>
      <c r="T27" s="2921"/>
      <c r="U27" s="2921"/>
      <c r="V27" s="2921"/>
      <c r="W27" s="2191"/>
      <c r="X27" s="2191"/>
      <c r="Y27" s="2191"/>
      <c r="Z27" s="2191"/>
      <c r="AA27" s="2191"/>
      <c r="AB27" s="2191"/>
      <c r="AC27" s="2191"/>
    </row>
    <row r="28" spans="1:40" ht="14.25">
      <c r="A28" s="1480"/>
      <c r="B28" s="1493" t="s">
        <v>990</v>
      </c>
      <c r="C28" s="1494" t="s">
        <v>991</v>
      </c>
      <c r="D28" s="1494" t="s">
        <v>992</v>
      </c>
      <c r="E28" s="1495" t="s">
        <v>993</v>
      </c>
      <c r="F28" s="1496"/>
      <c r="G28" s="1437"/>
      <c r="H28" s="1437"/>
      <c r="I28" s="1437"/>
      <c r="J28" s="1438"/>
      <c r="K28" s="1396"/>
      <c r="L28" s="2191"/>
      <c r="M28" s="2191"/>
      <c r="N28" s="2191"/>
      <c r="O28" s="2191"/>
      <c r="P28" s="2191"/>
      <c r="Q28" s="2191"/>
      <c r="R28" s="2921"/>
      <c r="S28" s="2921"/>
      <c r="T28" s="2921"/>
      <c r="U28" s="2921"/>
      <c r="V28" s="2921"/>
      <c r="W28" s="2191"/>
      <c r="X28" s="2191"/>
      <c r="Y28" s="2191"/>
      <c r="Z28" s="2191"/>
      <c r="AA28" s="2191"/>
      <c r="AB28" s="2191"/>
      <c r="AC28" s="2191"/>
      <c r="AD28" s="1467"/>
      <c r="AE28" s="1467"/>
      <c r="AF28" s="1467"/>
      <c r="AG28" s="1467"/>
    </row>
    <row r="29" spans="1:40" ht="24">
      <c r="A29" s="1497"/>
      <c r="B29" s="1498" t="s">
        <v>994</v>
      </c>
      <c r="C29" s="1060" t="e">
        <f>ROUND(C5*C18*C19*C20*C21*C24,0)</f>
        <v>#DIV/0!</v>
      </c>
      <c r="D29" s="1499"/>
      <c r="E29" s="1845" t="e">
        <f>ROUND(C29*D29/10000,0)</f>
        <v>#DIV/0!</v>
      </c>
      <c r="F29" s="1500" t="s">
        <v>1702</v>
      </c>
      <c r="G29" s="1501"/>
      <c r="H29" s="1501"/>
      <c r="I29" s="1501"/>
      <c r="J29" s="1502"/>
      <c r="K29" s="1396"/>
      <c r="L29" s="2191"/>
      <c r="M29" s="2191"/>
      <c r="N29" s="2191"/>
      <c r="O29" s="2191"/>
      <c r="P29" s="2191"/>
      <c r="Q29" s="2191"/>
      <c r="R29" s="2921"/>
      <c r="S29" s="2921"/>
      <c r="T29" s="2921"/>
      <c r="U29" s="2921"/>
      <c r="V29" s="2921"/>
      <c r="W29" s="2191"/>
      <c r="X29" s="2191"/>
      <c r="Y29" s="2191"/>
      <c r="Z29" s="2191"/>
      <c r="AA29" s="2191"/>
      <c r="AB29" s="2191"/>
      <c r="AC29" s="2191"/>
      <c r="AH29" s="1397"/>
      <c r="AI29" s="1397"/>
      <c r="AJ29" s="1400"/>
      <c r="AK29" s="1400"/>
      <c r="AL29" s="1400"/>
      <c r="AM29" s="1400"/>
    </row>
    <row r="30" spans="1:40" ht="24.75" thickBot="1">
      <c r="A30" s="1503"/>
      <c r="B30" s="1504" t="s">
        <v>995</v>
      </c>
      <c r="C30" s="1048" t="e">
        <f>ROUND(IF(E2="工业",C29*M39,C29*M38),0)</f>
        <v>#DIV/0!</v>
      </c>
      <c r="D30" s="1505"/>
      <c r="E30" s="1845" t="e">
        <f>ROUND(C30*D30/10000,0)</f>
        <v>#DIV/0!</v>
      </c>
      <c r="F30" s="1506" t="s">
        <v>996</v>
      </c>
      <c r="G30" s="1507"/>
      <c r="H30" s="1507"/>
      <c r="I30" s="1507"/>
      <c r="J30" s="1508"/>
      <c r="K30" s="1396"/>
      <c r="L30" s="2185"/>
      <c r="M30" s="2185"/>
      <c r="N30" s="2185"/>
      <c r="O30" s="2185"/>
      <c r="P30" s="2185"/>
      <c r="Q30" s="2185"/>
      <c r="R30" s="2186"/>
      <c r="S30" s="2186"/>
      <c r="T30" s="2186"/>
      <c r="U30" s="2186"/>
      <c r="V30" s="2186"/>
      <c r="W30" s="2185"/>
      <c r="X30" s="2185"/>
      <c r="Y30" s="2185"/>
      <c r="Z30" s="2185"/>
      <c r="AA30" s="2185"/>
      <c r="AB30" s="2185"/>
      <c r="AC30" s="2185"/>
      <c r="AD30" s="1467"/>
      <c r="AE30" s="1467"/>
      <c r="AF30" s="1467"/>
      <c r="AG30" s="1467"/>
      <c r="AH30" s="1397"/>
      <c r="AI30" s="1397"/>
      <c r="AJ30" s="1400"/>
      <c r="AK30" s="1400"/>
      <c r="AL30" s="1400"/>
      <c r="AM30" s="1400"/>
    </row>
    <row r="31" spans="1:40">
      <c r="A31" s="1509"/>
      <c r="B31" s="1510" t="s">
        <v>997</v>
      </c>
      <c r="C31" s="1511" t="s">
        <v>998</v>
      </c>
      <c r="D31" s="1437"/>
      <c r="E31" s="1511"/>
      <c r="F31" s="1511"/>
      <c r="G31" s="1435" t="s">
        <v>996</v>
      </c>
      <c r="H31" s="1437"/>
      <c r="I31" s="1512"/>
      <c r="J31" s="1438"/>
      <c r="K31" s="1396"/>
      <c r="L31" s="2185"/>
      <c r="M31" s="2185"/>
      <c r="N31" s="2185"/>
      <c r="O31" s="2185"/>
      <c r="P31" s="2185"/>
      <c r="Q31" s="2185"/>
      <c r="R31" s="2186"/>
      <c r="S31" s="2186"/>
      <c r="T31" s="2186"/>
      <c r="U31" s="2186"/>
      <c r="V31" s="2186"/>
      <c r="W31" s="2185"/>
      <c r="X31" s="2185"/>
      <c r="Y31" s="2185"/>
      <c r="Z31" s="2185"/>
      <c r="AA31" s="2185"/>
      <c r="AB31" s="2185"/>
      <c r="AC31" s="2185"/>
      <c r="AH31" s="1397"/>
      <c r="AI31" s="1397"/>
      <c r="AJ31" s="1400"/>
      <c r="AK31" s="1400"/>
      <c r="AL31" s="1400"/>
      <c r="AM31" s="1400"/>
    </row>
    <row r="32" spans="1:40" ht="24">
      <c r="A32" s="1497"/>
      <c r="B32" s="1513"/>
      <c r="C32" s="1514" t="s">
        <v>991</v>
      </c>
      <c r="D32" s="1515" t="s">
        <v>992</v>
      </c>
      <c r="E32" s="1515" t="s">
        <v>993</v>
      </c>
      <c r="F32" s="1516" t="s">
        <v>999</v>
      </c>
      <c r="G32" s="1474" t="s">
        <v>991</v>
      </c>
      <c r="H32" s="1474" t="s">
        <v>992</v>
      </c>
      <c r="I32" s="1474" t="s">
        <v>993</v>
      </c>
      <c r="J32" s="1517"/>
      <c r="K32" s="1396"/>
      <c r="L32" s="2185"/>
      <c r="M32" s="2185"/>
      <c r="N32" s="2185"/>
      <c r="O32" s="2185"/>
      <c r="P32" s="2185"/>
      <c r="Q32" s="2185"/>
      <c r="R32" s="2186"/>
      <c r="S32" s="2186"/>
      <c r="T32" s="2186"/>
      <c r="U32" s="2186"/>
      <c r="V32" s="2186"/>
      <c r="W32" s="2185"/>
      <c r="X32" s="2185"/>
      <c r="Y32" s="2185"/>
      <c r="Z32" s="2185"/>
      <c r="AA32" s="2185"/>
      <c r="AB32" s="2185"/>
      <c r="AC32" s="2185"/>
      <c r="AD32" s="1397"/>
      <c r="AE32" s="1397"/>
      <c r="AF32" s="1397"/>
      <c r="AG32" s="1397"/>
      <c r="AH32" s="1397"/>
      <c r="AI32" s="1397"/>
      <c r="AJ32" s="1400"/>
      <c r="AK32" s="1400"/>
      <c r="AL32" s="1400"/>
      <c r="AM32" s="1400"/>
    </row>
    <row r="33" spans="1:40" ht="12.75">
      <c r="A33" s="3723" t="s">
        <v>2962</v>
      </c>
      <c r="B33" s="1519" t="s">
        <v>1000</v>
      </c>
      <c r="C33" s="1060" t="e">
        <f>ROUND(D5*C19*C20*C24*F33,0)</f>
        <v>#DIV/0!</v>
      </c>
      <c r="D33" s="1532"/>
      <c r="E33" s="1045" t="e">
        <f>ROUND(C33*D33/10000,0)</f>
        <v>#DIV/0!</v>
      </c>
      <c r="F33" s="1045">
        <f>SUMIF(修正!A45:A56,G2,修正!B45:B56)</f>
        <v>0</v>
      </c>
      <c r="G33" s="1045" t="e">
        <f t="shared" ref="G33" si="6">ROUND(IF(E2="工业",C33*$M$39,C33*$M$38),0)</f>
        <v>#DIV/0!</v>
      </c>
      <c r="H33" s="1045">
        <f>D33</f>
        <v>0</v>
      </c>
      <c r="I33" s="1045" t="e">
        <f>ROUND(G33*H33/10000,0)</f>
        <v>#DIV/0!</v>
      </c>
      <c r="J33" s="1520"/>
      <c r="K33" s="1396"/>
      <c r="L33" s="2185"/>
      <c r="M33" s="2185"/>
      <c r="N33" s="2185"/>
      <c r="O33" s="2185"/>
      <c r="P33" s="2185"/>
      <c r="Q33" s="2185"/>
      <c r="R33" s="2186"/>
      <c r="S33" s="2186"/>
      <c r="T33" s="2186"/>
      <c r="U33" s="2186"/>
      <c r="V33" s="2186"/>
      <c r="W33" s="2185"/>
      <c r="X33" s="2185"/>
      <c r="Y33" s="2185"/>
      <c r="Z33" s="2185"/>
      <c r="AA33" s="2185"/>
      <c r="AB33" s="2185"/>
      <c r="AC33" s="2186"/>
    </row>
    <row r="34" spans="1:40" ht="12.75">
      <c r="A34" s="3724"/>
      <c r="B34" s="1440" t="s">
        <v>1001</v>
      </c>
      <c r="C34" s="1060" t="e">
        <f>ROUND(D5*C19*C20*C24*F34,0)</f>
        <v>#DIV/0!</v>
      </c>
      <c r="D34" s="1532"/>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20"/>
      <c r="K34" s="1396"/>
      <c r="L34" s="2185"/>
      <c r="M34" s="2185"/>
      <c r="N34" s="2185"/>
      <c r="O34" s="2185"/>
      <c r="P34" s="2185"/>
      <c r="Q34" s="2185"/>
      <c r="R34" s="2186"/>
      <c r="S34" s="2186"/>
      <c r="T34" s="2186"/>
      <c r="U34" s="2186"/>
      <c r="V34" s="2186"/>
      <c r="W34" s="2185"/>
      <c r="X34" s="2185"/>
      <c r="Y34" s="2185"/>
      <c r="Z34" s="2185"/>
      <c r="AA34" s="2185"/>
      <c r="AB34" s="2185"/>
      <c r="AC34" s="2186"/>
    </row>
    <row r="35" spans="1:40" ht="12.75">
      <c r="A35" s="3724"/>
      <c r="B35" s="1440" t="s">
        <v>1002</v>
      </c>
      <c r="C35" s="1060" t="e">
        <f>ROUND(D5*C19*C20*C24*F35,0)</f>
        <v>#DIV/0!</v>
      </c>
      <c r="D35" s="1532"/>
      <c r="E35" s="1045" t="e">
        <f t="shared" si="7"/>
        <v>#DIV/0!</v>
      </c>
      <c r="F35" s="1045">
        <f>SUMIF(修正!A45:A56,G2,修正!D45:D56)</f>
        <v>0</v>
      </c>
      <c r="G35" s="1045" t="e">
        <f>ROUND(IF(E2="工业",C35*$M$39,C35*$M$38),0)</f>
        <v>#DIV/0!</v>
      </c>
      <c r="H35" s="1045">
        <f t="shared" si="8"/>
        <v>0</v>
      </c>
      <c r="I35" s="1045" t="e">
        <f t="shared" si="9"/>
        <v>#DIV/0!</v>
      </c>
      <c r="J35" s="1520"/>
      <c r="K35" s="1396"/>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725"/>
      <c r="B36" s="1440" t="s">
        <v>1003</v>
      </c>
      <c r="C36" s="1060" t="e">
        <f>ROUND(D5*C19*C20*C24*F36,0)</f>
        <v>#DIV/0!</v>
      </c>
      <c r="D36" s="1532"/>
      <c r="E36" s="1045" t="e">
        <f t="shared" si="7"/>
        <v>#DIV/0!</v>
      </c>
      <c r="F36" s="1045">
        <f>SUMIF(修正!A45:A56,G2,修正!E45:E56)</f>
        <v>0</v>
      </c>
      <c r="G36" s="1045" t="e">
        <f>ROUND(IF(E2="工业",C36*$M$39,C36*$M$38),0)</f>
        <v>#DIV/0!</v>
      </c>
      <c r="H36" s="1045">
        <f t="shared" si="8"/>
        <v>0</v>
      </c>
      <c r="I36" s="1045" t="e">
        <f t="shared" si="9"/>
        <v>#DIV/0!</v>
      </c>
      <c r="J36" s="1520"/>
      <c r="K36" s="1396"/>
      <c r="L36" s="2185"/>
      <c r="M36" s="2185"/>
      <c r="N36" s="2185"/>
      <c r="O36" s="2185"/>
      <c r="P36" s="2185"/>
      <c r="Q36" s="2185"/>
      <c r="R36" s="2186"/>
      <c r="S36" s="2186"/>
      <c r="T36" s="2186"/>
      <c r="U36" s="2186"/>
      <c r="V36" s="2186"/>
      <c r="W36" s="2185"/>
      <c r="X36" s="2185"/>
      <c r="Y36" s="2185"/>
      <c r="Z36" s="2185"/>
      <c r="AA36" s="2185"/>
      <c r="AB36" s="2185"/>
      <c r="AC36" s="2186"/>
    </row>
    <row r="37" spans="1:40" ht="12.75">
      <c r="A37" s="1518"/>
      <c r="B37" s="1440" t="s">
        <v>1004</v>
      </c>
      <c r="C37" s="1045" t="e">
        <f>ROUND(C5*C19*C20*C24*F37,0)</f>
        <v>#DIV/0!</v>
      </c>
      <c r="D37" s="1532"/>
      <c r="E37" s="1045" t="e">
        <f t="shared" si="7"/>
        <v>#DIV/0!</v>
      </c>
      <c r="F37" s="1060">
        <f>SUMIF(修正!A45:A56,G2,修正!F45:F56)</f>
        <v>0</v>
      </c>
      <c r="G37" s="1045" t="e">
        <f>ROUND(IF(E2="工业",C37*$M$39,C37*$M$38),0)</f>
        <v>#DIV/0!</v>
      </c>
      <c r="H37" s="1045">
        <f t="shared" si="8"/>
        <v>0</v>
      </c>
      <c r="I37" s="1045" t="e">
        <f t="shared" si="9"/>
        <v>#DIV/0!</v>
      </c>
      <c r="J37" s="1520"/>
      <c r="K37" s="1396"/>
      <c r="L37" s="1539" t="s">
        <v>1704</v>
      </c>
      <c r="M37" s="1540"/>
      <c r="N37" s="2185"/>
      <c r="O37" s="2185"/>
      <c r="P37" s="2185"/>
      <c r="Q37" s="2185"/>
      <c r="R37" s="2186"/>
      <c r="S37" s="2186"/>
      <c r="T37" s="2186"/>
      <c r="U37" s="2186"/>
      <c r="V37" s="2186"/>
      <c r="W37" s="2185"/>
      <c r="X37" s="2185"/>
      <c r="Y37" s="2185"/>
      <c r="Z37" s="2185"/>
      <c r="AA37" s="2185"/>
      <c r="AB37" s="2185"/>
      <c r="AC37" s="2186"/>
    </row>
    <row r="38" spans="1:40" ht="12.75">
      <c r="A38" s="1518"/>
      <c r="B38" s="1440" t="s">
        <v>1005</v>
      </c>
      <c r="C38" s="1045" t="e">
        <f>ROUND(C5*C19*C20*C24*F38,0)</f>
        <v>#DIV/0!</v>
      </c>
      <c r="D38" s="1532"/>
      <c r="E38" s="1045" t="e">
        <f t="shared" si="7"/>
        <v>#DIV/0!</v>
      </c>
      <c r="F38" s="1060">
        <f>SUMIF(修正!A45:A56,G2,修正!G45:G56)</f>
        <v>0</v>
      </c>
      <c r="G38" s="1045" t="e">
        <f>ROUND(IF(E2="工业",C38*$M$39,C38*$M$38),0)</f>
        <v>#DIV/0!</v>
      </c>
      <c r="H38" s="1045">
        <f t="shared" si="8"/>
        <v>0</v>
      </c>
      <c r="I38" s="1045" t="e">
        <f t="shared" si="9"/>
        <v>#DIV/0!</v>
      </c>
      <c r="J38" s="1520"/>
      <c r="K38" s="1396"/>
      <c r="L38" s="1541" t="s">
        <v>1706</v>
      </c>
      <c r="M38" s="1542">
        <v>0.25</v>
      </c>
      <c r="N38" s="2185"/>
      <c r="O38" s="2185"/>
      <c r="P38" s="2185"/>
      <c r="Q38" s="2185"/>
      <c r="R38" s="2186"/>
      <c r="S38" s="2186"/>
      <c r="T38" s="2186"/>
      <c r="U38" s="2186"/>
      <c r="V38" s="2186"/>
      <c r="W38" s="2185"/>
      <c r="X38" s="2185"/>
      <c r="Y38" s="2185"/>
      <c r="Z38" s="2185"/>
      <c r="AA38" s="2185"/>
      <c r="AB38" s="2185"/>
      <c r="AC38" s="2186"/>
    </row>
    <row r="39" spans="1:40" ht="13.5" thickBot="1">
      <c r="A39" s="1503"/>
      <c r="B39" s="1521" t="s">
        <v>1006</v>
      </c>
      <c r="C39" s="1048" t="e">
        <f>ROUND(C5*C19*C20*C24*F39,0)</f>
        <v>#DIV/0!</v>
      </c>
      <c r="D39" s="1533"/>
      <c r="E39" s="1048" t="e">
        <f t="shared" si="7"/>
        <v>#DIV/0!</v>
      </c>
      <c r="F39" s="1062">
        <f>SUMIF(修正!A45:A56,G2,修正!H45:H56)</f>
        <v>0</v>
      </c>
      <c r="G39" s="1048" t="e">
        <f>ROUND(IF(E2="工业",C39*$M$39,C39*$M$38),0)</f>
        <v>#DIV/0!</v>
      </c>
      <c r="H39" s="1048">
        <f t="shared" si="8"/>
        <v>0</v>
      </c>
      <c r="I39" s="1048" t="e">
        <f t="shared" si="9"/>
        <v>#DIV/0!</v>
      </c>
      <c r="J39" s="1522"/>
      <c r="K39" s="1396"/>
      <c r="L39" s="1543" t="s">
        <v>1705</v>
      </c>
      <c r="M39" s="1544">
        <v>0.15</v>
      </c>
      <c r="N39" s="2185"/>
      <c r="O39" s="2185"/>
      <c r="P39" s="2185"/>
      <c r="Q39" s="2185"/>
      <c r="R39" s="2186"/>
      <c r="S39" s="2186"/>
      <c r="T39" s="2186"/>
      <c r="U39" s="2186"/>
      <c r="V39" s="2186"/>
      <c r="W39" s="2185"/>
      <c r="X39" s="2185"/>
      <c r="Y39" s="2185"/>
      <c r="Z39" s="2185"/>
      <c r="AA39" s="2185"/>
      <c r="AB39" s="2185"/>
      <c r="AC39" s="2186"/>
    </row>
    <row r="40" spans="1:40" s="1397"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398"/>
      <c r="AE40" s="1398"/>
      <c r="AF40" s="1398"/>
      <c r="AG40" s="1398"/>
      <c r="AH40" s="1398"/>
      <c r="AI40" s="1398"/>
      <c r="AJ40" s="1398"/>
      <c r="AK40" s="1398"/>
      <c r="AL40" s="1398"/>
      <c r="AM40" s="1398"/>
    </row>
    <row r="41" spans="1:40" s="1397" customFormat="1">
      <c r="A41" s="1398"/>
      <c r="B41" s="2194"/>
      <c r="C41" s="2192"/>
      <c r="D41" s="2192"/>
      <c r="E41" s="2192"/>
      <c r="F41" s="2192"/>
      <c r="G41" s="2192"/>
      <c r="H41" s="2192"/>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398"/>
      <c r="AE41" s="1398"/>
      <c r="AF41" s="1398"/>
      <c r="AG41" s="1398"/>
      <c r="AH41" s="1398"/>
      <c r="AI41" s="1398"/>
      <c r="AJ41" s="1398"/>
      <c r="AK41" s="1398"/>
      <c r="AL41" s="1398"/>
      <c r="AM41" s="1398"/>
    </row>
    <row r="42" spans="1:40" s="1397" customFormat="1">
      <c r="A42" s="1398"/>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398"/>
      <c r="AE42" s="1398"/>
      <c r="AF42" s="1398"/>
      <c r="AG42" s="1398"/>
      <c r="AH42" s="1398"/>
      <c r="AI42" s="1398"/>
      <c r="AJ42" s="1398"/>
      <c r="AK42" s="1398"/>
      <c r="AL42" s="1398"/>
      <c r="AM42" s="1398"/>
    </row>
    <row r="43" spans="1:40" s="1397" customFormat="1">
      <c r="A43" s="1398"/>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398"/>
      <c r="AE43" s="1398"/>
      <c r="AF43" s="1398"/>
      <c r="AG43" s="1398"/>
      <c r="AH43" s="1398"/>
      <c r="AI43" s="1398"/>
      <c r="AJ43" s="1398"/>
      <c r="AK43" s="1398"/>
      <c r="AL43" s="1398"/>
      <c r="AM43" s="1398"/>
    </row>
    <row r="44" spans="1:40" s="1397" customFormat="1" ht="15" thickBot="1">
      <c r="A44" s="2415" t="s">
        <v>1007</v>
      </c>
      <c r="B44" s="2416"/>
      <c r="C44" s="2417"/>
      <c r="D44" s="2418"/>
      <c r="E44" s="2418"/>
      <c r="F44" s="2419"/>
      <c r="G44" s="1063"/>
      <c r="H44" s="2419"/>
      <c r="I44" s="1063"/>
      <c r="J44" s="1063"/>
      <c r="K44" s="1063"/>
      <c r="L44" s="1063"/>
      <c r="M44" s="1063"/>
      <c r="O44" s="2192"/>
      <c r="P44" s="2192"/>
      <c r="Q44" s="2192"/>
      <c r="R44" s="2193"/>
      <c r="S44" s="2193"/>
      <c r="T44" s="2193"/>
      <c r="U44" s="2193"/>
      <c r="V44" s="2193"/>
      <c r="W44" s="2192"/>
      <c r="X44" s="2192"/>
      <c r="Y44" s="2192"/>
      <c r="Z44" s="2192"/>
      <c r="AA44" s="2192"/>
      <c r="AB44" s="2192"/>
      <c r="AC44" s="2193"/>
      <c r="AD44" s="1398"/>
      <c r="AE44" s="1398"/>
      <c r="AF44" s="1398"/>
      <c r="AG44" s="1398"/>
      <c r="AH44" s="1398"/>
      <c r="AI44" s="1398"/>
      <c r="AJ44" s="1398"/>
      <c r="AK44" s="1398"/>
      <c r="AL44" s="1398"/>
      <c r="AM44" s="1398"/>
    </row>
    <row r="45" spans="1:40" s="1397" customFormat="1" ht="15">
      <c r="A45" s="2420" t="s">
        <v>1008</v>
      </c>
      <c r="B45" s="2421">
        <f>1+E47</f>
        <v>1</v>
      </c>
      <c r="C45" s="2422"/>
      <c r="D45" s="2423"/>
      <c r="E45" s="2424"/>
      <c r="F45" s="2425"/>
      <c r="G45" s="2419"/>
      <c r="H45" s="2419"/>
      <c r="I45" s="1063"/>
      <c r="J45" s="1063"/>
      <c r="K45" s="1063"/>
      <c r="L45" s="1063"/>
      <c r="M45" s="1063"/>
      <c r="O45" s="2192"/>
      <c r="P45" s="2192"/>
      <c r="Q45" s="2192"/>
      <c r="R45" s="2193"/>
      <c r="S45" s="2193"/>
      <c r="T45" s="2193"/>
      <c r="U45" s="2193"/>
      <c r="V45" s="2193"/>
      <c r="W45" s="2192"/>
      <c r="X45" s="2192"/>
      <c r="Y45" s="2192"/>
      <c r="Z45" s="2192"/>
      <c r="AA45" s="2192"/>
      <c r="AB45" s="2192"/>
      <c r="AC45" s="2193"/>
      <c r="AD45" s="1398"/>
      <c r="AE45" s="1398"/>
      <c r="AF45" s="1398"/>
      <c r="AG45" s="1398"/>
      <c r="AH45" s="1398"/>
      <c r="AI45" s="1398"/>
      <c r="AJ45" s="1398"/>
      <c r="AK45" s="1398"/>
      <c r="AL45" s="1398"/>
      <c r="AM45" s="1398"/>
    </row>
    <row r="46" spans="1:40" s="1397" customFormat="1" ht="24">
      <c r="A46" s="1064" t="s">
        <v>1009</v>
      </c>
      <c r="B46" s="2404" t="s">
        <v>1010</v>
      </c>
      <c r="C46" s="2426" t="s">
        <v>1011</v>
      </c>
      <c r="D46" s="2427" t="s">
        <v>1012</v>
      </c>
      <c r="E46" s="2428" t="s">
        <v>1014</v>
      </c>
      <c r="F46" s="2429" t="s">
        <v>2250</v>
      </c>
      <c r="G46" s="2427" t="s">
        <v>1015</v>
      </c>
      <c r="H46" s="2410" t="s">
        <v>2418</v>
      </c>
      <c r="I46" s="2427" t="s">
        <v>1013</v>
      </c>
      <c r="J46" s="2430" t="s">
        <v>1016</v>
      </c>
      <c r="K46" s="2430" t="s">
        <v>1017</v>
      </c>
      <c r="L46" s="2430" t="s">
        <v>1018</v>
      </c>
      <c r="M46" s="2430" t="s">
        <v>1019</v>
      </c>
      <c r="N46" s="2430" t="s">
        <v>1020</v>
      </c>
      <c r="P46" s="2192"/>
      <c r="Q46" s="2192"/>
      <c r="R46" s="2193"/>
      <c r="S46" s="2193"/>
      <c r="T46" s="2193"/>
      <c r="U46" s="2193"/>
      <c r="V46" s="2193"/>
      <c r="W46" s="2192"/>
      <c r="X46" s="2192"/>
      <c r="Y46" s="2192"/>
      <c r="Z46" s="2192"/>
      <c r="AA46" s="2192"/>
      <c r="AB46" s="2192"/>
      <c r="AC46" s="2192"/>
      <c r="AD46" s="2193"/>
      <c r="AE46" s="1398"/>
      <c r="AF46" s="1398"/>
      <c r="AG46" s="1398"/>
      <c r="AH46" s="1398"/>
      <c r="AI46" s="1398"/>
      <c r="AJ46" s="1398"/>
      <c r="AK46" s="1398"/>
      <c r="AL46" s="1398"/>
      <c r="AM46" s="1398"/>
      <c r="AN46" s="1398"/>
    </row>
    <row r="47" spans="1:40" s="1397" customFormat="1" ht="36">
      <c r="A47" s="1064" t="s">
        <v>1021</v>
      </c>
      <c r="B47" s="2407" t="str">
        <f>估价对象房地状况!C16</f>
        <v>估价对象位于XX商圈，周边商业氛围成熟，人流量大，商业繁华度好</v>
      </c>
      <c r="C47" s="1047"/>
      <c r="D47" s="2413">
        <f t="shared" ref="D47:D55" si="10">SUMIF($J$46:$N$46,C47,J47:N47)</f>
        <v>0</v>
      </c>
      <c r="E47" s="2432">
        <f>ROUND(SUM(D47:D55),4)</f>
        <v>0</v>
      </c>
      <c r="F47" s="2433" t="str">
        <f>IF(E2="商业",SUMIF(L1:L12,G2,N1:N12),"——")</f>
        <v>——</v>
      </c>
      <c r="G47" s="2411"/>
      <c r="H47" s="2457" t="str">
        <f t="shared" ref="H47:H55" si="11">IFERROR(ROUNDDOWN(($F$47*I47/2),4),"——")</f>
        <v>——</v>
      </c>
      <c r="I47" s="2431">
        <v>0.33</v>
      </c>
      <c r="J47" s="2434">
        <f t="shared" ref="J47:J55" si="12">K47+$G47</f>
        <v>0</v>
      </c>
      <c r="K47" s="2434">
        <f t="shared" ref="K47:K55" si="13">$L47+$G47</f>
        <v>0</v>
      </c>
      <c r="L47" s="2434">
        <v>0</v>
      </c>
      <c r="M47" s="2434">
        <f t="shared" ref="M47:N55" si="14">L47-$G47</f>
        <v>0</v>
      </c>
      <c r="N47" s="2434">
        <f t="shared" si="14"/>
        <v>0</v>
      </c>
      <c r="P47" s="2192"/>
      <c r="Q47" s="2192"/>
      <c r="R47" s="2193"/>
      <c r="S47" s="2193"/>
      <c r="T47" s="2193"/>
      <c r="U47" s="2193"/>
      <c r="V47" s="2193"/>
      <c r="W47" s="2192"/>
      <c r="X47" s="2192"/>
      <c r="Y47" s="2192"/>
      <c r="Z47" s="2192"/>
      <c r="AA47" s="2192"/>
      <c r="AB47" s="2192"/>
      <c r="AC47" s="2192"/>
      <c r="AD47" s="2193"/>
      <c r="AE47" s="1398"/>
      <c r="AF47" s="1398"/>
      <c r="AG47" s="1398"/>
      <c r="AH47" s="1398"/>
      <c r="AI47" s="1398"/>
      <c r="AJ47" s="1398"/>
      <c r="AK47" s="1398"/>
      <c r="AL47" s="1398"/>
      <c r="AM47" s="1398"/>
      <c r="AN47" s="1398"/>
    </row>
    <row r="48" spans="1:40" s="1397" customFormat="1" ht="48">
      <c r="A48" s="1064" t="s">
        <v>1022</v>
      </c>
      <c r="B48" s="2404" t="str">
        <f>估价对象房地状况!C18</f>
        <v>估价对象周边道路状况、公共交通通达情况、停车便捷程度，综合评价交通便捷度较好</v>
      </c>
      <c r="C48" s="1047"/>
      <c r="D48" s="2413">
        <f t="shared" si="10"/>
        <v>0</v>
      </c>
      <c r="E48" s="2435"/>
      <c r="F48" s="2433"/>
      <c r="G48" s="2411"/>
      <c r="H48" s="2457" t="str">
        <f t="shared" si="11"/>
        <v>——</v>
      </c>
      <c r="I48" s="2431">
        <v>0.25</v>
      </c>
      <c r="J48" s="2434">
        <f t="shared" si="12"/>
        <v>0</v>
      </c>
      <c r="K48" s="2434">
        <f t="shared" si="13"/>
        <v>0</v>
      </c>
      <c r="L48" s="2434">
        <v>0</v>
      </c>
      <c r="M48" s="2434">
        <f t="shared" si="14"/>
        <v>0</v>
      </c>
      <c r="N48" s="2434">
        <f t="shared" si="14"/>
        <v>0</v>
      </c>
      <c r="P48" s="2192"/>
      <c r="Q48" s="2192"/>
      <c r="R48" s="2193"/>
      <c r="S48" s="2193"/>
      <c r="T48" s="2193"/>
      <c r="U48" s="2193"/>
      <c r="V48" s="2193"/>
      <c r="W48" s="2192"/>
      <c r="X48" s="2192"/>
      <c r="Y48" s="2192"/>
      <c r="Z48" s="2192"/>
      <c r="AA48" s="2192"/>
      <c r="AB48" s="2192"/>
      <c r="AC48" s="2192"/>
      <c r="AD48" s="2193"/>
      <c r="AE48" s="1398"/>
      <c r="AF48" s="1398"/>
      <c r="AG48" s="1398"/>
      <c r="AH48" s="1398"/>
      <c r="AI48" s="1398"/>
      <c r="AJ48" s="1398"/>
      <c r="AK48" s="1398"/>
      <c r="AL48" s="1398"/>
      <c r="AM48" s="1398"/>
      <c r="AN48" s="1398"/>
    </row>
    <row r="49" spans="1:40" s="1397" customFormat="1" ht="24">
      <c r="A49" s="1064" t="s">
        <v>1023</v>
      </c>
      <c r="B49" s="2404">
        <f>估价对象房地状况!C19</f>
        <v>0</v>
      </c>
      <c r="C49" s="1047"/>
      <c r="D49" s="2413">
        <f t="shared" si="10"/>
        <v>0</v>
      </c>
      <c r="E49" s="2435"/>
      <c r="F49" s="2433"/>
      <c r="G49" s="2411"/>
      <c r="H49" s="2457" t="str">
        <f t="shared" si="11"/>
        <v>——</v>
      </c>
      <c r="I49" s="2431">
        <v>0.05</v>
      </c>
      <c r="J49" s="2434">
        <f t="shared" si="12"/>
        <v>0</v>
      </c>
      <c r="K49" s="2434">
        <f t="shared" si="13"/>
        <v>0</v>
      </c>
      <c r="L49" s="2434">
        <v>0</v>
      </c>
      <c r="M49" s="2434">
        <f t="shared" si="14"/>
        <v>0</v>
      </c>
      <c r="N49" s="2434">
        <f t="shared" si="14"/>
        <v>0</v>
      </c>
      <c r="P49" s="2192"/>
      <c r="Q49" s="2192"/>
      <c r="R49" s="2193"/>
      <c r="S49" s="2193"/>
      <c r="T49" s="2193"/>
      <c r="U49" s="2193"/>
      <c r="V49" s="2193"/>
      <c r="W49" s="2192"/>
      <c r="X49" s="2192"/>
      <c r="Y49" s="2192"/>
      <c r="Z49" s="2192"/>
      <c r="AA49" s="2192"/>
      <c r="AB49" s="2192"/>
      <c r="AC49" s="2192"/>
      <c r="AD49" s="2193"/>
      <c r="AE49" s="1398"/>
      <c r="AF49" s="1398"/>
      <c r="AG49" s="1398"/>
      <c r="AH49" s="1398"/>
      <c r="AI49" s="1398"/>
      <c r="AJ49" s="1398"/>
      <c r="AK49" s="1398"/>
      <c r="AL49" s="1398"/>
      <c r="AM49" s="1398"/>
      <c r="AN49" s="1398"/>
    </row>
    <row r="50" spans="1:40" s="1397" customFormat="1" ht="36">
      <c r="A50" s="1064" t="s">
        <v>1024</v>
      </c>
      <c r="B50" s="3093" t="s">
        <v>2938</v>
      </c>
      <c r="C50" s="1047"/>
      <c r="D50" s="2413">
        <f t="shared" si="10"/>
        <v>0</v>
      </c>
      <c r="E50" s="2435"/>
      <c r="F50" s="2433"/>
      <c r="G50" s="2411"/>
      <c r="H50" s="2457" t="str">
        <f t="shared" si="11"/>
        <v>——</v>
      </c>
      <c r="I50" s="2431">
        <v>0.05</v>
      </c>
      <c r="J50" s="2434">
        <f t="shared" si="12"/>
        <v>0</v>
      </c>
      <c r="K50" s="2434">
        <f t="shared" si="13"/>
        <v>0</v>
      </c>
      <c r="L50" s="2434">
        <v>0</v>
      </c>
      <c r="M50" s="2434">
        <f t="shared" si="14"/>
        <v>0</v>
      </c>
      <c r="N50" s="2434">
        <f t="shared" si="14"/>
        <v>0</v>
      </c>
      <c r="P50" s="2192"/>
      <c r="Q50" s="2192"/>
      <c r="R50" s="2193"/>
      <c r="S50" s="2193"/>
      <c r="T50" s="2193"/>
      <c r="U50" s="2193"/>
      <c r="V50" s="2193"/>
      <c r="W50" s="2192"/>
      <c r="X50" s="2192"/>
      <c r="Y50" s="2192"/>
      <c r="Z50" s="2192"/>
      <c r="AA50" s="2192"/>
      <c r="AB50" s="2192"/>
      <c r="AC50" s="2192"/>
      <c r="AD50" s="2193"/>
      <c r="AE50" s="1398"/>
      <c r="AF50" s="1398"/>
      <c r="AG50" s="1398"/>
      <c r="AH50" s="1398"/>
      <c r="AI50" s="1398"/>
      <c r="AJ50" s="1398"/>
      <c r="AK50" s="1398"/>
      <c r="AL50" s="1398"/>
      <c r="AM50" s="1398"/>
      <c r="AN50" s="1398"/>
    </row>
    <row r="51" spans="1:40" s="1397" customFormat="1" ht="24">
      <c r="A51" s="1064" t="s">
        <v>1025</v>
      </c>
      <c r="B51" s="2404">
        <f>估价对象房地状况!C24</f>
        <v>0</v>
      </c>
      <c r="C51" s="1047"/>
      <c r="D51" s="2413">
        <f t="shared" si="10"/>
        <v>0</v>
      </c>
      <c r="E51" s="2435"/>
      <c r="F51" s="2433"/>
      <c r="G51" s="2411"/>
      <c r="H51" s="2457" t="str">
        <f t="shared" si="11"/>
        <v>——</v>
      </c>
      <c r="I51" s="2431">
        <v>0.08</v>
      </c>
      <c r="J51" s="2434">
        <f t="shared" si="12"/>
        <v>0</v>
      </c>
      <c r="K51" s="2434">
        <f t="shared" si="13"/>
        <v>0</v>
      </c>
      <c r="L51" s="2434">
        <v>0</v>
      </c>
      <c r="M51" s="2434">
        <f t="shared" si="14"/>
        <v>0</v>
      </c>
      <c r="N51" s="2434">
        <f t="shared" si="14"/>
        <v>0</v>
      </c>
      <c r="P51" s="2192"/>
      <c r="Q51" s="2192"/>
      <c r="R51" s="2193"/>
      <c r="S51" s="2193"/>
      <c r="T51" s="2193"/>
      <c r="U51" s="2193"/>
      <c r="V51" s="2193"/>
      <c r="W51" s="2192"/>
      <c r="X51" s="2192"/>
      <c r="Y51" s="2192"/>
      <c r="Z51" s="2192"/>
      <c r="AA51" s="2192"/>
      <c r="AB51" s="2192"/>
      <c r="AC51" s="2192"/>
      <c r="AD51" s="2193"/>
      <c r="AE51" s="1398"/>
      <c r="AF51" s="1398"/>
      <c r="AG51" s="1398"/>
      <c r="AH51" s="1398"/>
      <c r="AI51" s="1398"/>
      <c r="AJ51" s="1398"/>
      <c r="AK51" s="1398"/>
      <c r="AL51" s="1398"/>
      <c r="AM51" s="1398"/>
      <c r="AN51" s="1398"/>
    </row>
    <row r="52" spans="1:40" s="1397" customFormat="1" ht="24">
      <c r="A52" s="1064" t="s">
        <v>1026</v>
      </c>
      <c r="B52" s="3092" t="s">
        <v>2937</v>
      </c>
      <c r="C52" s="1047"/>
      <c r="D52" s="2413">
        <f t="shared" si="10"/>
        <v>0</v>
      </c>
      <c r="E52" s="2435"/>
      <c r="F52" s="2433"/>
      <c r="G52" s="2411"/>
      <c r="H52" s="2457" t="str">
        <f t="shared" si="11"/>
        <v>——</v>
      </c>
      <c r="I52" s="2431">
        <v>0.03</v>
      </c>
      <c r="J52" s="2434">
        <f t="shared" si="12"/>
        <v>0</v>
      </c>
      <c r="K52" s="2434">
        <f t="shared" si="13"/>
        <v>0</v>
      </c>
      <c r="L52" s="2434">
        <v>0</v>
      </c>
      <c r="M52" s="2434">
        <f t="shared" si="14"/>
        <v>0</v>
      </c>
      <c r="N52" s="2434">
        <f t="shared" si="14"/>
        <v>0</v>
      </c>
      <c r="P52" s="2192"/>
      <c r="Q52" s="2192"/>
      <c r="R52" s="2193"/>
      <c r="S52" s="2193"/>
      <c r="T52" s="2193"/>
      <c r="U52" s="2193"/>
      <c r="V52" s="2193"/>
      <c r="W52" s="2192"/>
      <c r="X52" s="2192"/>
      <c r="Y52" s="2192"/>
      <c r="Z52" s="2192"/>
      <c r="AA52" s="2192"/>
      <c r="AB52" s="2192"/>
      <c r="AC52" s="2192"/>
      <c r="AD52" s="2193"/>
      <c r="AE52" s="1398"/>
      <c r="AF52" s="1398"/>
      <c r="AG52" s="1398"/>
      <c r="AH52" s="1398"/>
      <c r="AI52" s="1398"/>
      <c r="AJ52" s="1398"/>
      <c r="AK52" s="1398"/>
      <c r="AL52" s="1398"/>
      <c r="AM52" s="1398"/>
      <c r="AN52" s="1398"/>
    </row>
    <row r="53" spans="1:40" s="1397" customFormat="1" ht="24">
      <c r="A53" s="2436" t="s">
        <v>1027</v>
      </c>
      <c r="B53" s="2405" t="str">
        <f>估价对象房地状况!C21</f>
        <v>估价对象所在区域公共配套设施齐备情况</v>
      </c>
      <c r="C53" s="1047"/>
      <c r="D53" s="2413">
        <f t="shared" si="10"/>
        <v>0</v>
      </c>
      <c r="E53" s="2435"/>
      <c r="F53" s="2433"/>
      <c r="G53" s="2411"/>
      <c r="H53" s="2457" t="str">
        <f t="shared" si="11"/>
        <v>——</v>
      </c>
      <c r="I53" s="2431">
        <v>0.05</v>
      </c>
      <c r="J53" s="2434">
        <f t="shared" si="12"/>
        <v>0</v>
      </c>
      <c r="K53" s="2434">
        <f t="shared" si="13"/>
        <v>0</v>
      </c>
      <c r="L53" s="2434">
        <v>0</v>
      </c>
      <c r="M53" s="2434">
        <f t="shared" si="14"/>
        <v>0</v>
      </c>
      <c r="N53" s="2434">
        <f t="shared" si="14"/>
        <v>0</v>
      </c>
      <c r="P53" s="2192"/>
      <c r="Q53" s="2192"/>
      <c r="R53" s="2193"/>
      <c r="S53" s="2193"/>
      <c r="T53" s="2193"/>
      <c r="U53" s="2193"/>
      <c r="V53" s="2193"/>
      <c r="W53" s="2192"/>
      <c r="X53" s="2192"/>
      <c r="Y53" s="2192"/>
      <c r="Z53" s="2192"/>
      <c r="AA53" s="2192"/>
      <c r="AB53" s="2192"/>
      <c r="AC53" s="2192"/>
      <c r="AD53" s="2193"/>
      <c r="AE53" s="1398"/>
      <c r="AF53" s="1398"/>
      <c r="AG53" s="1398"/>
      <c r="AH53" s="1398"/>
      <c r="AI53" s="1398"/>
      <c r="AJ53" s="1398"/>
      <c r="AK53" s="1398"/>
      <c r="AL53" s="1398"/>
      <c r="AM53" s="1398"/>
      <c r="AN53" s="1398"/>
    </row>
    <row r="54" spans="1:40" s="1397" customFormat="1" ht="24">
      <c r="A54" s="2436" t="s">
        <v>1028</v>
      </c>
      <c r="B54" s="2404" t="str">
        <f>估价对象房地状况!C22</f>
        <v>估价对象所在区域基础设施水平</v>
      </c>
      <c r="C54" s="1047"/>
      <c r="D54" s="2413">
        <f t="shared" si="10"/>
        <v>0</v>
      </c>
      <c r="E54" s="2435"/>
      <c r="F54" s="2433"/>
      <c r="G54" s="2411"/>
      <c r="H54" s="2457" t="str">
        <f t="shared" si="11"/>
        <v>——</v>
      </c>
      <c r="I54" s="2431">
        <v>0.1</v>
      </c>
      <c r="J54" s="2434">
        <f t="shared" si="12"/>
        <v>0</v>
      </c>
      <c r="K54" s="2434">
        <f t="shared" si="13"/>
        <v>0</v>
      </c>
      <c r="L54" s="2434">
        <v>0</v>
      </c>
      <c r="M54" s="2434">
        <f t="shared" si="14"/>
        <v>0</v>
      </c>
      <c r="N54" s="2434">
        <f t="shared" si="14"/>
        <v>0</v>
      </c>
      <c r="P54" s="2192"/>
      <c r="Q54" s="2192"/>
      <c r="R54" s="2193"/>
      <c r="S54" s="2193"/>
      <c r="T54" s="2193"/>
      <c r="U54" s="2193"/>
      <c r="V54" s="2193"/>
      <c r="W54" s="2192"/>
      <c r="X54" s="2192"/>
      <c r="Y54" s="2192"/>
      <c r="Z54" s="2192"/>
      <c r="AA54" s="2192"/>
      <c r="AB54" s="2192"/>
      <c r="AC54" s="2192"/>
      <c r="AD54" s="2193"/>
      <c r="AE54" s="1398"/>
      <c r="AF54" s="1398"/>
      <c r="AG54" s="1398"/>
      <c r="AH54" s="1398"/>
      <c r="AI54" s="1398"/>
      <c r="AJ54" s="1398"/>
      <c r="AK54" s="1398"/>
      <c r="AL54" s="1398"/>
      <c r="AM54" s="1398"/>
      <c r="AN54" s="1398"/>
    </row>
    <row r="55" spans="1:40" s="1397" customFormat="1" ht="36.75" thickBot="1">
      <c r="A55" s="2437" t="s">
        <v>1029</v>
      </c>
      <c r="B55" s="2408" t="str">
        <f>估价对象房地状况!C20</f>
        <v>区域自然环境：；人文环境；综合评价环境状况一般</v>
      </c>
      <c r="C55" s="1047"/>
      <c r="D55" s="2413">
        <f t="shared" si="10"/>
        <v>0</v>
      </c>
      <c r="E55" s="2439"/>
      <c r="F55" s="2433"/>
      <c r="G55" s="2411"/>
      <c r="H55" s="2457" t="str">
        <f t="shared" si="11"/>
        <v>——</v>
      </c>
      <c r="I55" s="2438">
        <v>0.06</v>
      </c>
      <c r="J55" s="2434">
        <f t="shared" si="12"/>
        <v>0</v>
      </c>
      <c r="K55" s="2434">
        <f t="shared" si="13"/>
        <v>0</v>
      </c>
      <c r="L55" s="2434">
        <v>0</v>
      </c>
      <c r="M55" s="2434">
        <f t="shared" si="14"/>
        <v>0</v>
      </c>
      <c r="N55" s="2434">
        <f t="shared" si="14"/>
        <v>0</v>
      </c>
      <c r="P55" s="2192"/>
      <c r="Q55" s="2192"/>
      <c r="R55" s="2193"/>
      <c r="S55" s="2193"/>
      <c r="T55" s="2193"/>
      <c r="U55" s="2193"/>
      <c r="V55" s="2193"/>
      <c r="W55" s="2192"/>
      <c r="X55" s="2192"/>
      <c r="Y55" s="2192"/>
      <c r="Z55" s="2192"/>
      <c r="AA55" s="2192"/>
      <c r="AB55" s="2192"/>
      <c r="AC55" s="2192"/>
      <c r="AD55" s="2193"/>
      <c r="AE55" s="1398"/>
      <c r="AF55" s="1398"/>
      <c r="AG55" s="1398"/>
      <c r="AH55" s="1398"/>
      <c r="AI55" s="1398"/>
      <c r="AJ55" s="1398"/>
      <c r="AK55" s="1398"/>
      <c r="AL55" s="1398"/>
      <c r="AM55" s="1398"/>
      <c r="AN55" s="1398"/>
    </row>
    <row r="56" spans="1:40" s="1397" customFormat="1" ht="15">
      <c r="A56" s="2420" t="s">
        <v>1030</v>
      </c>
      <c r="B56" s="2421">
        <f>1+E58</f>
        <v>1</v>
      </c>
      <c r="C56" s="2440"/>
      <c r="D56" s="2423"/>
      <c r="E56" s="2424"/>
      <c r="F56" s="2425"/>
      <c r="G56" s="2419"/>
      <c r="H56" s="2419"/>
      <c r="I56" s="2419"/>
      <c r="J56" s="1063"/>
      <c r="K56" s="1063"/>
      <c r="L56" s="1063"/>
      <c r="M56" s="1063"/>
      <c r="N56" s="1063"/>
      <c r="P56" s="2192"/>
      <c r="Q56" s="2192"/>
      <c r="R56" s="2193"/>
      <c r="S56" s="2193"/>
      <c r="T56" s="2193"/>
      <c r="U56" s="2193"/>
      <c r="V56" s="2193"/>
      <c r="W56" s="2192"/>
      <c r="X56" s="2192"/>
      <c r="Y56" s="2192"/>
      <c r="Z56" s="2192"/>
      <c r="AA56" s="2192"/>
      <c r="AB56" s="2192"/>
      <c r="AC56" s="2192"/>
      <c r="AD56" s="2193"/>
      <c r="AE56" s="1398"/>
      <c r="AF56" s="1398"/>
      <c r="AG56" s="1398"/>
      <c r="AH56" s="1398"/>
      <c r="AI56" s="1398"/>
      <c r="AJ56" s="1398"/>
      <c r="AK56" s="1398"/>
      <c r="AL56" s="1398"/>
      <c r="AM56" s="1398"/>
      <c r="AN56" s="1398"/>
    </row>
    <row r="57" spans="1:40" s="1397" customFormat="1" ht="24">
      <c r="A57" s="1064" t="s">
        <v>1009</v>
      </c>
      <c r="B57" s="2404"/>
      <c r="C57" s="2426" t="s">
        <v>1011</v>
      </c>
      <c r="D57" s="2427" t="s">
        <v>1012</v>
      </c>
      <c r="E57" s="2428" t="s">
        <v>1014</v>
      </c>
      <c r="F57" s="2429" t="s">
        <v>2251</v>
      </c>
      <c r="G57" s="2427" t="s">
        <v>1015</v>
      </c>
      <c r="H57" s="2410" t="s">
        <v>2418</v>
      </c>
      <c r="I57" s="2427" t="s">
        <v>1013</v>
      </c>
      <c r="J57" s="2430" t="s">
        <v>1016</v>
      </c>
      <c r="K57" s="2430" t="s">
        <v>1017</v>
      </c>
      <c r="L57" s="2430" t="s">
        <v>1018</v>
      </c>
      <c r="M57" s="2430" t="s">
        <v>1019</v>
      </c>
      <c r="N57" s="2430" t="s">
        <v>1020</v>
      </c>
      <c r="P57" s="2192"/>
      <c r="Q57" s="2192"/>
      <c r="R57" s="2193"/>
      <c r="S57" s="2193"/>
      <c r="T57" s="2193"/>
      <c r="U57" s="2193"/>
      <c r="V57" s="2193"/>
      <c r="W57" s="2192"/>
      <c r="X57" s="2192"/>
      <c r="Y57" s="2192"/>
      <c r="Z57" s="2192"/>
      <c r="AA57" s="2192"/>
      <c r="AB57" s="2192"/>
      <c r="AC57" s="2192"/>
      <c r="AD57" s="2193"/>
      <c r="AE57" s="1398"/>
      <c r="AF57" s="1398"/>
      <c r="AG57" s="1398"/>
      <c r="AH57" s="1398"/>
      <c r="AI57" s="1398"/>
      <c r="AJ57" s="1398"/>
      <c r="AK57" s="1398"/>
      <c r="AL57" s="1398"/>
      <c r="AM57" s="1398"/>
      <c r="AN57" s="1398"/>
    </row>
    <row r="58" spans="1:40" s="1397" customFormat="1" ht="36">
      <c r="A58" s="1064" t="s">
        <v>1031</v>
      </c>
      <c r="B58" s="2407" t="str">
        <f>估价对象房地状况!C17</f>
        <v>估价对象位于XX商圈，周边办公楼项目较多，入驻率高，办公集聚程度较好</v>
      </c>
      <c r="C58" s="1047"/>
      <c r="D58" s="2413">
        <f t="shared" ref="D58:D66" si="15">SUMIF($J$57:$N$57,C58,J58:N58)</f>
        <v>0</v>
      </c>
      <c r="E58" s="2432">
        <f>ROUND(SUM(D58:D66),4)</f>
        <v>0</v>
      </c>
      <c r="F58" s="2433" t="str">
        <f>IF(E2="办公",SUMIF(L1:L12,G2,N1:N12),"——")</f>
        <v>——</v>
      </c>
      <c r="G58" s="2411"/>
      <c r="H58" s="2457" t="str">
        <f>IFERROR(ROUNDDOWN($F$58*I58/2,4),"——")</f>
        <v>——</v>
      </c>
      <c r="I58" s="2431">
        <v>0.24</v>
      </c>
      <c r="J58" s="2434">
        <f t="shared" ref="J58:J66" si="16">K58+$G58</f>
        <v>0</v>
      </c>
      <c r="K58" s="2434">
        <f t="shared" ref="K58:K66" si="17">$L58+$G58</f>
        <v>0</v>
      </c>
      <c r="L58" s="2434">
        <v>0</v>
      </c>
      <c r="M58" s="2434">
        <f t="shared" ref="M58:N66" si="18">L58-$G58</f>
        <v>0</v>
      </c>
      <c r="N58" s="2434">
        <f t="shared" si="18"/>
        <v>0</v>
      </c>
      <c r="P58" s="2192"/>
      <c r="Q58" s="2192"/>
      <c r="R58" s="2193"/>
      <c r="S58" s="2193"/>
      <c r="T58" s="2193"/>
      <c r="U58" s="2193"/>
      <c r="V58" s="2193"/>
      <c r="W58" s="2192"/>
      <c r="X58" s="2192"/>
      <c r="Y58" s="2192"/>
      <c r="Z58" s="2192"/>
      <c r="AA58" s="2192"/>
      <c r="AB58" s="2192"/>
      <c r="AC58" s="2192"/>
      <c r="AD58" s="2193"/>
      <c r="AE58" s="1398"/>
      <c r="AF58" s="1398"/>
      <c r="AG58" s="1398"/>
      <c r="AH58" s="1398"/>
      <c r="AI58" s="1398"/>
      <c r="AJ58" s="1398"/>
      <c r="AK58" s="1398"/>
      <c r="AL58" s="1398"/>
      <c r="AM58" s="1398"/>
      <c r="AN58" s="1398"/>
    </row>
    <row r="59" spans="1:40" s="1397" customFormat="1" ht="48">
      <c r="A59" s="1064" t="s">
        <v>1022</v>
      </c>
      <c r="B59" s="2404" t="str">
        <f>估价对象房地状况!C18</f>
        <v>估价对象周边道路状况、公共交通通达情况、停车便捷程度，综合评价交通便捷度较好</v>
      </c>
      <c r="C59" s="1047"/>
      <c r="D59" s="2413">
        <f t="shared" si="15"/>
        <v>0</v>
      </c>
      <c r="E59" s="2435"/>
      <c r="F59" s="2433"/>
      <c r="G59" s="2411"/>
      <c r="H59" s="2412" t="str">
        <f t="shared" ref="H59:H66" si="19">IFERROR($F$58*I59/2,"——")</f>
        <v>——</v>
      </c>
      <c r="I59" s="2431">
        <v>0.3</v>
      </c>
      <c r="J59" s="2434">
        <f t="shared" si="16"/>
        <v>0</v>
      </c>
      <c r="K59" s="2434">
        <f t="shared" si="17"/>
        <v>0</v>
      </c>
      <c r="L59" s="2434">
        <v>0</v>
      </c>
      <c r="M59" s="2434">
        <f t="shared" si="18"/>
        <v>0</v>
      </c>
      <c r="N59" s="2434">
        <f t="shared" si="18"/>
        <v>0</v>
      </c>
      <c r="P59" s="2192"/>
      <c r="Q59" s="2192"/>
      <c r="R59" s="2193"/>
      <c r="S59" s="2193"/>
      <c r="T59" s="2193"/>
      <c r="U59" s="2193"/>
      <c r="V59" s="2193"/>
      <c r="W59" s="2192"/>
      <c r="X59" s="2192"/>
      <c r="Y59" s="2192"/>
      <c r="Z59" s="2192"/>
      <c r="AA59" s="2192"/>
      <c r="AB59" s="2192"/>
      <c r="AC59" s="2192"/>
      <c r="AD59" s="2193"/>
      <c r="AE59" s="1398"/>
      <c r="AF59" s="1398"/>
      <c r="AG59" s="1398"/>
      <c r="AH59" s="1398"/>
      <c r="AI59" s="1398"/>
      <c r="AJ59" s="1398"/>
      <c r="AK59" s="1398"/>
      <c r="AL59" s="1398"/>
      <c r="AM59" s="1398"/>
      <c r="AN59" s="1398"/>
    </row>
    <row r="60" spans="1:40" s="1397" customFormat="1" ht="24">
      <c r="A60" s="1064" t="s">
        <v>1023</v>
      </c>
      <c r="B60" s="2404">
        <f>估价对象房地状况!C19</f>
        <v>0</v>
      </c>
      <c r="C60" s="1047"/>
      <c r="D60" s="2413">
        <f t="shared" si="15"/>
        <v>0</v>
      </c>
      <c r="E60" s="2435"/>
      <c r="F60" s="2433"/>
      <c r="G60" s="2411"/>
      <c r="H60" s="2412" t="str">
        <f t="shared" si="19"/>
        <v>——</v>
      </c>
      <c r="I60" s="2431">
        <v>0.08</v>
      </c>
      <c r="J60" s="2434">
        <f t="shared" si="16"/>
        <v>0</v>
      </c>
      <c r="K60" s="2434">
        <f t="shared" si="17"/>
        <v>0</v>
      </c>
      <c r="L60" s="2434">
        <v>0</v>
      </c>
      <c r="M60" s="2434">
        <f t="shared" si="18"/>
        <v>0</v>
      </c>
      <c r="N60" s="2434">
        <f t="shared" si="18"/>
        <v>0</v>
      </c>
      <c r="P60" s="2192"/>
      <c r="Q60" s="2192"/>
      <c r="R60" s="2193"/>
      <c r="S60" s="2193"/>
      <c r="T60" s="2193"/>
      <c r="U60" s="2193"/>
      <c r="V60" s="2193"/>
      <c r="W60" s="2192"/>
      <c r="X60" s="2192"/>
      <c r="Y60" s="2192"/>
      <c r="Z60" s="2192"/>
      <c r="AA60" s="2192"/>
      <c r="AB60" s="2192"/>
      <c r="AC60" s="2192"/>
      <c r="AD60" s="2193"/>
      <c r="AE60" s="1398"/>
      <c r="AF60" s="1398"/>
      <c r="AG60" s="1398"/>
      <c r="AH60" s="1398"/>
      <c r="AI60" s="1398"/>
      <c r="AJ60" s="1398"/>
      <c r="AK60" s="1398"/>
      <c r="AL60" s="1398"/>
      <c r="AM60" s="1398"/>
      <c r="AN60" s="1398"/>
    </row>
    <row r="61" spans="1:40" s="1397" customFormat="1" ht="36">
      <c r="A61" s="1064" t="s">
        <v>1024</v>
      </c>
      <c r="B61" s="3093" t="s">
        <v>2939</v>
      </c>
      <c r="C61" s="1047"/>
      <c r="D61" s="2413">
        <f t="shared" si="15"/>
        <v>0</v>
      </c>
      <c r="E61" s="2435"/>
      <c r="F61" s="2433"/>
      <c r="G61" s="2411"/>
      <c r="H61" s="2412" t="str">
        <f t="shared" si="19"/>
        <v>——</v>
      </c>
      <c r="I61" s="2431">
        <v>0.04</v>
      </c>
      <c r="J61" s="2434">
        <f t="shared" si="16"/>
        <v>0</v>
      </c>
      <c r="K61" s="2434">
        <f t="shared" si="17"/>
        <v>0</v>
      </c>
      <c r="L61" s="2434">
        <v>0</v>
      </c>
      <c r="M61" s="2434">
        <f t="shared" si="18"/>
        <v>0</v>
      </c>
      <c r="N61" s="2434">
        <f t="shared" si="18"/>
        <v>0</v>
      </c>
      <c r="P61" s="2192"/>
      <c r="Q61" s="2192"/>
      <c r="R61" s="2193"/>
      <c r="S61" s="2193"/>
      <c r="T61" s="2193"/>
      <c r="U61" s="2193"/>
      <c r="V61" s="2193"/>
      <c r="W61" s="2192"/>
      <c r="X61" s="2192"/>
      <c r="Y61" s="2192"/>
      <c r="Z61" s="2192"/>
      <c r="AA61" s="2192"/>
      <c r="AB61" s="2192"/>
      <c r="AC61" s="2192"/>
      <c r="AD61" s="2193"/>
      <c r="AE61" s="1398"/>
      <c r="AF61" s="1398"/>
      <c r="AG61" s="1398"/>
      <c r="AH61" s="1398"/>
      <c r="AI61" s="1398"/>
      <c r="AJ61" s="1398"/>
      <c r="AK61" s="1398"/>
      <c r="AL61" s="1398"/>
      <c r="AM61" s="1398"/>
      <c r="AN61" s="1398"/>
    </row>
    <row r="62" spans="1:40" s="1397" customFormat="1" ht="24">
      <c r="A62" s="1064" t="s">
        <v>1025</v>
      </c>
      <c r="B62" s="2404">
        <f>估价对象房地状况!C24</f>
        <v>0</v>
      </c>
      <c r="C62" s="1047"/>
      <c r="D62" s="2413">
        <f t="shared" si="15"/>
        <v>0</v>
      </c>
      <c r="E62" s="2435"/>
      <c r="F62" s="2433"/>
      <c r="G62" s="2411"/>
      <c r="H62" s="2412" t="str">
        <f t="shared" si="19"/>
        <v>——</v>
      </c>
      <c r="I62" s="2431">
        <v>0.05</v>
      </c>
      <c r="J62" s="2434">
        <f t="shared" si="16"/>
        <v>0</v>
      </c>
      <c r="K62" s="2434">
        <f t="shared" si="17"/>
        <v>0</v>
      </c>
      <c r="L62" s="2434">
        <v>0</v>
      </c>
      <c r="M62" s="2434">
        <f t="shared" si="18"/>
        <v>0</v>
      </c>
      <c r="N62" s="2434">
        <f t="shared" si="18"/>
        <v>0</v>
      </c>
      <c r="P62" s="2192"/>
      <c r="Q62" s="2192"/>
      <c r="R62" s="2193"/>
      <c r="S62" s="2193"/>
      <c r="T62" s="2193"/>
      <c r="U62" s="2193"/>
      <c r="V62" s="2193"/>
      <c r="W62" s="2192"/>
      <c r="X62" s="2192"/>
      <c r="Y62" s="2192"/>
      <c r="Z62" s="2192"/>
      <c r="AA62" s="2192"/>
      <c r="AB62" s="2192"/>
      <c r="AC62" s="2192"/>
      <c r="AD62" s="2193"/>
      <c r="AE62" s="1398"/>
      <c r="AF62" s="1398"/>
      <c r="AG62" s="1398"/>
      <c r="AH62" s="1398"/>
      <c r="AI62" s="1398"/>
      <c r="AJ62" s="1398"/>
      <c r="AK62" s="1398"/>
      <c r="AL62" s="1398"/>
      <c r="AM62" s="1398"/>
      <c r="AN62" s="1398"/>
    </row>
    <row r="63" spans="1:40" s="1397" customFormat="1" ht="24">
      <c r="A63" s="1064" t="s">
        <v>1026</v>
      </c>
      <c r="B63" s="3092" t="s">
        <v>2937</v>
      </c>
      <c r="C63" s="1047"/>
      <c r="D63" s="2413">
        <f t="shared" si="15"/>
        <v>0</v>
      </c>
      <c r="E63" s="2435"/>
      <c r="F63" s="2433"/>
      <c r="G63" s="2411"/>
      <c r="H63" s="2412" t="str">
        <f t="shared" si="19"/>
        <v>——</v>
      </c>
      <c r="I63" s="2431">
        <v>0.05</v>
      </c>
      <c r="J63" s="2434">
        <f t="shared" si="16"/>
        <v>0</v>
      </c>
      <c r="K63" s="2434">
        <f t="shared" si="17"/>
        <v>0</v>
      </c>
      <c r="L63" s="2434">
        <v>0</v>
      </c>
      <c r="M63" s="2434">
        <f t="shared" si="18"/>
        <v>0</v>
      </c>
      <c r="N63" s="2434">
        <f t="shared" si="18"/>
        <v>0</v>
      </c>
      <c r="P63" s="2192"/>
      <c r="Q63" s="2192"/>
      <c r="R63" s="2193"/>
      <c r="S63" s="2193"/>
      <c r="T63" s="2193"/>
      <c r="U63" s="2193"/>
      <c r="V63" s="2193"/>
      <c r="W63" s="2192"/>
      <c r="X63" s="2192"/>
      <c r="Y63" s="2192"/>
      <c r="Z63" s="2192"/>
      <c r="AA63" s="2192"/>
      <c r="AB63" s="2192"/>
      <c r="AC63" s="2192"/>
      <c r="AD63" s="2193"/>
      <c r="AE63" s="1398"/>
      <c r="AF63" s="1398"/>
      <c r="AG63" s="1398"/>
      <c r="AH63" s="1398"/>
      <c r="AI63" s="1398"/>
      <c r="AJ63" s="1398"/>
      <c r="AK63" s="1398"/>
      <c r="AL63" s="1398"/>
      <c r="AM63" s="1398"/>
      <c r="AN63" s="1398"/>
    </row>
    <row r="64" spans="1:40" s="1397" customFormat="1" ht="24">
      <c r="A64" s="1064" t="s">
        <v>1027</v>
      </c>
      <c r="B64" s="2405" t="str">
        <f>估价对象房地状况!C21</f>
        <v>估价对象所在区域公共配套设施齐备情况</v>
      </c>
      <c r="C64" s="1047"/>
      <c r="D64" s="2413">
        <f t="shared" si="15"/>
        <v>0</v>
      </c>
      <c r="E64" s="2435"/>
      <c r="F64" s="2433"/>
      <c r="G64" s="2411"/>
      <c r="H64" s="2412" t="str">
        <f t="shared" si="19"/>
        <v>——</v>
      </c>
      <c r="I64" s="2431">
        <v>0.06</v>
      </c>
      <c r="J64" s="2434">
        <f t="shared" si="16"/>
        <v>0</v>
      </c>
      <c r="K64" s="2434">
        <f t="shared" si="17"/>
        <v>0</v>
      </c>
      <c r="L64" s="2434">
        <v>0</v>
      </c>
      <c r="M64" s="2434">
        <f t="shared" si="18"/>
        <v>0</v>
      </c>
      <c r="N64" s="2434">
        <f t="shared" si="18"/>
        <v>0</v>
      </c>
      <c r="P64" s="2192"/>
      <c r="Q64" s="2192"/>
      <c r="R64" s="2193"/>
      <c r="S64" s="2193"/>
      <c r="T64" s="2193"/>
      <c r="U64" s="2193"/>
      <c r="V64" s="2193"/>
      <c r="W64" s="2192"/>
      <c r="X64" s="2192"/>
      <c r="Y64" s="2192"/>
      <c r="Z64" s="2192"/>
      <c r="AA64" s="2192"/>
      <c r="AB64" s="2192"/>
      <c r="AC64" s="2192"/>
      <c r="AD64" s="2193"/>
      <c r="AE64" s="1398"/>
      <c r="AF64" s="1398"/>
      <c r="AG64" s="1398"/>
      <c r="AH64" s="1398"/>
      <c r="AI64" s="1398"/>
      <c r="AJ64" s="1398"/>
      <c r="AK64" s="1398"/>
      <c r="AL64" s="1398"/>
      <c r="AM64" s="1398"/>
      <c r="AN64" s="1398"/>
    </row>
    <row r="65" spans="1:40" s="1397" customFormat="1" ht="24">
      <c r="A65" s="1064" t="s">
        <v>1028</v>
      </c>
      <c r="B65" s="2405" t="str">
        <f>估价对象房地状况!C22</f>
        <v>估价对象所在区域基础设施水平</v>
      </c>
      <c r="C65" s="1047"/>
      <c r="D65" s="2413">
        <f t="shared" si="15"/>
        <v>0</v>
      </c>
      <c r="E65" s="2435"/>
      <c r="F65" s="2433"/>
      <c r="G65" s="2411"/>
      <c r="H65" s="2412" t="str">
        <f t="shared" si="19"/>
        <v>——</v>
      </c>
      <c r="I65" s="2431">
        <v>0.12</v>
      </c>
      <c r="J65" s="2434">
        <f t="shared" si="16"/>
        <v>0</v>
      </c>
      <c r="K65" s="2434">
        <f t="shared" si="17"/>
        <v>0</v>
      </c>
      <c r="L65" s="2434">
        <v>0</v>
      </c>
      <c r="M65" s="2434">
        <f t="shared" si="18"/>
        <v>0</v>
      </c>
      <c r="N65" s="2434">
        <f t="shared" si="18"/>
        <v>0</v>
      </c>
      <c r="P65" s="2192"/>
      <c r="Q65" s="2192"/>
      <c r="R65" s="2193"/>
      <c r="S65" s="2193"/>
      <c r="T65" s="2193"/>
      <c r="U65" s="2193"/>
      <c r="V65" s="2193"/>
      <c r="W65" s="2192"/>
      <c r="X65" s="2192"/>
      <c r="Y65" s="2192"/>
      <c r="Z65" s="2192"/>
      <c r="AA65" s="2192"/>
      <c r="AB65" s="2192"/>
      <c r="AC65" s="2192"/>
      <c r="AD65" s="2193"/>
      <c r="AE65" s="1398"/>
      <c r="AF65" s="1398"/>
      <c r="AG65" s="1398"/>
      <c r="AH65" s="1398"/>
      <c r="AI65" s="1398"/>
      <c r="AJ65" s="1398"/>
      <c r="AK65" s="1398"/>
      <c r="AL65" s="1398"/>
      <c r="AM65" s="1398"/>
      <c r="AN65" s="1398"/>
    </row>
    <row r="66" spans="1:40" s="1397" customFormat="1" ht="36.75" thickBot="1">
      <c r="A66" s="2437" t="s">
        <v>1029</v>
      </c>
      <c r="B66" s="2409" t="str">
        <f>估价对象房地状况!C20</f>
        <v>区域自然环境：；人文环境；综合评价环境状况一般</v>
      </c>
      <c r="C66" s="1047"/>
      <c r="D66" s="2413">
        <f t="shared" si="15"/>
        <v>0</v>
      </c>
      <c r="E66" s="2439"/>
      <c r="F66" s="2433"/>
      <c r="G66" s="2411"/>
      <c r="H66" s="2412" t="str">
        <f t="shared" si="19"/>
        <v>——</v>
      </c>
      <c r="I66" s="2438">
        <v>0.06</v>
      </c>
      <c r="J66" s="2434">
        <f t="shared" si="16"/>
        <v>0</v>
      </c>
      <c r="K66" s="2434">
        <f t="shared" si="17"/>
        <v>0</v>
      </c>
      <c r="L66" s="2434">
        <v>0</v>
      </c>
      <c r="M66" s="2434">
        <f t="shared" si="18"/>
        <v>0</v>
      </c>
      <c r="N66" s="2434">
        <f t="shared" si="18"/>
        <v>0</v>
      </c>
      <c r="P66" s="2192"/>
      <c r="Q66" s="2192"/>
      <c r="R66" s="2193"/>
      <c r="S66" s="2193"/>
      <c r="T66" s="2193"/>
      <c r="U66" s="2193"/>
      <c r="V66" s="2193"/>
      <c r="W66" s="2192"/>
      <c r="X66" s="2192"/>
      <c r="Y66" s="2192"/>
      <c r="Z66" s="2192"/>
      <c r="AA66" s="2192"/>
      <c r="AB66" s="2192"/>
      <c r="AC66" s="2192"/>
      <c r="AD66" s="2193"/>
      <c r="AE66" s="1398"/>
      <c r="AF66" s="1398"/>
      <c r="AG66" s="1398"/>
      <c r="AH66" s="1398"/>
      <c r="AI66" s="1398"/>
      <c r="AJ66" s="1398"/>
      <c r="AK66" s="1398"/>
      <c r="AL66" s="1398"/>
      <c r="AM66" s="1398"/>
      <c r="AN66" s="1398"/>
    </row>
    <row r="67" spans="1:40" s="1397" customFormat="1" ht="15">
      <c r="A67" s="2420" t="s">
        <v>1032</v>
      </c>
      <c r="B67" s="2421">
        <f>1+E69</f>
        <v>1</v>
      </c>
      <c r="C67" s="2440"/>
      <c r="D67" s="2423"/>
      <c r="E67" s="2424"/>
      <c r="F67" s="2425"/>
      <c r="G67" s="2419"/>
      <c r="H67" s="2419"/>
      <c r="I67" s="2419"/>
      <c r="J67" s="1063"/>
      <c r="K67" s="1063"/>
      <c r="L67" s="1063"/>
      <c r="M67" s="1063"/>
      <c r="N67" s="1063"/>
      <c r="P67" s="2192"/>
      <c r="Q67" s="2192"/>
      <c r="R67" s="2193"/>
      <c r="S67" s="2193"/>
      <c r="T67" s="2193"/>
      <c r="U67" s="2193"/>
      <c r="V67" s="2193"/>
      <c r="W67" s="2192"/>
      <c r="X67" s="2192"/>
      <c r="Y67" s="2192"/>
      <c r="Z67" s="2192"/>
      <c r="AA67" s="2192"/>
      <c r="AB67" s="2192"/>
      <c r="AC67" s="2192"/>
      <c r="AD67" s="2193"/>
      <c r="AE67" s="1398"/>
      <c r="AF67" s="1398"/>
      <c r="AG67" s="1398"/>
      <c r="AH67" s="1398"/>
      <c r="AI67" s="1398"/>
      <c r="AJ67" s="1398"/>
      <c r="AK67" s="1398"/>
      <c r="AL67" s="1398"/>
      <c r="AM67" s="1398"/>
      <c r="AN67" s="1398"/>
    </row>
    <row r="68" spans="1:40" s="1397" customFormat="1" ht="24">
      <c r="A68" s="1064" t="s">
        <v>1009</v>
      </c>
      <c r="B68" s="2404"/>
      <c r="C68" s="2426" t="s">
        <v>1011</v>
      </c>
      <c r="D68" s="2427" t="s">
        <v>1012</v>
      </c>
      <c r="E68" s="2428" t="s">
        <v>1014</v>
      </c>
      <c r="F68" s="2429" t="s">
        <v>2252</v>
      </c>
      <c r="G68" s="2427" t="s">
        <v>1015</v>
      </c>
      <c r="H68" s="2410" t="s">
        <v>2418</v>
      </c>
      <c r="I68" s="2427" t="s">
        <v>1013</v>
      </c>
      <c r="J68" s="2430" t="s">
        <v>1016</v>
      </c>
      <c r="K68" s="2430" t="s">
        <v>1017</v>
      </c>
      <c r="L68" s="2430" t="s">
        <v>1018</v>
      </c>
      <c r="M68" s="2430" t="s">
        <v>1019</v>
      </c>
      <c r="N68" s="2430" t="s">
        <v>1020</v>
      </c>
      <c r="P68" s="2192"/>
      <c r="Q68" s="2192"/>
      <c r="R68" s="2193"/>
      <c r="S68" s="2193"/>
      <c r="T68" s="2193"/>
      <c r="U68" s="2193"/>
      <c r="V68" s="2193"/>
      <c r="W68" s="2192"/>
      <c r="X68" s="2192"/>
      <c r="Y68" s="2192"/>
      <c r="Z68" s="2192"/>
      <c r="AA68" s="2192"/>
      <c r="AB68" s="2192"/>
      <c r="AC68" s="2192"/>
      <c r="AD68" s="2193"/>
      <c r="AE68" s="1398"/>
      <c r="AF68" s="1398"/>
      <c r="AG68" s="1398"/>
      <c r="AH68" s="1398"/>
      <c r="AI68" s="1398"/>
      <c r="AJ68" s="1398"/>
      <c r="AK68" s="1398"/>
      <c r="AL68" s="1398"/>
      <c r="AM68" s="1398"/>
      <c r="AN68" s="1398"/>
    </row>
    <row r="69" spans="1:40" s="1397" customFormat="1" ht="48">
      <c r="A69" s="1064" t="s">
        <v>1033</v>
      </c>
      <c r="B69" s="2407" t="str">
        <f>估价对象房地状况!C15</f>
        <v>估价对象周边居住用地比例、居住小区规模和社区发展完善程度，综合评价居住社区成熟度一般</v>
      </c>
      <c r="C69" s="1156"/>
      <c r="D69" s="2413">
        <f t="shared" ref="D69:D77" si="20">SUMIF($J$68:$N$68,C69,J69:N69)</f>
        <v>0</v>
      </c>
      <c r="E69" s="2432">
        <f>ROUND(SUM(D69:D77),4)</f>
        <v>0</v>
      </c>
      <c r="F69" s="2433" t="str">
        <f>IF(E2="住宅",SUMIF(L1:L12,G2,N1:N12),"——")</f>
        <v>——</v>
      </c>
      <c r="G69" s="2414"/>
      <c r="H69" s="2458" t="str">
        <f t="shared" ref="H69:H77" si="21">IFERROR(ROUNDDOWN($F$69*I69/2,4),"——")</f>
        <v>——</v>
      </c>
      <c r="I69" s="2431">
        <v>0.14000000000000001</v>
      </c>
      <c r="J69" s="2434">
        <f t="shared" ref="J69:J77" si="22">K69+$G69</f>
        <v>0</v>
      </c>
      <c r="K69" s="2434">
        <f t="shared" ref="K69:K77" si="23">$L69+$G69</f>
        <v>0</v>
      </c>
      <c r="L69" s="2434">
        <v>0</v>
      </c>
      <c r="M69" s="2434">
        <f t="shared" ref="M69:N77" si="24">L69-$G69</f>
        <v>0</v>
      </c>
      <c r="N69" s="2434">
        <f t="shared" si="24"/>
        <v>0</v>
      </c>
      <c r="P69" s="2192"/>
      <c r="Q69" s="2192"/>
      <c r="R69" s="2193"/>
      <c r="S69" s="2193"/>
      <c r="T69" s="2193"/>
      <c r="U69" s="2193"/>
      <c r="V69" s="2193"/>
      <c r="W69" s="2192"/>
      <c r="X69" s="2192"/>
      <c r="Y69" s="2192"/>
      <c r="Z69" s="2192"/>
      <c r="AA69" s="2192"/>
      <c r="AB69" s="2192"/>
      <c r="AC69" s="2192"/>
      <c r="AD69" s="2193"/>
      <c r="AE69" s="1398"/>
      <c r="AF69" s="1398"/>
      <c r="AG69" s="1398"/>
      <c r="AH69" s="1398"/>
      <c r="AI69" s="1398"/>
      <c r="AJ69" s="1398"/>
      <c r="AK69" s="1398"/>
      <c r="AL69" s="1398"/>
      <c r="AM69" s="1398"/>
      <c r="AN69" s="1398"/>
    </row>
    <row r="70" spans="1:40" s="1397" customFormat="1" ht="48">
      <c r="A70" s="1064" t="s">
        <v>1034</v>
      </c>
      <c r="B70" s="2404" t="str">
        <f>估价对象房地状况!C18</f>
        <v>估价对象周边道路状况、公共交通通达情况、停车便捷程度，综合评价交通便捷度较好</v>
      </c>
      <c r="C70" s="1156"/>
      <c r="D70" s="2413">
        <f t="shared" si="20"/>
        <v>0</v>
      </c>
      <c r="E70" s="2441"/>
      <c r="F70" s="2442"/>
      <c r="G70" s="2414"/>
      <c r="H70" s="2458" t="str">
        <f t="shared" si="21"/>
        <v>——</v>
      </c>
      <c r="I70" s="2431">
        <v>0.3</v>
      </c>
      <c r="J70" s="2434">
        <f t="shared" si="22"/>
        <v>0</v>
      </c>
      <c r="K70" s="2434">
        <f t="shared" si="23"/>
        <v>0</v>
      </c>
      <c r="L70" s="2434">
        <v>0</v>
      </c>
      <c r="M70" s="2434">
        <f t="shared" si="24"/>
        <v>0</v>
      </c>
      <c r="N70" s="2434">
        <f t="shared" si="24"/>
        <v>0</v>
      </c>
      <c r="P70" s="2192"/>
      <c r="Q70" s="2192"/>
      <c r="R70" s="2193"/>
      <c r="S70" s="2193"/>
      <c r="T70" s="2193"/>
      <c r="U70" s="2193"/>
      <c r="V70" s="2193"/>
      <c r="W70" s="2192"/>
      <c r="X70" s="2192"/>
      <c r="Y70" s="2192"/>
      <c r="Z70" s="2192"/>
      <c r="AA70" s="2192"/>
      <c r="AB70" s="2192"/>
      <c r="AC70" s="2192"/>
      <c r="AD70" s="2193"/>
      <c r="AE70" s="1398"/>
      <c r="AF70" s="1398"/>
      <c r="AG70" s="1398"/>
      <c r="AH70" s="1398"/>
      <c r="AI70" s="1398"/>
      <c r="AJ70" s="1398"/>
      <c r="AK70" s="1398"/>
      <c r="AL70" s="1398"/>
      <c r="AM70" s="1398"/>
      <c r="AN70" s="1398"/>
    </row>
    <row r="71" spans="1:40" s="1397" customFormat="1" ht="24">
      <c r="A71" s="1064" t="s">
        <v>1023</v>
      </c>
      <c r="B71" s="2404">
        <f>估价对象房地状况!C19</f>
        <v>0</v>
      </c>
      <c r="C71" s="1156"/>
      <c r="D71" s="2413">
        <f t="shared" si="20"/>
        <v>0</v>
      </c>
      <c r="E71" s="2441"/>
      <c r="F71" s="2442"/>
      <c r="G71" s="2414"/>
      <c r="H71" s="2458" t="str">
        <f t="shared" si="21"/>
        <v>——</v>
      </c>
      <c r="I71" s="2431">
        <v>0.08</v>
      </c>
      <c r="J71" s="2434">
        <f t="shared" si="22"/>
        <v>0</v>
      </c>
      <c r="K71" s="2434">
        <f t="shared" si="23"/>
        <v>0</v>
      </c>
      <c r="L71" s="2434">
        <v>0</v>
      </c>
      <c r="M71" s="2434">
        <f t="shared" si="24"/>
        <v>0</v>
      </c>
      <c r="N71" s="2434">
        <f t="shared" si="24"/>
        <v>0</v>
      </c>
      <c r="P71" s="2192"/>
      <c r="Q71" s="2192"/>
      <c r="R71" s="2193"/>
      <c r="S71" s="2193"/>
      <c r="T71" s="2193"/>
      <c r="U71" s="2193"/>
      <c r="V71" s="2193"/>
      <c r="W71" s="2192"/>
      <c r="X71" s="2192"/>
      <c r="Y71" s="2192"/>
      <c r="Z71" s="2192"/>
      <c r="AA71" s="2192"/>
      <c r="AB71" s="2192"/>
      <c r="AC71" s="2192"/>
      <c r="AD71" s="2193"/>
      <c r="AE71" s="1398"/>
      <c r="AF71" s="1398"/>
      <c r="AG71" s="1398"/>
      <c r="AH71" s="1398"/>
      <c r="AI71" s="1398"/>
      <c r="AJ71" s="1398"/>
      <c r="AK71" s="1398"/>
      <c r="AL71" s="1398"/>
      <c r="AM71" s="1398"/>
      <c r="AN71" s="1398"/>
    </row>
    <row r="72" spans="1:40" s="1397" customFormat="1" ht="14.25">
      <c r="A72" s="1064" t="s">
        <v>1035</v>
      </c>
      <c r="B72" s="2404">
        <f>估价对象房地状况!C24</f>
        <v>0</v>
      </c>
      <c r="C72" s="1156"/>
      <c r="D72" s="2413">
        <f t="shared" si="20"/>
        <v>0</v>
      </c>
      <c r="E72" s="2441"/>
      <c r="F72" s="2442"/>
      <c r="G72" s="2414"/>
      <c r="H72" s="2458" t="str">
        <f t="shared" si="21"/>
        <v>——</v>
      </c>
      <c r="I72" s="2431">
        <v>0.04</v>
      </c>
      <c r="J72" s="2434">
        <f t="shared" si="22"/>
        <v>0</v>
      </c>
      <c r="K72" s="2434">
        <f t="shared" si="23"/>
        <v>0</v>
      </c>
      <c r="L72" s="2434">
        <v>0</v>
      </c>
      <c r="M72" s="2434">
        <f t="shared" si="24"/>
        <v>0</v>
      </c>
      <c r="N72" s="2434">
        <f t="shared" si="24"/>
        <v>0</v>
      </c>
      <c r="P72" s="2192"/>
      <c r="Q72" s="2192"/>
      <c r="R72" s="2193"/>
      <c r="S72" s="2193"/>
      <c r="T72" s="2193"/>
      <c r="U72" s="2193"/>
      <c r="V72" s="2193"/>
      <c r="W72" s="2192"/>
      <c r="X72" s="2192"/>
      <c r="Y72" s="2192"/>
      <c r="Z72" s="2192"/>
      <c r="AA72" s="2192"/>
      <c r="AB72" s="2192"/>
      <c r="AC72" s="2192"/>
      <c r="AD72" s="2193"/>
      <c r="AE72" s="1398"/>
      <c r="AF72" s="1398"/>
      <c r="AG72" s="1398"/>
      <c r="AH72" s="1398"/>
      <c r="AI72" s="1398"/>
      <c r="AJ72" s="1398"/>
      <c r="AK72" s="1398"/>
      <c r="AL72" s="1398"/>
      <c r="AM72" s="1398"/>
      <c r="AN72" s="1398"/>
    </row>
    <row r="73" spans="1:40" s="1397" customFormat="1" ht="24">
      <c r="A73" s="1064" t="s">
        <v>1027</v>
      </c>
      <c r="B73" s="2405" t="str">
        <f>估价对象房地状况!C21</f>
        <v>估价对象所在区域公共配套设施齐备情况</v>
      </c>
      <c r="C73" s="1156"/>
      <c r="D73" s="2413">
        <f t="shared" si="20"/>
        <v>0</v>
      </c>
      <c r="E73" s="2441"/>
      <c r="F73" s="2442"/>
      <c r="G73" s="2414"/>
      <c r="H73" s="2458" t="str">
        <f t="shared" si="21"/>
        <v>——</v>
      </c>
      <c r="I73" s="2431">
        <v>0.08</v>
      </c>
      <c r="J73" s="2434">
        <f t="shared" si="22"/>
        <v>0</v>
      </c>
      <c r="K73" s="2434">
        <f t="shared" si="23"/>
        <v>0</v>
      </c>
      <c r="L73" s="2434">
        <v>0</v>
      </c>
      <c r="M73" s="2434">
        <f t="shared" si="24"/>
        <v>0</v>
      </c>
      <c r="N73" s="2434">
        <f t="shared" si="24"/>
        <v>0</v>
      </c>
      <c r="P73" s="2192"/>
      <c r="Q73" s="2192"/>
      <c r="R73" s="2193"/>
      <c r="S73" s="2193"/>
      <c r="T73" s="2193"/>
      <c r="U73" s="2193"/>
      <c r="V73" s="2193"/>
      <c r="W73" s="2192"/>
      <c r="X73" s="2192"/>
      <c r="Y73" s="2192"/>
      <c r="Z73" s="2192"/>
      <c r="AA73" s="2192"/>
      <c r="AB73" s="2192"/>
      <c r="AC73" s="2192"/>
      <c r="AD73" s="2193"/>
      <c r="AE73" s="1398"/>
      <c r="AF73" s="1398"/>
      <c r="AG73" s="1398"/>
      <c r="AH73" s="1398"/>
      <c r="AI73" s="1398"/>
      <c r="AJ73" s="1398"/>
      <c r="AK73" s="1398"/>
      <c r="AL73" s="1398"/>
      <c r="AM73" s="1398"/>
      <c r="AN73" s="1398"/>
    </row>
    <row r="74" spans="1:40" s="1397" customFormat="1" ht="24">
      <c r="A74" s="1064" t="s">
        <v>1028</v>
      </c>
      <c r="B74" s="2405" t="str">
        <f>估价对象房地状况!C22</f>
        <v>估价对象所在区域基础设施水平</v>
      </c>
      <c r="C74" s="1156"/>
      <c r="D74" s="2413">
        <f t="shared" si="20"/>
        <v>0</v>
      </c>
      <c r="E74" s="2441"/>
      <c r="F74" s="2442"/>
      <c r="G74" s="2414"/>
      <c r="H74" s="2458" t="str">
        <f t="shared" si="21"/>
        <v>——</v>
      </c>
      <c r="I74" s="2431">
        <v>0.12</v>
      </c>
      <c r="J74" s="2434">
        <f t="shared" si="22"/>
        <v>0</v>
      </c>
      <c r="K74" s="2434">
        <f t="shared" si="23"/>
        <v>0</v>
      </c>
      <c r="L74" s="2434">
        <v>0</v>
      </c>
      <c r="M74" s="2434">
        <f t="shared" si="24"/>
        <v>0</v>
      </c>
      <c r="N74" s="2434">
        <f t="shared" si="24"/>
        <v>0</v>
      </c>
      <c r="P74" s="2192"/>
      <c r="Q74" s="2192"/>
      <c r="R74" s="2193"/>
      <c r="S74" s="2193"/>
      <c r="T74" s="2193"/>
      <c r="U74" s="2193"/>
      <c r="V74" s="2193"/>
      <c r="W74" s="2192"/>
      <c r="X74" s="2192"/>
      <c r="Y74" s="2192"/>
      <c r="Z74" s="2192"/>
      <c r="AA74" s="2192"/>
      <c r="AB74" s="2192"/>
      <c r="AC74" s="2192"/>
      <c r="AD74" s="2193"/>
      <c r="AE74" s="1398"/>
      <c r="AF74" s="1398"/>
      <c r="AG74" s="1398"/>
      <c r="AH74" s="1398"/>
      <c r="AI74" s="1398"/>
      <c r="AJ74" s="1398"/>
      <c r="AK74" s="1398"/>
      <c r="AL74" s="1398"/>
      <c r="AM74" s="1398"/>
      <c r="AN74" s="1398"/>
    </row>
    <row r="75" spans="1:40" s="1397" customFormat="1" ht="24">
      <c r="A75" s="1064" t="s">
        <v>1026</v>
      </c>
      <c r="B75" s="3092" t="s">
        <v>2937</v>
      </c>
      <c r="C75" s="1156"/>
      <c r="D75" s="2413">
        <f t="shared" si="20"/>
        <v>0</v>
      </c>
      <c r="E75" s="2441"/>
      <c r="F75" s="2442"/>
      <c r="G75" s="2414"/>
      <c r="H75" s="2458" t="str">
        <f t="shared" si="21"/>
        <v>——</v>
      </c>
      <c r="I75" s="2431">
        <v>0.05</v>
      </c>
      <c r="J75" s="2434">
        <f t="shared" si="22"/>
        <v>0</v>
      </c>
      <c r="K75" s="2434">
        <f t="shared" si="23"/>
        <v>0</v>
      </c>
      <c r="L75" s="2434">
        <v>0</v>
      </c>
      <c r="M75" s="2434">
        <f t="shared" si="24"/>
        <v>0</v>
      </c>
      <c r="N75" s="2434">
        <f t="shared" si="24"/>
        <v>0</v>
      </c>
      <c r="P75" s="2192"/>
      <c r="Q75" s="2192"/>
      <c r="R75" s="2193"/>
      <c r="S75" s="2193"/>
      <c r="T75" s="2193"/>
      <c r="U75" s="2193"/>
      <c r="V75" s="2193"/>
      <c r="W75" s="2192"/>
      <c r="X75" s="2192"/>
      <c r="Y75" s="2192"/>
      <c r="Z75" s="2192"/>
      <c r="AA75" s="2192"/>
      <c r="AB75" s="2192"/>
      <c r="AC75" s="2192"/>
      <c r="AD75" s="2193"/>
      <c r="AE75" s="1398"/>
      <c r="AF75" s="1398"/>
      <c r="AG75" s="1398"/>
      <c r="AH75" s="1398"/>
      <c r="AI75" s="1398"/>
      <c r="AJ75" s="1398"/>
      <c r="AK75" s="1398"/>
      <c r="AL75" s="1398"/>
      <c r="AM75" s="1398"/>
      <c r="AN75" s="1398"/>
    </row>
    <row r="76" spans="1:40" ht="36">
      <c r="A76" s="1064" t="s">
        <v>1029</v>
      </c>
      <c r="B76" s="2407" t="str">
        <f>估价对象房地状况!C20</f>
        <v>区域自然环境：；人文环境；综合评价环境状况一般</v>
      </c>
      <c r="C76" s="1156"/>
      <c r="D76" s="2413">
        <f t="shared" si="20"/>
        <v>0</v>
      </c>
      <c r="E76" s="2441"/>
      <c r="F76" s="2442"/>
      <c r="G76" s="2414"/>
      <c r="H76" s="2458" t="str">
        <f t="shared" si="21"/>
        <v>——</v>
      </c>
      <c r="I76" s="2431">
        <v>0.15</v>
      </c>
      <c r="J76" s="2434">
        <f t="shared" si="22"/>
        <v>0</v>
      </c>
      <c r="K76" s="2434">
        <f t="shared" si="23"/>
        <v>0</v>
      </c>
      <c r="L76" s="2434">
        <v>0</v>
      </c>
      <c r="M76" s="2434">
        <f t="shared" si="24"/>
        <v>0</v>
      </c>
      <c r="N76" s="2434">
        <f t="shared" si="24"/>
        <v>0</v>
      </c>
      <c r="P76" s="2195"/>
      <c r="Q76" s="2195"/>
      <c r="R76" s="2196"/>
      <c r="S76" s="2196"/>
      <c r="T76" s="2196"/>
      <c r="U76" s="2196"/>
      <c r="V76" s="2196"/>
      <c r="W76" s="2195"/>
      <c r="X76" s="2195"/>
      <c r="Y76" s="2195"/>
      <c r="Z76" s="2195"/>
      <c r="AA76" s="2195"/>
      <c r="AB76" s="2195"/>
      <c r="AC76" s="2195"/>
      <c r="AD76" s="2196"/>
      <c r="AJ76" s="1398"/>
      <c r="AN76" s="1399"/>
    </row>
    <row r="77" spans="1:40" ht="24.75" thickBot="1">
      <c r="A77" s="2437" t="s">
        <v>1036</v>
      </c>
      <c r="B77" s="1846"/>
      <c r="C77" s="1156"/>
      <c r="D77" s="2413">
        <f t="shared" si="20"/>
        <v>0</v>
      </c>
      <c r="E77" s="2443"/>
      <c r="F77" s="2442"/>
      <c r="G77" s="2414"/>
      <c r="H77" s="2458" t="str">
        <f t="shared" si="21"/>
        <v>——</v>
      </c>
      <c r="I77" s="2438">
        <v>0.04</v>
      </c>
      <c r="J77" s="2434">
        <f t="shared" si="22"/>
        <v>0</v>
      </c>
      <c r="K77" s="2434">
        <f t="shared" si="23"/>
        <v>0</v>
      </c>
      <c r="L77" s="2434">
        <v>0</v>
      </c>
      <c r="M77" s="2434">
        <f t="shared" si="24"/>
        <v>0</v>
      </c>
      <c r="N77" s="2434">
        <f t="shared" si="24"/>
        <v>0</v>
      </c>
      <c r="AC77" s="1400"/>
      <c r="AD77" s="1399"/>
      <c r="AJ77" s="1398"/>
      <c r="AN77" s="1399"/>
    </row>
    <row r="78" spans="1:40" ht="15">
      <c r="A78" s="2420" t="s">
        <v>1037</v>
      </c>
      <c r="B78" s="2421">
        <f>1+E80</f>
        <v>1</v>
      </c>
      <c r="C78" s="2440"/>
      <c r="D78" s="2423"/>
      <c r="E78" s="2424"/>
      <c r="F78" s="2425"/>
      <c r="G78" s="2419"/>
      <c r="H78" s="2419"/>
      <c r="I78" s="2419"/>
      <c r="J78" s="1063"/>
      <c r="K78" s="1063"/>
      <c r="L78" s="1063"/>
      <c r="M78" s="1063"/>
      <c r="N78" s="1063"/>
      <c r="AC78" s="1400"/>
      <c r="AD78" s="1399"/>
      <c r="AJ78" s="1398"/>
      <c r="AN78" s="1399"/>
    </row>
    <row r="79" spans="1:40" ht="24">
      <c r="A79" s="1064" t="s">
        <v>1009</v>
      </c>
      <c r="B79" s="2404"/>
      <c r="C79" s="2426" t="s">
        <v>1011</v>
      </c>
      <c r="D79" s="2427" t="s">
        <v>1012</v>
      </c>
      <c r="E79" s="2428" t="s">
        <v>1014</v>
      </c>
      <c r="F79" s="2429" t="s">
        <v>2253</v>
      </c>
      <c r="G79" s="2427" t="s">
        <v>1015</v>
      </c>
      <c r="H79" s="2410" t="s">
        <v>2418</v>
      </c>
      <c r="I79" s="2427" t="s">
        <v>1013</v>
      </c>
      <c r="J79" s="2430" t="s">
        <v>1016</v>
      </c>
      <c r="K79" s="2430" t="s">
        <v>1017</v>
      </c>
      <c r="L79" s="2430" t="s">
        <v>1018</v>
      </c>
      <c r="M79" s="2430" t="s">
        <v>1019</v>
      </c>
      <c r="N79" s="2430" t="s">
        <v>1020</v>
      </c>
      <c r="AC79" s="1400"/>
      <c r="AD79" s="1399"/>
      <c r="AJ79" s="1398"/>
      <c r="AN79" s="1399"/>
    </row>
    <row r="80" spans="1:40" ht="36">
      <c r="A80" s="1064" t="s">
        <v>1038</v>
      </c>
      <c r="B80" s="2404" t="str">
        <f>估价对象房地状况!G15</f>
        <v>估价对象位于XX开发区，园区建设成熟度XX，产业集聚程度XX</v>
      </c>
      <c r="C80" s="1047"/>
      <c r="D80" s="2413">
        <f t="shared" ref="D80:D87" si="25">SUMIF($J$79:$N$79,C80,J80:N80)</f>
        <v>0</v>
      </c>
      <c r="E80" s="2432">
        <f>ROUND(SUM(D80:D87),4)</f>
        <v>0</v>
      </c>
      <c r="F80" s="2433" t="str">
        <f>IF(E2="工业",SUMIF(L1:L12,G2,N1:N12),"——")</f>
        <v>——</v>
      </c>
      <c r="G80" s="2411"/>
      <c r="H80" s="2457" t="str">
        <f t="shared" ref="H80:H87" si="26">IFERROR(ROUNDDOWN($F$80*I80/2,4),"——")</f>
        <v>——</v>
      </c>
      <c r="I80" s="2431">
        <v>0.26</v>
      </c>
      <c r="J80" s="2434">
        <f t="shared" ref="J80:J87" si="27">K80+$G80</f>
        <v>0</v>
      </c>
      <c r="K80" s="2434">
        <f t="shared" ref="K80:K87" si="28">$L80+$G80</f>
        <v>0</v>
      </c>
      <c r="L80" s="2434">
        <v>0</v>
      </c>
      <c r="M80" s="2434">
        <f t="shared" ref="M80:N87" si="29">L80-$G80</f>
        <v>0</v>
      </c>
      <c r="N80" s="2434">
        <f t="shared" si="29"/>
        <v>0</v>
      </c>
      <c r="AC80" s="1400"/>
      <c r="AD80" s="1399"/>
      <c r="AJ80" s="1398"/>
      <c r="AN80" s="1399"/>
    </row>
    <row r="81" spans="1:40" ht="48">
      <c r="A81" s="1064" t="s">
        <v>1034</v>
      </c>
      <c r="B81" s="2404" t="str">
        <f>估价对象房地状况!G16</f>
        <v>估价对象周边道路状况、公共交通通达情况、停车便捷程度，综合评价交通便捷度较好</v>
      </c>
      <c r="C81" s="1047"/>
      <c r="D81" s="2413">
        <f t="shared" si="25"/>
        <v>0</v>
      </c>
      <c r="E81" s="2441"/>
      <c r="F81" s="2442"/>
      <c r="G81" s="2411"/>
      <c r="H81" s="2457" t="str">
        <f t="shared" si="26"/>
        <v>——</v>
      </c>
      <c r="I81" s="2431">
        <v>0.33</v>
      </c>
      <c r="J81" s="2434">
        <f t="shared" si="27"/>
        <v>0</v>
      </c>
      <c r="K81" s="2434">
        <f t="shared" si="28"/>
        <v>0</v>
      </c>
      <c r="L81" s="2434">
        <v>0</v>
      </c>
      <c r="M81" s="2434">
        <f t="shared" si="29"/>
        <v>0</v>
      </c>
      <c r="N81" s="2434">
        <f t="shared" si="29"/>
        <v>0</v>
      </c>
      <c r="AC81" s="1400"/>
      <c r="AD81" s="1399"/>
      <c r="AJ81" s="1398"/>
      <c r="AN81" s="1399"/>
    </row>
    <row r="82" spans="1:40" ht="24">
      <c r="A82" s="1064" t="s">
        <v>1023</v>
      </c>
      <c r="B82" s="2404">
        <f>估价对象房地状况!G17</f>
        <v>0</v>
      </c>
      <c r="C82" s="1047"/>
      <c r="D82" s="2413">
        <f t="shared" si="25"/>
        <v>0</v>
      </c>
      <c r="E82" s="2441"/>
      <c r="F82" s="2442"/>
      <c r="G82" s="2411"/>
      <c r="H82" s="2457" t="str">
        <f t="shared" si="26"/>
        <v>——</v>
      </c>
      <c r="I82" s="2431">
        <v>0.05</v>
      </c>
      <c r="J82" s="2434">
        <f t="shared" si="27"/>
        <v>0</v>
      </c>
      <c r="K82" s="2434">
        <f t="shared" si="28"/>
        <v>0</v>
      </c>
      <c r="L82" s="2434">
        <v>0</v>
      </c>
      <c r="M82" s="2434">
        <f t="shared" si="29"/>
        <v>0</v>
      </c>
      <c r="N82" s="2434">
        <f t="shared" si="29"/>
        <v>0</v>
      </c>
      <c r="AC82" s="1400"/>
      <c r="AD82" s="1399"/>
      <c r="AJ82" s="1398"/>
      <c r="AN82" s="1399"/>
    </row>
    <row r="83" spans="1:40" ht="14.25">
      <c r="A83" s="1064" t="s">
        <v>1035</v>
      </c>
      <c r="B83" s="2404">
        <f>估价对象房地状况!G22</f>
        <v>0</v>
      </c>
      <c r="C83" s="1047"/>
      <c r="D83" s="2413">
        <f t="shared" si="25"/>
        <v>0</v>
      </c>
      <c r="E83" s="2441"/>
      <c r="F83" s="2442"/>
      <c r="G83" s="2411"/>
      <c r="H83" s="2457" t="str">
        <f t="shared" si="26"/>
        <v>——</v>
      </c>
      <c r="I83" s="2431">
        <v>0.04</v>
      </c>
      <c r="J83" s="2434">
        <f t="shared" si="27"/>
        <v>0</v>
      </c>
      <c r="K83" s="2434">
        <f t="shared" si="28"/>
        <v>0</v>
      </c>
      <c r="L83" s="2434">
        <v>0</v>
      </c>
      <c r="M83" s="2434">
        <f t="shared" si="29"/>
        <v>0</v>
      </c>
      <c r="N83" s="2434">
        <f t="shared" si="29"/>
        <v>0</v>
      </c>
      <c r="AC83" s="1400"/>
      <c r="AD83" s="1399"/>
      <c r="AJ83" s="1398"/>
      <c r="AN83" s="1399"/>
    </row>
    <row r="84" spans="1:40" ht="24">
      <c r="A84" s="1064" t="s">
        <v>1027</v>
      </c>
      <c r="B84" s="2405" t="str">
        <f>估价对象房地状况!G19</f>
        <v>估价对象所在区域公共配套设施齐备情况</v>
      </c>
      <c r="C84" s="1047"/>
      <c r="D84" s="2413">
        <f t="shared" si="25"/>
        <v>0</v>
      </c>
      <c r="E84" s="2441"/>
      <c r="F84" s="2442"/>
      <c r="G84" s="2411"/>
      <c r="H84" s="2457" t="str">
        <f t="shared" si="26"/>
        <v>——</v>
      </c>
      <c r="I84" s="2431">
        <v>0.06</v>
      </c>
      <c r="J84" s="2434">
        <f t="shared" si="27"/>
        <v>0</v>
      </c>
      <c r="K84" s="2434">
        <f t="shared" si="28"/>
        <v>0</v>
      </c>
      <c r="L84" s="2434">
        <v>0</v>
      </c>
      <c r="M84" s="2434">
        <f t="shared" si="29"/>
        <v>0</v>
      </c>
      <c r="N84" s="2434">
        <f t="shared" si="29"/>
        <v>0</v>
      </c>
      <c r="AC84" s="1400"/>
      <c r="AD84" s="1399"/>
      <c r="AJ84" s="1398"/>
      <c r="AN84" s="1399"/>
    </row>
    <row r="85" spans="1:40" ht="24">
      <c r="A85" s="1064" t="s">
        <v>1028</v>
      </c>
      <c r="B85" s="2405" t="str">
        <f>估价对象房地状况!G20</f>
        <v>估价对象所在区域基础设施水平</v>
      </c>
      <c r="C85" s="1047"/>
      <c r="D85" s="2413">
        <f t="shared" si="25"/>
        <v>0</v>
      </c>
      <c r="E85" s="2441"/>
      <c r="F85" s="2442"/>
      <c r="G85" s="2411"/>
      <c r="H85" s="2457" t="str">
        <f t="shared" si="26"/>
        <v>——</v>
      </c>
      <c r="I85" s="2431">
        <v>0.15</v>
      </c>
      <c r="J85" s="2434">
        <f t="shared" si="27"/>
        <v>0</v>
      </c>
      <c r="K85" s="2434">
        <f t="shared" si="28"/>
        <v>0</v>
      </c>
      <c r="L85" s="2434">
        <v>0</v>
      </c>
      <c r="M85" s="2434">
        <f t="shared" si="29"/>
        <v>0</v>
      </c>
      <c r="N85" s="2434">
        <f t="shared" si="29"/>
        <v>0</v>
      </c>
      <c r="AC85" s="1400"/>
      <c r="AD85" s="1399"/>
      <c r="AJ85" s="1398"/>
      <c r="AN85" s="1399"/>
    </row>
    <row r="86" spans="1:40" ht="24">
      <c r="A86" s="1064" t="s">
        <v>1026</v>
      </c>
      <c r="B86" s="3092" t="s">
        <v>2937</v>
      </c>
      <c r="C86" s="1047"/>
      <c r="D86" s="2413">
        <f t="shared" si="25"/>
        <v>0</v>
      </c>
      <c r="E86" s="2441"/>
      <c r="F86" s="2442"/>
      <c r="G86" s="2411"/>
      <c r="H86" s="2457" t="str">
        <f t="shared" si="26"/>
        <v>——</v>
      </c>
      <c r="I86" s="2431">
        <v>0.05</v>
      </c>
      <c r="J86" s="2434">
        <f t="shared" si="27"/>
        <v>0</v>
      </c>
      <c r="K86" s="2434">
        <f t="shared" si="28"/>
        <v>0</v>
      </c>
      <c r="L86" s="2434">
        <v>0</v>
      </c>
      <c r="M86" s="2434">
        <f t="shared" si="29"/>
        <v>0</v>
      </c>
      <c r="N86" s="2434">
        <f t="shared" si="29"/>
        <v>0</v>
      </c>
      <c r="AC86" s="1400"/>
      <c r="AD86" s="1399"/>
      <c r="AJ86" s="1398"/>
      <c r="AN86" s="1399"/>
    </row>
    <row r="87" spans="1:40" ht="36.75" thickBot="1">
      <c r="A87" s="2437" t="s">
        <v>1039</v>
      </c>
      <c r="B87" s="2406" t="str">
        <f>估价对象房地状况!G18</f>
        <v>该园区内是否有污染型企业，绿化情况，卫生条件，整体环境状况判断</v>
      </c>
      <c r="C87" s="1047"/>
      <c r="D87" s="2413">
        <f t="shared" si="25"/>
        <v>0</v>
      </c>
      <c r="E87" s="2443"/>
      <c r="F87" s="2442"/>
      <c r="G87" s="2411"/>
      <c r="H87" s="2457" t="str">
        <f t="shared" si="26"/>
        <v>——</v>
      </c>
      <c r="I87" s="2438">
        <v>0.06</v>
      </c>
      <c r="J87" s="2434">
        <f t="shared" si="27"/>
        <v>0</v>
      </c>
      <c r="K87" s="2434">
        <f t="shared" si="28"/>
        <v>0</v>
      </c>
      <c r="L87" s="2434">
        <v>0</v>
      </c>
      <c r="M87" s="2434">
        <f t="shared" si="29"/>
        <v>0</v>
      </c>
      <c r="N87" s="2434">
        <f t="shared" si="29"/>
        <v>0</v>
      </c>
      <c r="AC87" s="1400"/>
      <c r="AD87" s="1399"/>
      <c r="AJ87" s="1398"/>
      <c r="AN87" s="1399"/>
    </row>
    <row r="90" spans="1:40">
      <c r="A90" s="3721" t="s">
        <v>1634</v>
      </c>
      <c r="B90" s="3721"/>
      <c r="C90" s="3721"/>
      <c r="D90" s="3721"/>
      <c r="E90" s="3721"/>
      <c r="F90" s="3721"/>
      <c r="G90" s="3721"/>
      <c r="H90" s="3721"/>
      <c r="I90" s="3721"/>
      <c r="J90" s="3721"/>
      <c r="K90" s="2446"/>
      <c r="L90" s="2446"/>
      <c r="M90" s="2446"/>
      <c r="N90" s="2446"/>
    </row>
    <row r="91" spans="1:40">
      <c r="A91" s="3722" t="s">
        <v>1444</v>
      </c>
      <c r="B91" s="3722" t="s">
        <v>1635</v>
      </c>
      <c r="C91" s="1137" t="s">
        <v>1636</v>
      </c>
      <c r="D91" s="1138"/>
      <c r="E91" s="1138"/>
      <c r="F91" s="1138"/>
      <c r="G91" s="1138"/>
      <c r="H91" s="1138"/>
      <c r="I91" s="1138"/>
      <c r="J91" s="1139"/>
      <c r="K91" s="1131"/>
      <c r="L91" s="1131"/>
      <c r="M91" s="1131"/>
      <c r="N91" s="1131"/>
    </row>
    <row r="92" spans="1:40">
      <c r="A92" s="3722"/>
      <c r="B92" s="3722"/>
      <c r="C92" s="2445" t="s">
        <v>907</v>
      </c>
      <c r="D92" s="2445" t="s">
        <v>885</v>
      </c>
      <c r="E92" s="2445" t="s">
        <v>886</v>
      </c>
      <c r="F92" s="2445" t="s">
        <v>910</v>
      </c>
      <c r="G92" s="2445" t="s">
        <v>888</v>
      </c>
      <c r="H92" s="2445" t="s">
        <v>889</v>
      </c>
      <c r="I92" s="2445" t="s">
        <v>890</v>
      </c>
      <c r="J92" s="2445" t="s">
        <v>891</v>
      </c>
      <c r="K92" s="2445" t="s">
        <v>915</v>
      </c>
      <c r="L92" s="2445" t="s">
        <v>893</v>
      </c>
      <c r="M92" s="2445" t="s">
        <v>894</v>
      </c>
      <c r="N92" s="2445" t="s">
        <v>918</v>
      </c>
    </row>
    <row r="93" spans="1:40">
      <c r="A93" s="3729" t="s">
        <v>2763</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730"/>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730"/>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730"/>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730"/>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730"/>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730"/>
      <c r="B99" s="1140" t="s">
        <v>1637</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731"/>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729" t="s">
        <v>1638</v>
      </c>
      <c r="B101" s="1144" t="s">
        <v>906</v>
      </c>
      <c r="C101" s="1145">
        <f>$G$3</f>
        <v>1.8</v>
      </c>
      <c r="D101" s="1145">
        <f t="shared" ref="D101:N101" si="31">$G$3</f>
        <v>1.8</v>
      </c>
      <c r="E101" s="1145">
        <f t="shared" si="31"/>
        <v>1.8</v>
      </c>
      <c r="F101" s="1145">
        <f t="shared" si="31"/>
        <v>1.8</v>
      </c>
      <c r="G101" s="1145">
        <f t="shared" si="31"/>
        <v>1.8</v>
      </c>
      <c r="H101" s="1145">
        <f t="shared" si="31"/>
        <v>1.8</v>
      </c>
      <c r="I101" s="1145">
        <f t="shared" si="31"/>
        <v>1.8</v>
      </c>
      <c r="J101" s="1145">
        <f t="shared" si="31"/>
        <v>1.8</v>
      </c>
      <c r="K101" s="1145">
        <f t="shared" si="31"/>
        <v>1.8</v>
      </c>
      <c r="L101" s="1145">
        <f t="shared" si="31"/>
        <v>1.8</v>
      </c>
      <c r="M101" s="1145">
        <f t="shared" si="31"/>
        <v>1.8</v>
      </c>
      <c r="N101" s="1145">
        <f t="shared" si="31"/>
        <v>1.8</v>
      </c>
    </row>
    <row r="102" spans="1:14">
      <c r="A102" s="3730"/>
      <c r="B102" s="1140">
        <v>1</v>
      </c>
      <c r="C102" s="1141">
        <f>1.9362/C101</f>
        <v>1.0756666666666665</v>
      </c>
      <c r="D102" s="1141">
        <f>1.9362/D101</f>
        <v>1.0756666666666665</v>
      </c>
      <c r="E102" s="1141">
        <f>1.8629/E101</f>
        <v>1.0349444444444444</v>
      </c>
      <c r="F102" s="1141">
        <f>1.8629/F101</f>
        <v>1.0349444444444444</v>
      </c>
      <c r="G102" s="1141">
        <f>1.8629/G101</f>
        <v>1.0349444444444444</v>
      </c>
      <c r="H102" s="1141">
        <f>1.8629/H101</f>
        <v>1.0349444444444444</v>
      </c>
      <c r="I102" s="1141">
        <f>1.8629/I101</f>
        <v>1.0349444444444444</v>
      </c>
      <c r="J102" s="1141">
        <f>1.942/J101</f>
        <v>1.0788888888888888</v>
      </c>
      <c r="K102" s="1141">
        <f>1.942/K101</f>
        <v>1.0788888888888888</v>
      </c>
      <c r="L102" s="1141">
        <f>1.942/L101</f>
        <v>1.0788888888888888</v>
      </c>
      <c r="M102" s="1141">
        <f>1.942/M101</f>
        <v>1.0788888888888888</v>
      </c>
      <c r="N102" s="1141">
        <f>1.942/N101</f>
        <v>1.0788888888888888</v>
      </c>
    </row>
    <row r="103" spans="1:14">
      <c r="A103" s="3730"/>
      <c r="B103" s="1140">
        <v>2</v>
      </c>
      <c r="C103" s="1141">
        <f>1.4198/C101</f>
        <v>0.78877777777777769</v>
      </c>
      <c r="D103" s="1141">
        <f>1.4198/D101</f>
        <v>0.78877777777777769</v>
      </c>
      <c r="E103" s="1141">
        <f>1.3372/E101</f>
        <v>0.74288888888888882</v>
      </c>
      <c r="F103" s="1141">
        <f>1.3372/F101</f>
        <v>0.74288888888888882</v>
      </c>
      <c r="G103" s="1141">
        <f>1.3372/G101</f>
        <v>0.74288888888888882</v>
      </c>
      <c r="H103" s="1141">
        <f>1.3372/H101</f>
        <v>0.74288888888888882</v>
      </c>
      <c r="I103" s="1141">
        <f>1.3372/I101</f>
        <v>0.74288888888888882</v>
      </c>
      <c r="J103" s="1141">
        <f>1.2799/J101</f>
        <v>0.71105555555555555</v>
      </c>
      <c r="K103" s="1141">
        <f>1.2799/K101</f>
        <v>0.71105555555555555</v>
      </c>
      <c r="L103" s="1141">
        <f>1.2799/L101</f>
        <v>0.71105555555555555</v>
      </c>
      <c r="M103" s="1141">
        <f>1.2799/M101</f>
        <v>0.71105555555555555</v>
      </c>
      <c r="N103" s="1141">
        <f>1.2799/N101</f>
        <v>0.71105555555555555</v>
      </c>
    </row>
    <row r="104" spans="1:14">
      <c r="A104" s="3730"/>
      <c r="B104" s="1140">
        <v>3</v>
      </c>
      <c r="C104" s="1141">
        <f>1.1594/C101</f>
        <v>0.64411111111111108</v>
      </c>
      <c r="D104" s="1141">
        <f>1.1594/D101</f>
        <v>0.64411111111111108</v>
      </c>
      <c r="E104" s="1141">
        <f>1.0788/E101</f>
        <v>0.59933333333333327</v>
      </c>
      <c r="F104" s="1141">
        <f>1.0788/F101</f>
        <v>0.59933333333333327</v>
      </c>
      <c r="G104" s="1141">
        <f>1.0788/G101</f>
        <v>0.59933333333333327</v>
      </c>
      <c r="H104" s="1141">
        <f>1.0788/H101</f>
        <v>0.59933333333333327</v>
      </c>
      <c r="I104" s="1141">
        <f>1.0788/I101</f>
        <v>0.59933333333333327</v>
      </c>
      <c r="J104" s="1141">
        <f>1.0072/J101</f>
        <v>0.55955555555555558</v>
      </c>
      <c r="K104" s="1141">
        <f>1.0072/K101</f>
        <v>0.55955555555555558</v>
      </c>
      <c r="L104" s="1141">
        <f>1.0072/L101</f>
        <v>0.55955555555555558</v>
      </c>
      <c r="M104" s="1141">
        <f>1.0072/M101</f>
        <v>0.55955555555555558</v>
      </c>
      <c r="N104" s="1141">
        <f>1.0072/N101</f>
        <v>0.55955555555555558</v>
      </c>
    </row>
    <row r="105" spans="1:14">
      <c r="A105" s="3730"/>
      <c r="B105" s="1140">
        <v>4</v>
      </c>
      <c r="C105" s="1141">
        <f>0.9622/C101</f>
        <v>0.53455555555555556</v>
      </c>
      <c r="D105" s="1141">
        <f>0.9622/D101</f>
        <v>0.53455555555555556</v>
      </c>
      <c r="E105" s="1141">
        <f>0.8656/E101</f>
        <v>0.48088888888888892</v>
      </c>
      <c r="F105" s="1141">
        <f>0.8656/F101</f>
        <v>0.48088888888888892</v>
      </c>
      <c r="G105" s="1141">
        <f>0.8656/G101</f>
        <v>0.48088888888888892</v>
      </c>
      <c r="H105" s="1141">
        <f>0.8656/H101</f>
        <v>0.48088888888888892</v>
      </c>
      <c r="I105" s="1141">
        <f>0.8656/I101</f>
        <v>0.48088888888888892</v>
      </c>
      <c r="J105" s="1141">
        <f>0.7525/J101</f>
        <v>0.41805555555555551</v>
      </c>
      <c r="K105" s="1141">
        <f>0.7525/K101</f>
        <v>0.41805555555555551</v>
      </c>
      <c r="L105" s="1141">
        <f>0.7525/L101</f>
        <v>0.41805555555555551</v>
      </c>
      <c r="M105" s="1141">
        <f>0.7525/M101</f>
        <v>0.41805555555555551</v>
      </c>
      <c r="N105" s="1141">
        <f>0.7525/N101</f>
        <v>0.41805555555555551</v>
      </c>
    </row>
    <row r="106" spans="1:14">
      <c r="A106" s="3730"/>
      <c r="B106" s="1140">
        <v>5</v>
      </c>
      <c r="C106" s="1141">
        <f>0.8417/C101</f>
        <v>0.46761111111111109</v>
      </c>
      <c r="D106" s="1141">
        <f>0.8417/D101</f>
        <v>0.46761111111111109</v>
      </c>
      <c r="E106" s="1141">
        <f>0.7371/E101</f>
        <v>0.40949999999999998</v>
      </c>
      <c r="F106" s="1141">
        <f>0.7371/F101</f>
        <v>0.40949999999999998</v>
      </c>
      <c r="G106" s="1141">
        <f>0.7371/G101</f>
        <v>0.40949999999999998</v>
      </c>
      <c r="H106" s="1141">
        <f>0.7371/H101</f>
        <v>0.40949999999999998</v>
      </c>
      <c r="I106" s="1141">
        <f>0.7371/I101</f>
        <v>0.40949999999999998</v>
      </c>
      <c r="J106" s="1141">
        <f>0.5659/J101</f>
        <v>0.31438888888888888</v>
      </c>
      <c r="K106" s="1141">
        <f>0.5659/K101</f>
        <v>0.31438888888888888</v>
      </c>
      <c r="L106" s="1141">
        <f>0.5659/L101</f>
        <v>0.31438888888888888</v>
      </c>
      <c r="M106" s="1141">
        <f>0.5659/M101</f>
        <v>0.31438888888888888</v>
      </c>
      <c r="N106" s="1141">
        <f>0.5659/N101</f>
        <v>0.31438888888888888</v>
      </c>
    </row>
    <row r="107" spans="1:14">
      <c r="A107" s="3730"/>
      <c r="B107" s="1140">
        <v>6</v>
      </c>
      <c r="C107" s="1141">
        <f>0.7608/C101</f>
        <v>0.42266666666666669</v>
      </c>
      <c r="D107" s="1141">
        <f>0.7608/D101</f>
        <v>0.42266666666666669</v>
      </c>
      <c r="E107" s="1141">
        <f>0.6482/E101</f>
        <v>0.3601111111111111</v>
      </c>
      <c r="F107" s="1141">
        <f>0.6482/F101</f>
        <v>0.3601111111111111</v>
      </c>
      <c r="G107" s="1141">
        <f>0.6482/G101</f>
        <v>0.3601111111111111</v>
      </c>
      <c r="H107" s="1141">
        <f>0.6482/H101</f>
        <v>0.3601111111111111</v>
      </c>
      <c r="I107" s="1141">
        <f>0.6482/I101</f>
        <v>0.3601111111111111</v>
      </c>
      <c r="J107" s="1141">
        <f>0.4525/J101</f>
        <v>0.25138888888888888</v>
      </c>
      <c r="K107" s="1141">
        <f>0.4525/K101</f>
        <v>0.25138888888888888</v>
      </c>
      <c r="L107" s="1141">
        <f>0.4525/L101</f>
        <v>0.25138888888888888</v>
      </c>
      <c r="M107" s="1141">
        <f>0.4525/M101</f>
        <v>0.25138888888888888</v>
      </c>
      <c r="N107" s="1141">
        <f>0.4525/N101</f>
        <v>0.25138888888888888</v>
      </c>
    </row>
    <row r="108" spans="1:14">
      <c r="A108" s="3730"/>
      <c r="B108" s="3732" t="s">
        <v>1639</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731"/>
      <c r="B109" s="3733"/>
      <c r="C109" s="1143">
        <f>(-0.163*(C108^2)-0.59*C108+7617)*(10^(-4))/C101</f>
        <v>0.42232488888888886</v>
      </c>
      <c r="D109" s="1143">
        <f>(-0.163*(D108^2)-0.59*D108+7617)*(10^(-4))/D101</f>
        <v>0.42232488888888886</v>
      </c>
      <c r="E109" s="1143">
        <f>(-0.161*(E108^2)-7.509*E108+6533)*(10^(-4))/E101</f>
        <v>0.35903466666666667</v>
      </c>
      <c r="F109" s="1143">
        <f>(-0.161*(F108^2)-7.509*F108+6533)*(10^(-4))/F101</f>
        <v>0.35903466666666667</v>
      </c>
      <c r="G109" s="1143">
        <f>(-0.161*(G108^2)-7.509*G108+6533)*(10^(-4))/G101</f>
        <v>0.35903466666666667</v>
      </c>
      <c r="H109" s="1143">
        <f>(-0.161*(H108^2)-7.509*H108+6533)*(10^(-4))/H101</f>
        <v>0.35903466666666667</v>
      </c>
      <c r="I109" s="1143">
        <f>(-0.161*(I108^2)-7.509*I108+6533)*(10^(-4))/I101</f>
        <v>0.35903466666666667</v>
      </c>
      <c r="J109" s="1143">
        <f>(-0.214*(J108^2)-21.991*J108+4665)*(10^(-4))/J101</f>
        <v>0.24863200000000002</v>
      </c>
      <c r="K109" s="1143">
        <f>(-0.214*(K108^2)-21.991*K108+4665)*(10^(-4))/K101</f>
        <v>0.24863200000000002</v>
      </c>
      <c r="L109" s="1143">
        <f>(-0.214*(L108^2)-21.991*L108+4665)*(10^(-4))/L101</f>
        <v>0.24863200000000002</v>
      </c>
      <c r="M109" s="1143">
        <f>(-0.214*(M108^2)-21.991*M108+4665)*(10^(-4))/M101</f>
        <v>0.24863200000000002</v>
      </c>
      <c r="N109" s="1143">
        <f>(-0.214*(N108^2)-21.991*N108+4665)*(10^(-4))/N101</f>
        <v>0.24863200000000002</v>
      </c>
    </row>
    <row r="110" spans="1:14">
      <c r="A110" s="3716" t="s">
        <v>1640</v>
      </c>
      <c r="B110" s="3716"/>
      <c r="C110" s="3716"/>
      <c r="D110" s="3716"/>
      <c r="E110" s="3716"/>
      <c r="F110" s="3716"/>
      <c r="G110" s="3716"/>
      <c r="H110" s="3716"/>
      <c r="I110" s="3716"/>
      <c r="J110" s="3716"/>
      <c r="K110" s="2444"/>
      <c r="L110" s="2444"/>
      <c r="M110" s="2444"/>
      <c r="N110" s="2444"/>
    </row>
    <row r="112" spans="1:14" ht="12.75" thickBot="1"/>
    <row r="113" spans="1:13" ht="25.5" thickBot="1">
      <c r="A113" s="1013" t="s">
        <v>896</v>
      </c>
      <c r="B113" s="2447">
        <f>G3</f>
        <v>1.8</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0.91659999999999997</v>
      </c>
      <c r="C115" s="1027">
        <f>B115</f>
        <v>0.91659999999999997</v>
      </c>
      <c r="D115" s="1027">
        <f>ROUND(0.8331-0.0109*B113,4)</f>
        <v>0.8135</v>
      </c>
      <c r="E115" s="1027">
        <f>D115</f>
        <v>0.8135</v>
      </c>
      <c r="F115" s="1027">
        <f>E115</f>
        <v>0.8135</v>
      </c>
      <c r="G115" s="1027">
        <f>F115</f>
        <v>0.8135</v>
      </c>
      <c r="H115" s="1027">
        <f>G115</f>
        <v>0.8135</v>
      </c>
      <c r="I115" s="1027">
        <f>ROUND(0.689-0.0155*B113,4)</f>
        <v>0.66110000000000002</v>
      </c>
      <c r="J115" s="1027">
        <f t="shared" ref="J115:M118" si="33">I115</f>
        <v>0.66110000000000002</v>
      </c>
      <c r="K115" s="1027">
        <f t="shared" si="33"/>
        <v>0.66110000000000002</v>
      </c>
      <c r="L115" s="1027">
        <f t="shared" si="33"/>
        <v>0.66110000000000002</v>
      </c>
      <c r="M115" s="1028">
        <f t="shared" si="33"/>
        <v>0.66110000000000002</v>
      </c>
    </row>
    <row r="116" spans="1:13" ht="12.75">
      <c r="A116" s="1026" t="s">
        <v>901</v>
      </c>
      <c r="B116" s="1027">
        <f>ROUND(0.949-0.012*B113,4)</f>
        <v>0.9274</v>
      </c>
      <c r="C116" s="1027">
        <f>B116</f>
        <v>0.9274</v>
      </c>
      <c r="D116" s="1027">
        <f>ROUND(0.8567-0.013*B113,4)</f>
        <v>0.83330000000000004</v>
      </c>
      <c r="E116" s="1027">
        <f t="shared" ref="E116:H117" si="34">D116</f>
        <v>0.83330000000000004</v>
      </c>
      <c r="F116" s="1027">
        <f t="shared" si="34"/>
        <v>0.83330000000000004</v>
      </c>
      <c r="G116" s="1027">
        <f t="shared" si="34"/>
        <v>0.83330000000000004</v>
      </c>
      <c r="H116" s="1027">
        <f t="shared" si="34"/>
        <v>0.83330000000000004</v>
      </c>
      <c r="I116" s="1027">
        <f>ROUND(0.7694-0.014*B113,4)</f>
        <v>0.74419999999999997</v>
      </c>
      <c r="J116" s="1027">
        <f t="shared" si="33"/>
        <v>0.74419999999999997</v>
      </c>
      <c r="K116" s="1027">
        <f t="shared" si="33"/>
        <v>0.74419999999999997</v>
      </c>
      <c r="L116" s="1027">
        <f t="shared" si="33"/>
        <v>0.74419999999999997</v>
      </c>
      <c r="M116" s="1028">
        <f t="shared" si="33"/>
        <v>0.74419999999999997</v>
      </c>
    </row>
    <row r="117" spans="1:13" ht="12.75">
      <c r="A117" s="1029" t="s">
        <v>902</v>
      </c>
      <c r="B117" s="1027">
        <f>ROUND(0.8808-0.006*B113,4)</f>
        <v>0.87</v>
      </c>
      <c r="C117" s="1027">
        <f>B117</f>
        <v>0.87</v>
      </c>
      <c r="D117" s="1027">
        <f>ROUND(0.8748-0.008*B113,4)</f>
        <v>0.86040000000000005</v>
      </c>
      <c r="E117" s="1027">
        <f t="shared" si="34"/>
        <v>0.86040000000000005</v>
      </c>
      <c r="F117" s="1027">
        <f t="shared" si="34"/>
        <v>0.86040000000000005</v>
      </c>
      <c r="G117" s="1027">
        <f t="shared" si="34"/>
        <v>0.86040000000000005</v>
      </c>
      <c r="H117" s="1027">
        <f t="shared" si="34"/>
        <v>0.86040000000000005</v>
      </c>
      <c r="I117" s="1027">
        <f>ROUND(0.7412-0.0095*B113,4)</f>
        <v>0.72409999999999997</v>
      </c>
      <c r="J117" s="1027">
        <f t="shared" si="33"/>
        <v>0.72409999999999997</v>
      </c>
      <c r="K117" s="1027">
        <f t="shared" si="33"/>
        <v>0.72409999999999997</v>
      </c>
      <c r="L117" s="1027">
        <f t="shared" si="33"/>
        <v>0.72409999999999997</v>
      </c>
      <c r="M117" s="1028">
        <f t="shared" si="33"/>
        <v>0.72409999999999997</v>
      </c>
    </row>
    <row r="118" spans="1:13" ht="13.5" thickBot="1">
      <c r="A118" s="1030" t="s">
        <v>903</v>
      </c>
      <c r="B118" s="1031">
        <f>ROUND(0.7275-0.01*B113,4)</f>
        <v>0.70950000000000002</v>
      </c>
      <c r="C118" s="1031">
        <f>B118</f>
        <v>0.70950000000000002</v>
      </c>
      <c r="D118" s="1031">
        <f>ROUND(0.7043-0.012*B113,4)</f>
        <v>0.68269999999999997</v>
      </c>
      <c r="E118" s="1031">
        <f>D118</f>
        <v>0.68269999999999997</v>
      </c>
      <c r="F118" s="1031">
        <f>E118</f>
        <v>0.68269999999999997</v>
      </c>
      <c r="G118" s="1031">
        <f>ROUND(0.6299-0.0122*B113,4)</f>
        <v>0.6079</v>
      </c>
      <c r="H118" s="1031">
        <f>G118</f>
        <v>0.6079</v>
      </c>
      <c r="I118" s="1031">
        <f>ROUND(0.5667-0.0136*B113,4)</f>
        <v>0.54220000000000002</v>
      </c>
      <c r="J118" s="1031">
        <f t="shared" si="33"/>
        <v>0.54220000000000002</v>
      </c>
      <c r="K118" s="1031">
        <f t="shared" si="33"/>
        <v>0.54220000000000002</v>
      </c>
      <c r="L118" s="1031">
        <f t="shared" si="33"/>
        <v>0.54220000000000002</v>
      </c>
      <c r="M118" s="1032">
        <f t="shared" si="33"/>
        <v>0.54220000000000002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1432</v>
      </c>
      <c r="B1" s="1069" t="s">
        <v>907</v>
      </c>
      <c r="C1" s="1069" t="s">
        <v>908</v>
      </c>
      <c r="D1" s="1069" t="s">
        <v>909</v>
      </c>
      <c r="E1" s="1069" t="s">
        <v>910</v>
      </c>
      <c r="F1" s="1069" t="s">
        <v>911</v>
      </c>
      <c r="G1" s="1069" t="s">
        <v>912</v>
      </c>
      <c r="H1" s="1069" t="s">
        <v>913</v>
      </c>
      <c r="I1" s="1069" t="s">
        <v>914</v>
      </c>
      <c r="J1" s="1069" t="s">
        <v>915</v>
      </c>
      <c r="K1" s="1069" t="s">
        <v>916</v>
      </c>
      <c r="L1" s="1069" t="s">
        <v>917</v>
      </c>
      <c r="M1" s="1070" t="s">
        <v>918</v>
      </c>
    </row>
    <row r="2" spans="1:13" ht="19.5" customHeight="1">
      <c r="A2" s="1104" t="s">
        <v>1008</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1030</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1032</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1433</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1434</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1435</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1436</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1437</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1438</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1439</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1440</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1441</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1442</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1443</v>
      </c>
      <c r="B16" s="1123"/>
      <c r="C16" s="1124"/>
      <c r="D16" s="1124"/>
      <c r="E16" s="1123"/>
      <c r="F16" s="1124"/>
      <c r="G16" s="1124"/>
    </row>
    <row r="17" spans="1:9" ht="19.5" customHeight="1">
      <c r="A17" s="1065" t="s">
        <v>1444</v>
      </c>
      <c r="B17" s="1125" t="s">
        <v>1445</v>
      </c>
      <c r="C17" s="1125" t="s">
        <v>1644</v>
      </c>
      <c r="D17" s="1126"/>
      <c r="E17" s="1065" t="s">
        <v>1446</v>
      </c>
      <c r="F17" s="1127"/>
      <c r="G17" s="1127"/>
    </row>
    <row r="18" spans="1:9" s="1594" customFormat="1" ht="19.5" customHeight="1">
      <c r="A18" s="3722" t="s">
        <v>1008</v>
      </c>
      <c r="B18" s="1151" t="s">
        <v>1447</v>
      </c>
      <c r="C18" s="1128" t="s">
        <v>1448</v>
      </c>
      <c r="D18" s="1129"/>
      <c r="E18" s="1151">
        <v>1</v>
      </c>
      <c r="F18" s="1130" t="s">
        <v>1449</v>
      </c>
      <c r="G18" s="1131"/>
      <c r="H18" s="1102"/>
      <c r="I18" s="1102"/>
    </row>
    <row r="19" spans="1:9" s="1594" customFormat="1" ht="19.5" customHeight="1">
      <c r="A19" s="3722"/>
      <c r="B19" s="3722" t="s">
        <v>1450</v>
      </c>
      <c r="C19" s="1128" t="s">
        <v>1451</v>
      </c>
      <c r="D19" s="1129"/>
      <c r="E19" s="1151">
        <v>0.9</v>
      </c>
      <c r="F19" s="1130" t="s">
        <v>1452</v>
      </c>
      <c r="G19" s="1131"/>
      <c r="H19" s="1102"/>
      <c r="I19" s="1102"/>
    </row>
    <row r="20" spans="1:9" s="1594" customFormat="1" ht="19.5" customHeight="1">
      <c r="A20" s="3722"/>
      <c r="B20" s="3722"/>
      <c r="C20" s="1128" t="s">
        <v>1453</v>
      </c>
      <c r="D20" s="1129"/>
      <c r="E20" s="1151">
        <v>1.1000000000000001</v>
      </c>
      <c r="F20" s="1130" t="s">
        <v>1454</v>
      </c>
      <c r="G20" s="1131"/>
      <c r="H20" s="1102"/>
      <c r="I20" s="1102"/>
    </row>
    <row r="21" spans="1:9" s="1594" customFormat="1" ht="19.5" customHeight="1">
      <c r="A21" s="3722"/>
      <c r="B21" s="3722"/>
      <c r="C21" s="1128" t="s">
        <v>1455</v>
      </c>
      <c r="D21" s="1129"/>
      <c r="E21" s="1151">
        <v>0.8</v>
      </c>
      <c r="F21" s="1130" t="s">
        <v>1456</v>
      </c>
      <c r="G21" s="1131"/>
      <c r="H21" s="1102"/>
      <c r="I21" s="1102"/>
    </row>
    <row r="22" spans="1:9" s="1594" customFormat="1" ht="19.5" customHeight="1">
      <c r="A22" s="3722"/>
      <c r="B22" s="3722"/>
      <c r="C22" s="1128" t="s">
        <v>1457</v>
      </c>
      <c r="D22" s="1129"/>
      <c r="E22" s="1151">
        <v>0.5</v>
      </c>
      <c r="F22" s="1130"/>
      <c r="G22" s="1131"/>
      <c r="H22" s="1102"/>
      <c r="I22" s="1102"/>
    </row>
    <row r="23" spans="1:9" s="1594" customFormat="1" ht="19.5" customHeight="1">
      <c r="A23" s="3722" t="s">
        <v>1030</v>
      </c>
      <c r="B23" s="1151" t="s">
        <v>1447</v>
      </c>
      <c r="C23" s="1128" t="s">
        <v>1458</v>
      </c>
      <c r="D23" s="1129"/>
      <c r="E23" s="1151">
        <v>1</v>
      </c>
      <c r="F23" s="1130" t="s">
        <v>1459</v>
      </c>
      <c r="G23" s="1131"/>
      <c r="H23" s="1102"/>
      <c r="I23" s="1102"/>
    </row>
    <row r="24" spans="1:9" s="1594" customFormat="1" ht="19.5" customHeight="1">
      <c r="A24" s="3722"/>
      <c r="B24" s="3722" t="s">
        <v>1450</v>
      </c>
      <c r="C24" s="1128" t="s">
        <v>1460</v>
      </c>
      <c r="D24" s="1129"/>
      <c r="E24" s="1151">
        <v>0.5</v>
      </c>
      <c r="F24" s="1130"/>
      <c r="G24" s="1131"/>
      <c r="H24" s="1102"/>
      <c r="I24" s="1102"/>
    </row>
    <row r="25" spans="1:9" s="1594" customFormat="1" ht="19.5" customHeight="1">
      <c r="A25" s="3722"/>
      <c r="B25" s="3722"/>
      <c r="C25" s="1128" t="s">
        <v>1461</v>
      </c>
      <c r="D25" s="1129"/>
      <c r="E25" s="1151">
        <v>1.1000000000000001</v>
      </c>
      <c r="F25" s="1130"/>
      <c r="G25" s="1131"/>
      <c r="H25" s="1102"/>
      <c r="I25" s="1102"/>
    </row>
    <row r="26" spans="1:9" s="1594" customFormat="1" ht="19.5" customHeight="1">
      <c r="A26" s="3722"/>
      <c r="B26" s="3722"/>
      <c r="C26" s="1128" t="s">
        <v>1462</v>
      </c>
      <c r="D26" s="1129"/>
      <c r="E26" s="1151">
        <v>1.1000000000000001</v>
      </c>
      <c r="F26" s="1130"/>
      <c r="G26" s="1131"/>
      <c r="H26" s="1102"/>
      <c r="I26" s="1102"/>
    </row>
    <row r="27" spans="1:9" s="1594" customFormat="1" ht="19.5" customHeight="1">
      <c r="A27" s="3722"/>
      <c r="B27" s="3722"/>
      <c r="C27" s="1128" t="s">
        <v>1463</v>
      </c>
      <c r="D27" s="1129"/>
      <c r="E27" s="1151">
        <v>0.9</v>
      </c>
      <c r="F27" s="1130" t="s">
        <v>1464</v>
      </c>
      <c r="G27" s="1131"/>
      <c r="H27" s="1102"/>
      <c r="I27" s="1102"/>
    </row>
    <row r="28" spans="1:9" s="1594" customFormat="1" ht="19.5" customHeight="1">
      <c r="A28" s="3722"/>
      <c r="B28" s="3722"/>
      <c r="C28" s="1128" t="s">
        <v>1465</v>
      </c>
      <c r="D28" s="1129"/>
      <c r="E28" s="1151">
        <v>0.9</v>
      </c>
      <c r="F28" s="1130" t="s">
        <v>1466</v>
      </c>
      <c r="G28" s="1131"/>
      <c r="H28" s="1102"/>
      <c r="I28" s="1102"/>
    </row>
    <row r="29" spans="1:9" s="1594" customFormat="1" ht="19.5" customHeight="1">
      <c r="A29" s="3722"/>
      <c r="B29" s="3722"/>
      <c r="C29" s="1128" t="s">
        <v>1467</v>
      </c>
      <c r="D29" s="1129"/>
      <c r="E29" s="1151">
        <v>0.9</v>
      </c>
      <c r="F29" s="1130" t="s">
        <v>1468</v>
      </c>
      <c r="G29" s="1131"/>
      <c r="H29" s="1102"/>
      <c r="I29" s="1102"/>
    </row>
    <row r="30" spans="1:9" s="1594" customFormat="1" ht="19.5" customHeight="1">
      <c r="A30" s="3722"/>
      <c r="B30" s="3722"/>
      <c r="C30" s="1128" t="s">
        <v>1469</v>
      </c>
      <c r="D30" s="1129"/>
      <c r="E30" s="1151">
        <v>0.9</v>
      </c>
      <c r="F30" s="1130" t="s">
        <v>1470</v>
      </c>
      <c r="G30" s="1131"/>
      <c r="H30" s="1102"/>
      <c r="I30" s="1102"/>
    </row>
    <row r="31" spans="1:9" s="1594" customFormat="1" ht="19.5" customHeight="1">
      <c r="A31" s="3722"/>
      <c r="B31" s="3722"/>
      <c r="C31" s="1128" t="s">
        <v>1471</v>
      </c>
      <c r="D31" s="1129"/>
      <c r="E31" s="1151">
        <v>0.8</v>
      </c>
      <c r="F31" s="1130" t="s">
        <v>1472</v>
      </c>
      <c r="G31" s="1131"/>
      <c r="H31" s="1102"/>
      <c r="I31" s="1102"/>
    </row>
    <row r="32" spans="1:9" s="1594" customFormat="1" ht="19.5" customHeight="1">
      <c r="A32" s="3722"/>
      <c r="B32" s="3722"/>
      <c r="C32" s="1128" t="s">
        <v>1473</v>
      </c>
      <c r="D32" s="1129"/>
      <c r="E32" s="1151">
        <v>0.8</v>
      </c>
      <c r="F32" s="1130" t="s">
        <v>1474</v>
      </c>
      <c r="G32" s="1131"/>
      <c r="H32" s="1102"/>
      <c r="I32" s="1102"/>
    </row>
    <row r="33" spans="1:9" s="1594" customFormat="1" ht="19.5" customHeight="1">
      <c r="A33" s="3722" t="s">
        <v>1475</v>
      </c>
      <c r="B33" s="1151" t="s">
        <v>1447</v>
      </c>
      <c r="C33" s="1128" t="s">
        <v>1476</v>
      </c>
      <c r="D33" s="1129"/>
      <c r="E33" s="1151">
        <v>1</v>
      </c>
      <c r="F33" s="1130" t="s">
        <v>1477</v>
      </c>
      <c r="G33" s="1131"/>
      <c r="H33" s="1102"/>
      <c r="I33" s="1102"/>
    </row>
    <row r="34" spans="1:9" s="1594" customFormat="1" ht="19.5" customHeight="1">
      <c r="A34" s="3722"/>
      <c r="B34" s="1151" t="s">
        <v>1450</v>
      </c>
      <c r="C34" s="1128" t="s">
        <v>1478</v>
      </c>
      <c r="D34" s="1129"/>
      <c r="E34" s="1151">
        <v>1.5</v>
      </c>
      <c r="F34" s="1130" t="s">
        <v>1479</v>
      </c>
      <c r="G34" s="1131"/>
      <c r="H34" s="1102"/>
      <c r="I34" s="1102"/>
    </row>
    <row r="35" spans="1:9" s="1594" customFormat="1" ht="19.5" customHeight="1">
      <c r="A35" s="3722" t="s">
        <v>1433</v>
      </c>
      <c r="B35" s="1151" t="s">
        <v>1447</v>
      </c>
      <c r="C35" s="1128" t="s">
        <v>1480</v>
      </c>
      <c r="D35" s="1129"/>
      <c r="E35" s="1151">
        <v>1</v>
      </c>
      <c r="F35" s="1130" t="s">
        <v>1481</v>
      </c>
      <c r="G35" s="1131"/>
      <c r="H35" s="1102"/>
      <c r="I35" s="1102"/>
    </row>
    <row r="36" spans="1:9" s="1594" customFormat="1" ht="19.5" customHeight="1">
      <c r="A36" s="3722"/>
      <c r="B36" s="3722" t="s">
        <v>1450</v>
      </c>
      <c r="C36" s="1128" t="s">
        <v>1482</v>
      </c>
      <c r="D36" s="1129"/>
      <c r="E36" s="1151">
        <v>1</v>
      </c>
      <c r="F36" s="1130" t="s">
        <v>1483</v>
      </c>
      <c r="G36" s="1131"/>
      <c r="H36" s="1102"/>
      <c r="I36" s="1102"/>
    </row>
    <row r="37" spans="1:9" s="1594" customFormat="1" ht="19.5" customHeight="1">
      <c r="A37" s="3722"/>
      <c r="B37" s="3722"/>
      <c r="C37" s="1128" t="s">
        <v>1484</v>
      </c>
      <c r="D37" s="1129"/>
      <c r="E37" s="1151">
        <v>1.5</v>
      </c>
      <c r="F37" s="1130" t="s">
        <v>1485</v>
      </c>
      <c r="G37" s="1131"/>
      <c r="H37" s="1102"/>
      <c r="I37" s="1102"/>
    </row>
    <row r="38" spans="1:9" s="1594" customFormat="1" ht="19.5" customHeight="1">
      <c r="A38" s="3722"/>
      <c r="B38" s="3722"/>
      <c r="C38" s="1128" t="s">
        <v>1486</v>
      </c>
      <c r="D38" s="1129"/>
      <c r="E38" s="1151">
        <v>1</v>
      </c>
      <c r="F38" s="1130" t="s">
        <v>1487</v>
      </c>
      <c r="G38" s="1131"/>
      <c r="H38" s="1102"/>
      <c r="I38" s="1102"/>
    </row>
    <row r="39" spans="1:9" s="1594" customFormat="1" ht="19.5" customHeight="1">
      <c r="A39" s="3722"/>
      <c r="B39" s="3722"/>
      <c r="C39" s="1128" t="s">
        <v>1488</v>
      </c>
      <c r="D39" s="1129"/>
      <c r="E39" s="1151">
        <v>1</v>
      </c>
      <c r="F39" s="1130" t="s">
        <v>1489</v>
      </c>
      <c r="G39" s="1131"/>
      <c r="H39" s="1102"/>
      <c r="I39" s="1102"/>
    </row>
    <row r="40" spans="1:9" s="1594" customFormat="1" ht="19.5" customHeight="1">
      <c r="A40" s="1595" t="s">
        <v>1490</v>
      </c>
      <c r="B40" s="1595"/>
      <c r="C40" s="1595"/>
      <c r="D40" s="1595"/>
      <c r="E40" s="1595"/>
      <c r="F40" s="1130"/>
      <c r="G40" s="1130"/>
      <c r="H40" s="1102"/>
      <c r="I40" s="1102"/>
    </row>
    <row r="42" spans="1:9" ht="19.5" customHeight="1">
      <c r="A42" s="1132"/>
      <c r="B42" s="1065" t="s">
        <v>1491</v>
      </c>
      <c r="C42" s="1065" t="s">
        <v>1491</v>
      </c>
      <c r="D42" s="1065" t="s">
        <v>1491</v>
      </c>
      <c r="E42" s="1150" t="s">
        <v>1491</v>
      </c>
      <c r="F42" s="1150" t="s">
        <v>1491</v>
      </c>
      <c r="G42" s="1150" t="s">
        <v>1492</v>
      </c>
      <c r="H42" s="1150" t="s">
        <v>1491</v>
      </c>
    </row>
    <row r="43" spans="1:9" ht="19.5" customHeight="1">
      <c r="A43" s="1133"/>
      <c r="B43" s="1150" t="s">
        <v>1008</v>
      </c>
      <c r="C43" s="1150" t="s">
        <v>1008</v>
      </c>
      <c r="D43" s="1150" t="s">
        <v>1008</v>
      </c>
      <c r="E43" s="1150" t="s">
        <v>1008</v>
      </c>
      <c r="F43" s="1065" t="s">
        <v>1030</v>
      </c>
      <c r="G43" s="1065" t="s">
        <v>1433</v>
      </c>
      <c r="H43" s="1065" t="s">
        <v>1493</v>
      </c>
    </row>
    <row r="44" spans="1:9" ht="19.5" customHeight="1">
      <c r="A44" s="1134"/>
      <c r="B44" s="1065">
        <v>1</v>
      </c>
      <c r="C44" s="1065">
        <v>2</v>
      </c>
      <c r="D44" s="1065">
        <v>3</v>
      </c>
      <c r="E44" s="1150">
        <v>4</v>
      </c>
      <c r="F44" s="1126" t="s">
        <v>1494</v>
      </c>
      <c r="G44" s="1126" t="s">
        <v>1494</v>
      </c>
      <c r="H44" s="1126" t="s">
        <v>1494</v>
      </c>
    </row>
    <row r="45" spans="1:9" ht="19.5" customHeight="1">
      <c r="A45" s="1149" t="s">
        <v>907</v>
      </c>
      <c r="B45" s="1065">
        <v>0.8</v>
      </c>
      <c r="C45" s="1065">
        <v>0.5</v>
      </c>
      <c r="D45" s="1065">
        <v>0.36</v>
      </c>
      <c r="E45" s="1065">
        <v>0.3</v>
      </c>
      <c r="F45" s="1126">
        <v>0.3</v>
      </c>
      <c r="G45" s="1065">
        <v>0.3</v>
      </c>
      <c r="H45" s="1065">
        <v>0.25</v>
      </c>
    </row>
    <row r="46" spans="1:9" ht="19.5" customHeight="1">
      <c r="A46" s="1149" t="s">
        <v>908</v>
      </c>
      <c r="B46" s="1065">
        <v>0.8</v>
      </c>
      <c r="C46" s="1065">
        <v>0.5</v>
      </c>
      <c r="D46" s="1065">
        <v>0.36</v>
      </c>
      <c r="E46" s="1065">
        <v>0.3</v>
      </c>
      <c r="F46" s="1065">
        <v>0.3</v>
      </c>
      <c r="G46" s="1065">
        <v>0.3</v>
      </c>
      <c r="H46" s="1065">
        <v>0.25</v>
      </c>
    </row>
    <row r="47" spans="1:9" ht="19.5" customHeight="1">
      <c r="A47" s="1149" t="s">
        <v>909</v>
      </c>
      <c r="B47" s="1065">
        <v>0.7</v>
      </c>
      <c r="C47" s="1065">
        <v>0.4</v>
      </c>
      <c r="D47" s="1065">
        <v>0.28000000000000003</v>
      </c>
      <c r="E47" s="1065">
        <v>0.25</v>
      </c>
      <c r="F47" s="1065">
        <v>0.25</v>
      </c>
      <c r="G47" s="1065">
        <v>0.25</v>
      </c>
      <c r="H47" s="1065">
        <v>0.2</v>
      </c>
    </row>
    <row r="48" spans="1:9" ht="19.5" customHeight="1">
      <c r="A48" s="1149" t="s">
        <v>910</v>
      </c>
      <c r="B48" s="1065">
        <v>0.7</v>
      </c>
      <c r="C48" s="1065">
        <v>0.4</v>
      </c>
      <c r="D48" s="1065">
        <v>0.28000000000000003</v>
      </c>
      <c r="E48" s="1065">
        <v>0.25</v>
      </c>
      <c r="F48" s="1065">
        <v>0.25</v>
      </c>
      <c r="G48" s="1065">
        <v>0.25</v>
      </c>
      <c r="H48" s="1065">
        <v>0.2</v>
      </c>
    </row>
    <row r="49" spans="1:8" s="1102" customFormat="1" ht="19.5" customHeight="1">
      <c r="A49" s="1149" t="s">
        <v>911</v>
      </c>
      <c r="B49" s="1065">
        <v>0.7</v>
      </c>
      <c r="C49" s="1065">
        <v>0.4</v>
      </c>
      <c r="D49" s="1065">
        <v>0.28000000000000003</v>
      </c>
      <c r="E49" s="1065">
        <v>0.25</v>
      </c>
      <c r="F49" s="1065">
        <v>0.25</v>
      </c>
      <c r="G49" s="1065">
        <v>0.25</v>
      </c>
      <c r="H49" s="1065">
        <v>0.2</v>
      </c>
    </row>
    <row r="50" spans="1:8" s="1102" customFormat="1" ht="19.5" customHeight="1">
      <c r="A50" s="1149" t="s">
        <v>912</v>
      </c>
      <c r="B50" s="1065">
        <v>0.7</v>
      </c>
      <c r="C50" s="1065">
        <v>0.4</v>
      </c>
      <c r="D50" s="1065">
        <v>0.28000000000000003</v>
      </c>
      <c r="E50" s="1065">
        <v>0.25</v>
      </c>
      <c r="F50" s="1065">
        <v>0.25</v>
      </c>
      <c r="G50" s="1065">
        <v>0.25</v>
      </c>
      <c r="H50" s="1065">
        <v>0.2</v>
      </c>
    </row>
    <row r="51" spans="1:8" s="1102" customFormat="1" ht="19.5" customHeight="1">
      <c r="A51" s="1149" t="s">
        <v>913</v>
      </c>
      <c r="B51" s="1065">
        <v>0.7</v>
      </c>
      <c r="C51" s="1065">
        <v>0.4</v>
      </c>
      <c r="D51" s="1065">
        <v>0.28000000000000003</v>
      </c>
      <c r="E51" s="1065">
        <v>0.25</v>
      </c>
      <c r="F51" s="1065">
        <v>0.25</v>
      </c>
      <c r="G51" s="1065">
        <v>0.25</v>
      </c>
      <c r="H51" s="1065">
        <v>0.2</v>
      </c>
    </row>
    <row r="52" spans="1:8" s="1102" customFormat="1" ht="19.5" customHeight="1">
      <c r="A52" s="1149" t="s">
        <v>914</v>
      </c>
      <c r="B52" s="1065">
        <v>0.6</v>
      </c>
      <c r="C52" s="1065">
        <v>0.3</v>
      </c>
      <c r="D52" s="1065">
        <v>0.2</v>
      </c>
      <c r="E52" s="1065">
        <v>0.2</v>
      </c>
      <c r="F52" s="1065">
        <v>0.2</v>
      </c>
      <c r="G52" s="1065">
        <v>0.2</v>
      </c>
      <c r="H52" s="1065">
        <v>0.15</v>
      </c>
    </row>
    <row r="53" spans="1:8" s="1102" customFormat="1" ht="19.5" customHeight="1">
      <c r="A53" s="1149" t="s">
        <v>915</v>
      </c>
      <c r="B53" s="1065">
        <v>0.6</v>
      </c>
      <c r="C53" s="1065">
        <v>0.3</v>
      </c>
      <c r="D53" s="1065">
        <v>0.2</v>
      </c>
      <c r="E53" s="1065">
        <v>0.2</v>
      </c>
      <c r="F53" s="1065">
        <v>0.2</v>
      </c>
      <c r="G53" s="1065">
        <v>0.2</v>
      </c>
      <c r="H53" s="1065">
        <v>0.15</v>
      </c>
    </row>
    <row r="54" spans="1:8" s="1102" customFormat="1" ht="19.5" customHeight="1">
      <c r="A54" s="1149" t="s">
        <v>916</v>
      </c>
      <c r="B54" s="1065">
        <v>0.6</v>
      </c>
      <c r="C54" s="1065">
        <v>0.3</v>
      </c>
      <c r="D54" s="1065">
        <v>0.2</v>
      </c>
      <c r="E54" s="1065">
        <v>0.2</v>
      </c>
      <c r="F54" s="1065">
        <v>0.2</v>
      </c>
      <c r="G54" s="1065">
        <v>0.2</v>
      </c>
      <c r="H54" s="1065">
        <v>0.15</v>
      </c>
    </row>
    <row r="55" spans="1:8" s="1102" customFormat="1" ht="19.5" customHeight="1">
      <c r="A55" s="1149" t="s">
        <v>917</v>
      </c>
      <c r="B55" s="1065">
        <v>0.6</v>
      </c>
      <c r="C55" s="1065">
        <v>0.3</v>
      </c>
      <c r="D55" s="1065">
        <v>0.2</v>
      </c>
      <c r="E55" s="1065">
        <v>0.2</v>
      </c>
      <c r="F55" s="1065">
        <v>0.2</v>
      </c>
      <c r="G55" s="1065">
        <v>0.2</v>
      </c>
      <c r="H55" s="1065">
        <v>0.15</v>
      </c>
    </row>
    <row r="56" spans="1:8" s="1102" customFormat="1" ht="19.5" customHeight="1">
      <c r="A56" s="1149" t="s">
        <v>918</v>
      </c>
      <c r="B56" s="1065">
        <v>0.6</v>
      </c>
      <c r="C56" s="1065">
        <v>0.3</v>
      </c>
      <c r="D56" s="1065">
        <v>0.2</v>
      </c>
      <c r="E56" s="1065">
        <v>0.2</v>
      </c>
      <c r="F56" s="1065">
        <v>0.2</v>
      </c>
      <c r="G56" s="1065">
        <v>0.2</v>
      </c>
      <c r="H56" s="1065">
        <v>0.15</v>
      </c>
    </row>
    <row r="58" spans="1:8" s="1102" customFormat="1" ht="19.5" customHeight="1">
      <c r="A58" s="1135"/>
      <c r="B58" s="1123"/>
      <c r="C58" s="1123"/>
      <c r="D58" s="1123" t="s">
        <v>1495</v>
      </c>
      <c r="E58" s="1123"/>
      <c r="F58" s="1123"/>
    </row>
    <row r="59" spans="1:8" s="1102" customFormat="1" ht="19.5" customHeight="1">
      <c r="A59" s="1151" t="s">
        <v>1496</v>
      </c>
      <c r="B59" s="1151" t="s">
        <v>1497</v>
      </c>
      <c r="C59" s="1151" t="s">
        <v>1498</v>
      </c>
      <c r="D59" s="1151" t="s">
        <v>1499</v>
      </c>
      <c r="E59" s="1151" t="s">
        <v>1500</v>
      </c>
      <c r="F59" s="1151" t="s">
        <v>1501</v>
      </c>
    </row>
    <row r="60" spans="1:8" s="1102" customFormat="1" ht="19.5" customHeight="1">
      <c r="A60" s="1151"/>
      <c r="B60" s="1151"/>
      <c r="C60" s="1151" t="s">
        <v>1633</v>
      </c>
      <c r="D60" s="1151"/>
      <c r="E60" s="1136" t="s">
        <v>1442</v>
      </c>
      <c r="F60" s="1151" t="s">
        <v>1442</v>
      </c>
    </row>
    <row r="61" spans="1:8" s="1102" customFormat="1" ht="24">
      <c r="A61" s="1151">
        <v>1</v>
      </c>
      <c r="B61" s="3722" t="s">
        <v>1502</v>
      </c>
      <c r="C61" s="1065" t="s">
        <v>1503</v>
      </c>
      <c r="D61" s="1065" t="s">
        <v>1504</v>
      </c>
      <c r="E61" s="1136">
        <v>0.5</v>
      </c>
      <c r="F61" s="1151">
        <v>80</v>
      </c>
      <c r="H61" s="1102">
        <f>SUMIF(C59:C119,基准地价!C8,E59:E119)</f>
        <v>0</v>
      </c>
    </row>
    <row r="62" spans="1:8" s="1102" customFormat="1" ht="24">
      <c r="A62" s="1151">
        <v>2</v>
      </c>
      <c r="B62" s="3722"/>
      <c r="C62" s="1065" t="s">
        <v>1505</v>
      </c>
      <c r="D62" s="1065" t="s">
        <v>1506</v>
      </c>
      <c r="E62" s="1136">
        <v>0.5</v>
      </c>
      <c r="F62" s="1151">
        <v>80</v>
      </c>
    </row>
    <row r="63" spans="1:8" s="1102" customFormat="1" ht="36">
      <c r="A63" s="1151">
        <v>3</v>
      </c>
      <c r="B63" s="3722"/>
      <c r="C63" s="1065" t="s">
        <v>1507</v>
      </c>
      <c r="D63" s="1065" t="s">
        <v>1508</v>
      </c>
      <c r="E63" s="1136">
        <v>0.5</v>
      </c>
      <c r="F63" s="1151">
        <v>80</v>
      </c>
    </row>
    <row r="64" spans="1:8" s="1102" customFormat="1" ht="36">
      <c r="A64" s="1151">
        <v>4</v>
      </c>
      <c r="B64" s="3722"/>
      <c r="C64" s="1065" t="s">
        <v>1509</v>
      </c>
      <c r="D64" s="1065" t="s">
        <v>1510</v>
      </c>
      <c r="E64" s="1136">
        <v>0.4</v>
      </c>
      <c r="F64" s="1151">
        <v>60</v>
      </c>
    </row>
    <row r="65" spans="1:6" s="1102" customFormat="1" ht="36">
      <c r="A65" s="1151">
        <v>5</v>
      </c>
      <c r="B65" s="3722"/>
      <c r="C65" s="1065" t="s">
        <v>1511</v>
      </c>
      <c r="D65" s="1065" t="s">
        <v>1512</v>
      </c>
      <c r="E65" s="1136">
        <v>0.2</v>
      </c>
      <c r="F65" s="1151">
        <v>30</v>
      </c>
    </row>
    <row r="66" spans="1:6" s="1102" customFormat="1" ht="36">
      <c r="A66" s="1151">
        <v>6</v>
      </c>
      <c r="B66" s="3722"/>
      <c r="C66" s="1065" t="s">
        <v>1513</v>
      </c>
      <c r="D66" s="1065" t="s">
        <v>1514</v>
      </c>
      <c r="E66" s="1136">
        <v>0.3</v>
      </c>
      <c r="F66" s="1151">
        <v>50</v>
      </c>
    </row>
    <row r="67" spans="1:6" s="1102" customFormat="1" ht="36">
      <c r="A67" s="1151">
        <v>7</v>
      </c>
      <c r="B67" s="3722"/>
      <c r="C67" s="1065" t="s">
        <v>1515</v>
      </c>
      <c r="D67" s="1065" t="s">
        <v>1516</v>
      </c>
      <c r="E67" s="1136">
        <v>0.2</v>
      </c>
      <c r="F67" s="1151">
        <v>30</v>
      </c>
    </row>
    <row r="68" spans="1:6" s="1102" customFormat="1" ht="36">
      <c r="A68" s="1151">
        <v>8</v>
      </c>
      <c r="B68" s="3722"/>
      <c r="C68" s="1065" t="s">
        <v>1517</v>
      </c>
      <c r="D68" s="1065" t="s">
        <v>1518</v>
      </c>
      <c r="E68" s="1136">
        <v>0.2</v>
      </c>
      <c r="F68" s="1151">
        <v>30</v>
      </c>
    </row>
    <row r="69" spans="1:6" s="1102" customFormat="1" ht="36">
      <c r="A69" s="1151">
        <v>9</v>
      </c>
      <c r="B69" s="3722"/>
      <c r="C69" s="1065" t="s">
        <v>1519</v>
      </c>
      <c r="D69" s="1065" t="s">
        <v>1520</v>
      </c>
      <c r="E69" s="1136">
        <v>0.2</v>
      </c>
      <c r="F69" s="1151">
        <v>30</v>
      </c>
    </row>
    <row r="70" spans="1:6" s="1102" customFormat="1" ht="48">
      <c r="A70" s="1151">
        <v>10</v>
      </c>
      <c r="B70" s="3722"/>
      <c r="C70" s="1065" t="s">
        <v>1521</v>
      </c>
      <c r="D70" s="1065" t="s">
        <v>1522</v>
      </c>
      <c r="E70" s="1136">
        <v>0.2</v>
      </c>
      <c r="F70" s="1151">
        <v>30</v>
      </c>
    </row>
    <row r="71" spans="1:6" s="1102" customFormat="1" ht="48">
      <c r="A71" s="1151">
        <v>11</v>
      </c>
      <c r="B71" s="3722"/>
      <c r="C71" s="1065" t="s">
        <v>1523</v>
      </c>
      <c r="D71" s="1065" t="s">
        <v>1524</v>
      </c>
      <c r="E71" s="1136">
        <v>0.2</v>
      </c>
      <c r="F71" s="1151">
        <v>30</v>
      </c>
    </row>
    <row r="72" spans="1:6" s="1102" customFormat="1" ht="36">
      <c r="A72" s="1151">
        <v>12</v>
      </c>
      <c r="B72" s="3722"/>
      <c r="C72" s="1065" t="s">
        <v>1525</v>
      </c>
      <c r="D72" s="1065" t="s">
        <v>1526</v>
      </c>
      <c r="E72" s="1136">
        <v>0.5</v>
      </c>
      <c r="F72" s="1151">
        <v>80</v>
      </c>
    </row>
    <row r="73" spans="1:6" s="1102" customFormat="1" ht="24">
      <c r="A73" s="1151">
        <v>13</v>
      </c>
      <c r="B73" s="3722"/>
      <c r="C73" s="1065" t="s">
        <v>1527</v>
      </c>
      <c r="D73" s="1065" t="s">
        <v>1528</v>
      </c>
      <c r="E73" s="1136">
        <v>0.4</v>
      </c>
      <c r="F73" s="1151">
        <v>60</v>
      </c>
    </row>
    <row r="74" spans="1:6" s="1102" customFormat="1" ht="24">
      <c r="A74" s="1151">
        <v>14</v>
      </c>
      <c r="B74" s="3722"/>
      <c r="C74" s="1065" t="s">
        <v>1529</v>
      </c>
      <c r="D74" s="1065" t="s">
        <v>1530</v>
      </c>
      <c r="E74" s="1136">
        <v>0.2</v>
      </c>
      <c r="F74" s="1151">
        <v>30</v>
      </c>
    </row>
    <row r="75" spans="1:6" s="1102" customFormat="1" ht="24">
      <c r="A75" s="1151">
        <v>15</v>
      </c>
      <c r="B75" s="3722"/>
      <c r="C75" s="1065" t="s">
        <v>1531</v>
      </c>
      <c r="D75" s="1065" t="s">
        <v>1532</v>
      </c>
      <c r="E75" s="1136">
        <v>0.2</v>
      </c>
      <c r="F75" s="1151">
        <v>30</v>
      </c>
    </row>
    <row r="76" spans="1:6" s="1102" customFormat="1" ht="24">
      <c r="A76" s="1151">
        <v>16</v>
      </c>
      <c r="B76" s="3722" t="s">
        <v>1533</v>
      </c>
      <c r="C76" s="1065" t="s">
        <v>1534</v>
      </c>
      <c r="D76" s="1065" t="s">
        <v>1535</v>
      </c>
      <c r="E76" s="1136">
        <v>0.5</v>
      </c>
      <c r="F76" s="1151">
        <v>80</v>
      </c>
    </row>
    <row r="77" spans="1:6" s="1102" customFormat="1" ht="24">
      <c r="A77" s="1151">
        <v>17</v>
      </c>
      <c r="B77" s="3722"/>
      <c r="C77" s="1065" t="s">
        <v>1536</v>
      </c>
      <c r="D77" s="1065" t="s">
        <v>1537</v>
      </c>
      <c r="E77" s="1136">
        <v>0.5</v>
      </c>
      <c r="F77" s="1151">
        <v>80</v>
      </c>
    </row>
    <row r="78" spans="1:6" s="1102" customFormat="1" ht="24">
      <c r="A78" s="1151">
        <v>18</v>
      </c>
      <c r="B78" s="3722"/>
      <c r="C78" s="1065" t="s">
        <v>1538</v>
      </c>
      <c r="D78" s="1065" t="s">
        <v>1539</v>
      </c>
      <c r="E78" s="1136">
        <v>0.2</v>
      </c>
      <c r="F78" s="1151">
        <v>30</v>
      </c>
    </row>
    <row r="79" spans="1:6" s="1102" customFormat="1" ht="24">
      <c r="A79" s="1151">
        <v>19</v>
      </c>
      <c r="B79" s="3722"/>
      <c r="C79" s="1065" t="s">
        <v>1540</v>
      </c>
      <c r="D79" s="1065" t="s">
        <v>1541</v>
      </c>
      <c r="E79" s="1136">
        <v>0.5</v>
      </c>
      <c r="F79" s="1151">
        <v>80</v>
      </c>
    </row>
    <row r="80" spans="1:6" s="1102" customFormat="1" ht="36">
      <c r="A80" s="1151">
        <v>20</v>
      </c>
      <c r="B80" s="3722"/>
      <c r="C80" s="1065" t="s">
        <v>1542</v>
      </c>
      <c r="D80" s="1065" t="s">
        <v>1543</v>
      </c>
      <c r="E80" s="1136">
        <v>0.2</v>
      </c>
      <c r="F80" s="1151">
        <v>30</v>
      </c>
    </row>
    <row r="81" spans="1:6" s="1102" customFormat="1" ht="36">
      <c r="A81" s="1151">
        <v>21</v>
      </c>
      <c r="B81" s="3722"/>
      <c r="C81" s="1065" t="s">
        <v>1544</v>
      </c>
      <c r="D81" s="1065" t="s">
        <v>1545</v>
      </c>
      <c r="E81" s="1136">
        <v>0.2</v>
      </c>
      <c r="F81" s="1151">
        <v>30</v>
      </c>
    </row>
    <row r="82" spans="1:6" s="1102" customFormat="1" ht="48">
      <c r="A82" s="1151">
        <v>22</v>
      </c>
      <c r="B82" s="3722"/>
      <c r="C82" s="1065" t="s">
        <v>1546</v>
      </c>
      <c r="D82" s="1065" t="s">
        <v>1547</v>
      </c>
      <c r="E82" s="1136">
        <v>0.2</v>
      </c>
      <c r="F82" s="1151">
        <v>30</v>
      </c>
    </row>
    <row r="83" spans="1:6" s="1102" customFormat="1" ht="48">
      <c r="A83" s="1151">
        <v>23</v>
      </c>
      <c r="B83" s="3722"/>
      <c r="C83" s="1065" t="s">
        <v>1548</v>
      </c>
      <c r="D83" s="1065" t="s">
        <v>1549</v>
      </c>
      <c r="E83" s="1136">
        <v>0.2</v>
      </c>
      <c r="F83" s="1151">
        <v>30</v>
      </c>
    </row>
    <row r="84" spans="1:6" s="1102" customFormat="1" ht="36">
      <c r="A84" s="1151">
        <v>24</v>
      </c>
      <c r="B84" s="3722"/>
      <c r="C84" s="1065" t="s">
        <v>1550</v>
      </c>
      <c r="D84" s="1065" t="s">
        <v>1551</v>
      </c>
      <c r="E84" s="1136">
        <v>0.2</v>
      </c>
      <c r="F84" s="1151">
        <v>30</v>
      </c>
    </row>
    <row r="85" spans="1:6" s="1102" customFormat="1" ht="36">
      <c r="A85" s="1151">
        <v>25</v>
      </c>
      <c r="B85" s="3722"/>
      <c r="C85" s="1065" t="s">
        <v>1552</v>
      </c>
      <c r="D85" s="1065" t="s">
        <v>1553</v>
      </c>
      <c r="E85" s="1136">
        <v>0.5</v>
      </c>
      <c r="F85" s="1151">
        <v>80</v>
      </c>
    </row>
    <row r="86" spans="1:6" s="1102" customFormat="1" ht="36">
      <c r="A86" s="1151">
        <v>26</v>
      </c>
      <c r="B86" s="3722"/>
      <c r="C86" s="1065" t="s">
        <v>1554</v>
      </c>
      <c r="D86" s="1065" t="s">
        <v>1555</v>
      </c>
      <c r="E86" s="1136">
        <v>0.2</v>
      </c>
      <c r="F86" s="1151">
        <v>30</v>
      </c>
    </row>
    <row r="87" spans="1:6" s="1102" customFormat="1" ht="36">
      <c r="A87" s="1151">
        <v>27</v>
      </c>
      <c r="B87" s="3722"/>
      <c r="C87" s="1065" t="s">
        <v>1556</v>
      </c>
      <c r="D87" s="1065" t="s">
        <v>1557</v>
      </c>
      <c r="E87" s="1136">
        <v>0.2</v>
      </c>
      <c r="F87" s="1151">
        <v>30</v>
      </c>
    </row>
    <row r="88" spans="1:6" s="1102" customFormat="1" ht="36">
      <c r="A88" s="1151">
        <v>28</v>
      </c>
      <c r="B88" s="3722"/>
      <c r="C88" s="1065" t="s">
        <v>1558</v>
      </c>
      <c r="D88" s="1065" t="s">
        <v>1559</v>
      </c>
      <c r="E88" s="1136">
        <v>0.2</v>
      </c>
      <c r="F88" s="1151">
        <v>30</v>
      </c>
    </row>
    <row r="89" spans="1:6" s="1102" customFormat="1" ht="24">
      <c r="A89" s="1151">
        <v>29</v>
      </c>
      <c r="B89" s="3722"/>
      <c r="C89" s="1065" t="s">
        <v>1560</v>
      </c>
      <c r="D89" s="1065" t="s">
        <v>1561</v>
      </c>
      <c r="E89" s="1136">
        <v>0.2</v>
      </c>
      <c r="F89" s="1151">
        <v>30</v>
      </c>
    </row>
    <row r="90" spans="1:6" s="1102" customFormat="1" ht="24">
      <c r="A90" s="1151">
        <v>30</v>
      </c>
      <c r="B90" s="3722"/>
      <c r="C90" s="1065" t="s">
        <v>1562</v>
      </c>
      <c r="D90" s="1065" t="s">
        <v>1563</v>
      </c>
      <c r="E90" s="1136">
        <v>0.2</v>
      </c>
      <c r="F90" s="1151">
        <v>30</v>
      </c>
    </row>
    <row r="91" spans="1:6" s="1102" customFormat="1" ht="36">
      <c r="A91" s="1151">
        <v>31</v>
      </c>
      <c r="B91" s="3722"/>
      <c r="C91" s="1065" t="s">
        <v>1564</v>
      </c>
      <c r="D91" s="1065" t="s">
        <v>1565</v>
      </c>
      <c r="E91" s="1136">
        <v>0.2</v>
      </c>
      <c r="F91" s="1151">
        <v>30</v>
      </c>
    </row>
    <row r="92" spans="1:6" s="1102" customFormat="1" ht="24">
      <c r="A92" s="1151">
        <v>32</v>
      </c>
      <c r="B92" s="3722" t="s">
        <v>1566</v>
      </c>
      <c r="C92" s="1151" t="s">
        <v>1567</v>
      </c>
      <c r="D92" s="1065" t="s">
        <v>1568</v>
      </c>
      <c r="E92" s="1136">
        <v>0.2</v>
      </c>
      <c r="F92" s="1151">
        <v>30</v>
      </c>
    </row>
    <row r="93" spans="1:6" s="1102" customFormat="1" ht="36">
      <c r="A93" s="1151">
        <v>33</v>
      </c>
      <c r="B93" s="3722"/>
      <c r="C93" s="1151" t="s">
        <v>1569</v>
      </c>
      <c r="D93" s="1065" t="s">
        <v>1570</v>
      </c>
      <c r="E93" s="1136">
        <v>0.2</v>
      </c>
      <c r="F93" s="1151">
        <v>30</v>
      </c>
    </row>
    <row r="94" spans="1:6" s="1102" customFormat="1" ht="48">
      <c r="A94" s="1151">
        <v>34</v>
      </c>
      <c r="B94" s="3722"/>
      <c r="C94" s="1151" t="s">
        <v>1571</v>
      </c>
      <c r="D94" s="1065" t="s">
        <v>1572</v>
      </c>
      <c r="E94" s="1136">
        <v>0.2</v>
      </c>
      <c r="F94" s="1151">
        <v>30</v>
      </c>
    </row>
    <row r="95" spans="1:6" s="1102" customFormat="1" ht="36">
      <c r="A95" s="1151">
        <v>35</v>
      </c>
      <c r="B95" s="3722"/>
      <c r="C95" s="1151" t="s">
        <v>1573</v>
      </c>
      <c r="D95" s="1065" t="s">
        <v>1574</v>
      </c>
      <c r="E95" s="1136">
        <v>0.2</v>
      </c>
      <c r="F95" s="1151">
        <v>30</v>
      </c>
    </row>
    <row r="96" spans="1:6" s="1102" customFormat="1" ht="48">
      <c r="A96" s="1151">
        <v>36</v>
      </c>
      <c r="B96" s="3722"/>
      <c r="C96" s="1065" t="s">
        <v>1575</v>
      </c>
      <c r="D96" s="1065" t="s">
        <v>1576</v>
      </c>
      <c r="E96" s="1136">
        <v>0.2</v>
      </c>
      <c r="F96" s="1151">
        <v>30</v>
      </c>
    </row>
    <row r="97" spans="1:6" s="1102" customFormat="1" ht="36">
      <c r="A97" s="1151">
        <v>37</v>
      </c>
      <c r="B97" s="3722"/>
      <c r="C97" s="1151" t="s">
        <v>1577</v>
      </c>
      <c r="D97" s="1065" t="s">
        <v>1578</v>
      </c>
      <c r="E97" s="1136">
        <v>0.2</v>
      </c>
      <c r="F97" s="1151">
        <v>30</v>
      </c>
    </row>
    <row r="98" spans="1:6" s="1102" customFormat="1" ht="36">
      <c r="A98" s="1151">
        <v>38</v>
      </c>
      <c r="B98" s="3722"/>
      <c r="C98" s="1151" t="s">
        <v>1579</v>
      </c>
      <c r="D98" s="1065" t="s">
        <v>1580</v>
      </c>
      <c r="E98" s="1136">
        <v>0.2</v>
      </c>
      <c r="F98" s="1151">
        <v>30</v>
      </c>
    </row>
    <row r="99" spans="1:6" s="1102" customFormat="1" ht="36">
      <c r="A99" s="1151">
        <v>39</v>
      </c>
      <c r="B99" s="3722" t="s">
        <v>1581</v>
      </c>
      <c r="C99" s="1151" t="s">
        <v>1582</v>
      </c>
      <c r="D99" s="1065" t="s">
        <v>1583</v>
      </c>
      <c r="E99" s="1136">
        <v>0.3</v>
      </c>
      <c r="F99" s="1151">
        <v>50</v>
      </c>
    </row>
    <row r="100" spans="1:6" s="1102" customFormat="1" ht="24">
      <c r="A100" s="1151">
        <v>40</v>
      </c>
      <c r="B100" s="3722"/>
      <c r="C100" s="1151" t="s">
        <v>1584</v>
      </c>
      <c r="D100" s="1065" t="s">
        <v>1585</v>
      </c>
      <c r="E100" s="1136">
        <v>0.2</v>
      </c>
      <c r="F100" s="1151">
        <v>30</v>
      </c>
    </row>
    <row r="101" spans="1:6" s="1102" customFormat="1" ht="36">
      <c r="A101" s="1151">
        <v>41</v>
      </c>
      <c r="B101" s="3722"/>
      <c r="C101" s="1151" t="s">
        <v>1586</v>
      </c>
      <c r="D101" s="1065" t="s">
        <v>1583</v>
      </c>
      <c r="E101" s="1136">
        <v>0.2</v>
      </c>
      <c r="F101" s="1151">
        <v>30</v>
      </c>
    </row>
    <row r="102" spans="1:6" s="1102" customFormat="1" ht="48">
      <c r="A102" s="1151">
        <v>42</v>
      </c>
      <c r="B102" s="1151" t="s">
        <v>1587</v>
      </c>
      <c r="C102" s="1065" t="s">
        <v>1588</v>
      </c>
      <c r="D102" s="1065" t="s">
        <v>1589</v>
      </c>
      <c r="E102" s="1136">
        <v>0.2</v>
      </c>
      <c r="F102" s="1151">
        <v>30</v>
      </c>
    </row>
    <row r="103" spans="1:6" s="1102" customFormat="1" ht="24">
      <c r="A103" s="1151">
        <v>43</v>
      </c>
      <c r="B103" s="1151" t="s">
        <v>1590</v>
      </c>
      <c r="C103" s="1151" t="s">
        <v>1591</v>
      </c>
      <c r="D103" s="1065" t="s">
        <v>1592</v>
      </c>
      <c r="E103" s="1136">
        <v>0.2</v>
      </c>
      <c r="F103" s="1151">
        <v>30</v>
      </c>
    </row>
    <row r="104" spans="1:6" s="1102" customFormat="1" ht="36">
      <c r="A104" s="1151">
        <v>44</v>
      </c>
      <c r="B104" s="1151" t="s">
        <v>1593</v>
      </c>
      <c r="C104" s="1151" t="s">
        <v>1594</v>
      </c>
      <c r="D104" s="1065" t="s">
        <v>1595</v>
      </c>
      <c r="E104" s="1136">
        <v>0.2</v>
      </c>
      <c r="F104" s="1151">
        <v>30</v>
      </c>
    </row>
    <row r="105" spans="1:6" s="1102" customFormat="1" ht="36">
      <c r="A105" s="1151">
        <v>45</v>
      </c>
      <c r="B105" s="3722" t="s">
        <v>1596</v>
      </c>
      <c r="C105" s="1151" t="s">
        <v>1597</v>
      </c>
      <c r="D105" s="1065" t="s">
        <v>1598</v>
      </c>
      <c r="E105" s="1136">
        <v>0.2</v>
      </c>
      <c r="F105" s="1151">
        <v>30</v>
      </c>
    </row>
    <row r="106" spans="1:6" s="1102" customFormat="1" ht="36">
      <c r="A106" s="1151">
        <v>46</v>
      </c>
      <c r="B106" s="3722"/>
      <c r="C106" s="1151" t="s">
        <v>1599</v>
      </c>
      <c r="D106" s="1065" t="s">
        <v>1600</v>
      </c>
      <c r="E106" s="1136">
        <v>0.2</v>
      </c>
      <c r="F106" s="1151">
        <v>30</v>
      </c>
    </row>
    <row r="107" spans="1:6" s="1102" customFormat="1" ht="36">
      <c r="A107" s="1151">
        <v>47</v>
      </c>
      <c r="B107" s="3722" t="s">
        <v>1601</v>
      </c>
      <c r="C107" s="1151" t="s">
        <v>1602</v>
      </c>
      <c r="D107" s="1065" t="s">
        <v>1603</v>
      </c>
      <c r="E107" s="1136">
        <v>0.3</v>
      </c>
      <c r="F107" s="1151">
        <v>50</v>
      </c>
    </row>
    <row r="108" spans="1:6" s="1102" customFormat="1" ht="36">
      <c r="A108" s="1151">
        <v>48</v>
      </c>
      <c r="B108" s="3722"/>
      <c r="C108" s="1151" t="s">
        <v>1604</v>
      </c>
      <c r="D108" s="1065" t="s">
        <v>1605</v>
      </c>
      <c r="E108" s="1136">
        <v>0.2</v>
      </c>
      <c r="F108" s="1151">
        <v>30</v>
      </c>
    </row>
    <row r="109" spans="1:6" s="1102" customFormat="1" ht="36">
      <c r="A109" s="1151">
        <v>49</v>
      </c>
      <c r="B109" s="1151" t="s">
        <v>1606</v>
      </c>
      <c r="C109" s="1151" t="s">
        <v>1607</v>
      </c>
      <c r="D109" s="1065" t="s">
        <v>1608</v>
      </c>
      <c r="E109" s="1136">
        <v>0.2</v>
      </c>
      <c r="F109" s="1151">
        <v>30</v>
      </c>
    </row>
    <row r="110" spans="1:6" s="1102" customFormat="1" ht="36">
      <c r="A110" s="1151">
        <v>50</v>
      </c>
      <c r="B110" s="1151" t="s">
        <v>1609</v>
      </c>
      <c r="C110" s="1151" t="s">
        <v>1610</v>
      </c>
      <c r="D110" s="1065" t="s">
        <v>1611</v>
      </c>
      <c r="E110" s="1136">
        <v>0.2</v>
      </c>
      <c r="F110" s="1151">
        <v>30</v>
      </c>
    </row>
    <row r="111" spans="1:6" s="1102" customFormat="1" ht="36">
      <c r="A111" s="1151">
        <v>51</v>
      </c>
      <c r="B111" s="3722" t="s">
        <v>1612</v>
      </c>
      <c r="C111" s="1151" t="s">
        <v>1613</v>
      </c>
      <c r="D111" s="1065" t="s">
        <v>1614</v>
      </c>
      <c r="E111" s="1136">
        <v>0.2</v>
      </c>
      <c r="F111" s="1151">
        <v>30</v>
      </c>
    </row>
    <row r="112" spans="1:6" s="1102" customFormat="1" ht="24">
      <c r="A112" s="1151">
        <v>52</v>
      </c>
      <c r="B112" s="3722"/>
      <c r="C112" s="1151" t="s">
        <v>1615</v>
      </c>
      <c r="D112" s="1065" t="s">
        <v>1616</v>
      </c>
      <c r="E112" s="1136">
        <v>0.2</v>
      </c>
      <c r="F112" s="1151">
        <v>30</v>
      </c>
    </row>
    <row r="113" spans="1:14" s="1102" customFormat="1" ht="24">
      <c r="A113" s="1151">
        <v>53</v>
      </c>
      <c r="B113" s="3722"/>
      <c r="C113" s="1151" t="s">
        <v>1617</v>
      </c>
      <c r="D113" s="1065" t="s">
        <v>1618</v>
      </c>
      <c r="E113" s="1136">
        <v>0.2</v>
      </c>
      <c r="F113" s="1151">
        <v>30</v>
      </c>
    </row>
    <row r="114" spans="1:14" ht="36">
      <c r="A114" s="1151">
        <v>54</v>
      </c>
      <c r="B114" s="1151" t="s">
        <v>1619</v>
      </c>
      <c r="C114" s="1151" t="s">
        <v>1620</v>
      </c>
      <c r="D114" s="1065" t="s">
        <v>1621</v>
      </c>
      <c r="E114" s="1136">
        <v>0.2</v>
      </c>
      <c r="F114" s="1151">
        <v>30</v>
      </c>
    </row>
    <row r="115" spans="1:14" ht="24">
      <c r="A115" s="1151">
        <v>55</v>
      </c>
      <c r="B115" s="1151" t="s">
        <v>1622</v>
      </c>
      <c r="C115" s="1151" t="s">
        <v>1623</v>
      </c>
      <c r="D115" s="1065" t="s">
        <v>1624</v>
      </c>
      <c r="E115" s="1136">
        <v>0.2</v>
      </c>
      <c r="F115" s="1151">
        <v>30</v>
      </c>
    </row>
    <row r="116" spans="1:14" ht="24">
      <c r="A116" s="1151">
        <v>56</v>
      </c>
      <c r="B116" s="3722" t="s">
        <v>1625</v>
      </c>
      <c r="C116" s="1151" t="s">
        <v>1626</v>
      </c>
      <c r="D116" s="1065" t="s">
        <v>1627</v>
      </c>
      <c r="E116" s="1136">
        <v>0.2</v>
      </c>
      <c r="F116" s="1151">
        <v>30</v>
      </c>
    </row>
    <row r="117" spans="1:14" ht="36">
      <c r="A117" s="1151">
        <v>57</v>
      </c>
      <c r="B117" s="3722"/>
      <c r="C117" s="1151" t="s">
        <v>1628</v>
      </c>
      <c r="D117" s="1065" t="s">
        <v>1629</v>
      </c>
      <c r="E117" s="1136">
        <v>0.2</v>
      </c>
      <c r="F117" s="1151">
        <v>30</v>
      </c>
    </row>
    <row r="118" spans="1:14" ht="36">
      <c r="A118" s="1151">
        <v>58</v>
      </c>
      <c r="B118" s="1151" t="s">
        <v>1630</v>
      </c>
      <c r="C118" s="1151" t="s">
        <v>1631</v>
      </c>
      <c r="D118" s="1065" t="s">
        <v>1632</v>
      </c>
      <c r="E118" s="1136">
        <v>0.2</v>
      </c>
      <c r="F118" s="1151">
        <v>30</v>
      </c>
    </row>
    <row r="119" spans="1:14" ht="13.5">
      <c r="A119" s="1151"/>
      <c r="B119" s="1151"/>
      <c r="C119" s="1151"/>
      <c r="D119" s="1151"/>
      <c r="E119" s="1136"/>
      <c r="F119" s="1151"/>
    </row>
    <row r="121" spans="1:14" ht="19.5" customHeight="1">
      <c r="A121" s="3721" t="s">
        <v>1634</v>
      </c>
      <c r="B121" s="3721"/>
      <c r="C121" s="3721"/>
      <c r="D121" s="3721"/>
      <c r="E121" s="3721"/>
      <c r="F121" s="3721"/>
      <c r="G121" s="3721"/>
      <c r="H121" s="3721"/>
      <c r="I121" s="3721"/>
      <c r="J121" s="3721"/>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734" t="s">
        <v>1040</v>
      </c>
      <c r="B1" s="3734"/>
      <c r="C1" s="3734"/>
      <c r="D1" s="3734"/>
      <c r="E1" s="3734"/>
      <c r="F1" s="3734"/>
      <c r="H1" s="1067"/>
      <c r="I1" s="1068" t="s">
        <v>1041</v>
      </c>
      <c r="J1" s="1069" t="s">
        <v>1042</v>
      </c>
      <c r="K1" s="1069" t="s">
        <v>1043</v>
      </c>
      <c r="L1" s="1069" t="s">
        <v>1044</v>
      </c>
      <c r="M1" s="1069" t="s">
        <v>1045</v>
      </c>
      <c r="N1" s="1069" t="s">
        <v>1046</v>
      </c>
      <c r="O1" s="1069" t="s">
        <v>1047</v>
      </c>
      <c r="P1" s="1069" t="s">
        <v>1048</v>
      </c>
      <c r="Q1" s="1069" t="s">
        <v>1049</v>
      </c>
      <c r="R1" s="1069" t="s">
        <v>1050</v>
      </c>
      <c r="S1" s="1069" t="s">
        <v>1051</v>
      </c>
      <c r="T1" s="1070" t="s">
        <v>1052</v>
      </c>
    </row>
    <row r="2" spans="1:20" ht="14.25" thickBot="1">
      <c r="A2" s="3735" t="s">
        <v>1053</v>
      </c>
      <c r="B2" s="3735"/>
      <c r="C2" s="3735"/>
      <c r="D2" s="3735"/>
      <c r="E2" s="3735"/>
      <c r="F2" s="3735"/>
      <c r="I2" s="1071" t="s">
        <v>1054</v>
      </c>
      <c r="J2" s="1072" t="s">
        <v>1055</v>
      </c>
      <c r="K2" s="1072" t="s">
        <v>1056</v>
      </c>
      <c r="L2" s="1072" t="s">
        <v>1057</v>
      </c>
      <c r="M2" s="1072" t="s">
        <v>1058</v>
      </c>
      <c r="N2" s="1072" t="s">
        <v>1059</v>
      </c>
      <c r="O2" s="1072" t="s">
        <v>1060</v>
      </c>
      <c r="P2" s="1072" t="s">
        <v>1061</v>
      </c>
      <c r="Q2" s="1072" t="s">
        <v>1062</v>
      </c>
      <c r="R2" s="1072" t="s">
        <v>1063</v>
      </c>
      <c r="S2" s="1072" t="s">
        <v>1064</v>
      </c>
      <c r="T2" s="1072" t="s">
        <v>1065</v>
      </c>
    </row>
    <row r="3" spans="1:20" s="1067" customFormat="1" ht="19.5" customHeight="1">
      <c r="A3" s="3736" t="s">
        <v>1066</v>
      </c>
      <c r="B3" s="1073"/>
      <c r="C3" s="1074" t="s">
        <v>1067</v>
      </c>
      <c r="D3" s="1074" t="s">
        <v>1068</v>
      </c>
      <c r="E3" s="1074" t="s">
        <v>1069</v>
      </c>
      <c r="F3" s="1074" t="s">
        <v>1070</v>
      </c>
      <c r="G3" s="1075"/>
      <c r="I3" s="1071" t="s">
        <v>1071</v>
      </c>
      <c r="J3" s="1072" t="s">
        <v>1072</v>
      </c>
      <c r="K3" s="1072" t="s">
        <v>1073</v>
      </c>
      <c r="L3" s="1072" t="s">
        <v>1074</v>
      </c>
      <c r="M3" s="1072" t="s">
        <v>1075</v>
      </c>
      <c r="N3" s="1072" t="s">
        <v>1076</v>
      </c>
      <c r="O3" s="1072" t="s">
        <v>1077</v>
      </c>
      <c r="P3" s="1072" t="s">
        <v>1078</v>
      </c>
      <c r="Q3" s="1072" t="s">
        <v>1079</v>
      </c>
      <c r="R3" s="1072" t="s">
        <v>1080</v>
      </c>
      <c r="S3" s="1072" t="s">
        <v>1081</v>
      </c>
      <c r="T3" s="1072" t="s">
        <v>1082</v>
      </c>
    </row>
    <row r="4" spans="1:20" s="1067" customFormat="1" ht="19.5" customHeight="1" thickBot="1">
      <c r="A4" s="3737"/>
      <c r="B4" s="1076" t="s">
        <v>1083</v>
      </c>
      <c r="C4" s="1076" t="s">
        <v>1084</v>
      </c>
      <c r="D4" s="1076" t="s">
        <v>1084</v>
      </c>
      <c r="E4" s="1076" t="s">
        <v>1084</v>
      </c>
      <c r="F4" s="1077" t="s">
        <v>1084</v>
      </c>
      <c r="G4" s="1075"/>
      <c r="I4" s="1071" t="s">
        <v>1085</v>
      </c>
      <c r="J4" s="1072" t="s">
        <v>1086</v>
      </c>
      <c r="K4" s="1072" t="s">
        <v>1087</v>
      </c>
      <c r="L4" s="1072" t="s">
        <v>1088</v>
      </c>
      <c r="M4" s="1072" t="s">
        <v>1089</v>
      </c>
      <c r="N4" s="1072" t="s">
        <v>1090</v>
      </c>
      <c r="O4" s="1072" t="s">
        <v>1091</v>
      </c>
      <c r="P4" s="1072" t="s">
        <v>1092</v>
      </c>
      <c r="Q4" s="1072" t="s">
        <v>1093</v>
      </c>
      <c r="R4" s="1072" t="s">
        <v>1094</v>
      </c>
      <c r="S4" s="1072" t="s">
        <v>1095</v>
      </c>
      <c r="T4" s="1072" t="s">
        <v>1096</v>
      </c>
    </row>
    <row r="5" spans="1:20" ht="14.25" customHeight="1" thickBot="1">
      <c r="A5" s="1078" t="s">
        <v>1097</v>
      </c>
      <c r="B5" s="1079" t="s">
        <v>1054</v>
      </c>
      <c r="C5" s="1079">
        <v>29530</v>
      </c>
      <c r="D5" s="1079">
        <v>28130</v>
      </c>
      <c r="E5" s="1079">
        <v>27930</v>
      </c>
      <c r="F5" s="1080">
        <v>11300</v>
      </c>
      <c r="G5" s="1081" t="s">
        <v>1041</v>
      </c>
      <c r="H5" s="1082">
        <f>SUMPRODUCT((B5:B9=基准地价!I2)*(C3:F3=基准地价!E2)*(C5:F9))</f>
        <v>0</v>
      </c>
      <c r="I5" s="1071" t="s">
        <v>1098</v>
      </c>
      <c r="J5" s="1072" t="s">
        <v>1099</v>
      </c>
      <c r="K5" s="1072" t="s">
        <v>1100</v>
      </c>
      <c r="L5" s="1072" t="s">
        <v>1101</v>
      </c>
      <c r="M5" s="1072" t="s">
        <v>1102</v>
      </c>
      <c r="N5" s="1072" t="s">
        <v>1103</v>
      </c>
      <c r="O5" s="1072" t="s">
        <v>1104</v>
      </c>
      <c r="P5" s="1072" t="s">
        <v>1105</v>
      </c>
      <c r="Q5" s="1072" t="s">
        <v>1106</v>
      </c>
      <c r="R5" s="1072" t="s">
        <v>1107</v>
      </c>
      <c r="S5" s="1072" t="s">
        <v>1108</v>
      </c>
      <c r="T5" s="1072" t="s">
        <v>1109</v>
      </c>
    </row>
    <row r="6" spans="1:20" ht="14.25" customHeight="1" thickBot="1">
      <c r="A6" s="1078" t="s">
        <v>1097</v>
      </c>
      <c r="B6" s="1072" t="s">
        <v>1110</v>
      </c>
      <c r="C6" s="1072">
        <v>30290</v>
      </c>
      <c r="D6" s="1072">
        <v>29210</v>
      </c>
      <c r="E6" s="1072">
        <v>28860</v>
      </c>
      <c r="F6" s="1083">
        <v>12600</v>
      </c>
      <c r="G6" s="1084" t="s">
        <v>1111</v>
      </c>
      <c r="H6" s="1085">
        <f>SUMPRODUCT((B10:B28=基准地价!I2)*(C3:F3=基准地价!E2)*(C10:F28))</f>
        <v>0</v>
      </c>
      <c r="I6" s="1071" t="s">
        <v>1112</v>
      </c>
      <c r="J6" s="1072" t="s">
        <v>1113</v>
      </c>
      <c r="K6" s="1072" t="s">
        <v>1114</v>
      </c>
      <c r="L6" s="1072" t="s">
        <v>1115</v>
      </c>
      <c r="M6" s="1072" t="s">
        <v>1116</v>
      </c>
      <c r="N6" s="1072" t="s">
        <v>1117</v>
      </c>
      <c r="O6" s="1072" t="s">
        <v>1118</v>
      </c>
      <c r="P6" s="1072" t="s">
        <v>1119</v>
      </c>
      <c r="Q6" s="1072" t="s">
        <v>1120</v>
      </c>
      <c r="R6" s="1072" t="s">
        <v>1121</v>
      </c>
      <c r="S6" s="1072" t="s">
        <v>1122</v>
      </c>
      <c r="T6" s="1072" t="s">
        <v>1123</v>
      </c>
    </row>
    <row r="7" spans="1:20" ht="14.25" customHeight="1" thickBot="1">
      <c r="A7" s="1078" t="s">
        <v>1097</v>
      </c>
      <c r="B7" s="1086" t="s">
        <v>1085</v>
      </c>
      <c r="C7" s="1072">
        <v>29350</v>
      </c>
      <c r="D7" s="1072">
        <v>28410</v>
      </c>
      <c r="E7" s="1072">
        <v>27990</v>
      </c>
      <c r="F7" s="1083">
        <v>12300</v>
      </c>
      <c r="G7" s="1084" t="s">
        <v>909</v>
      </c>
      <c r="H7" s="1085">
        <f>SUMPRODUCT((B29:B48=基准地价!I2)*(C3:F3=基准地价!E2)*(C29:F48))</f>
        <v>0</v>
      </c>
      <c r="J7" s="1072" t="s">
        <v>1124</v>
      </c>
      <c r="K7" s="1072" t="s">
        <v>1125</v>
      </c>
      <c r="L7" s="1072" t="s">
        <v>1126</v>
      </c>
      <c r="M7" s="1072" t="s">
        <v>1127</v>
      </c>
      <c r="N7" s="1072" t="s">
        <v>1128</v>
      </c>
      <c r="O7" s="1072" t="s">
        <v>1129</v>
      </c>
      <c r="P7" s="1072" t="s">
        <v>1130</v>
      </c>
      <c r="Q7" s="1072" t="s">
        <v>1131</v>
      </c>
      <c r="R7" s="1072" t="s">
        <v>1132</v>
      </c>
      <c r="S7" s="1072" t="s">
        <v>1133</v>
      </c>
      <c r="T7" s="1086" t="s">
        <v>1134</v>
      </c>
    </row>
    <row r="8" spans="1:20" ht="14.25" customHeight="1" thickBot="1">
      <c r="A8" s="1078" t="s">
        <v>1097</v>
      </c>
      <c r="B8" s="1072" t="s">
        <v>1098</v>
      </c>
      <c r="C8" s="1072">
        <v>30890</v>
      </c>
      <c r="D8" s="1072">
        <v>29780</v>
      </c>
      <c r="E8" s="1072">
        <v>29270</v>
      </c>
      <c r="F8" s="1083">
        <v>11600</v>
      </c>
      <c r="G8" s="1084" t="s">
        <v>910</v>
      </c>
      <c r="H8" s="1085">
        <f>SUMPRODUCT((B49:B75=基准地价!I2)*(C3:F3=基准地价!E2)*(C49:F75))</f>
        <v>0</v>
      </c>
      <c r="J8" s="1072" t="s">
        <v>1135</v>
      </c>
      <c r="K8" s="1072" t="s">
        <v>1136</v>
      </c>
      <c r="L8" s="1072" t="s">
        <v>1137</v>
      </c>
      <c r="M8" s="1072" t="s">
        <v>1138</v>
      </c>
      <c r="N8" s="1072" t="s">
        <v>1139</v>
      </c>
      <c r="O8" s="1072" t="s">
        <v>1140</v>
      </c>
      <c r="P8" s="1072" t="s">
        <v>1141</v>
      </c>
      <c r="Q8" s="1072" t="s">
        <v>1142</v>
      </c>
      <c r="R8" s="1072" t="s">
        <v>1143</v>
      </c>
      <c r="S8" s="1072" t="s">
        <v>1144</v>
      </c>
      <c r="T8" s="1072" t="s">
        <v>1145</v>
      </c>
    </row>
    <row r="9" spans="1:20" ht="14.25" customHeight="1" thickBot="1">
      <c r="A9" s="1078" t="s">
        <v>1097</v>
      </c>
      <c r="B9" s="1087" t="s">
        <v>1112</v>
      </c>
      <c r="C9" s="1088">
        <v>28140</v>
      </c>
      <c r="D9" s="1088"/>
      <c r="E9" s="1088"/>
      <c r="F9" s="1089"/>
      <c r="G9" s="1084" t="s">
        <v>911</v>
      </c>
      <c r="H9" s="1085">
        <f>SUMPRODUCT((B76:B109=基准地价!I2)*(C3:F3=基准地价!E2)*(C76:F109))</f>
        <v>0</v>
      </c>
      <c r="J9" s="1072" t="s">
        <v>1146</v>
      </c>
      <c r="K9" s="1072" t="s">
        <v>1147</v>
      </c>
      <c r="L9" s="1072" t="s">
        <v>1148</v>
      </c>
      <c r="M9" s="1072" t="s">
        <v>1149</v>
      </c>
      <c r="N9" s="1072" t="s">
        <v>1150</v>
      </c>
      <c r="O9" s="1072" t="s">
        <v>1151</v>
      </c>
      <c r="P9" s="1072" t="s">
        <v>1152</v>
      </c>
      <c r="Q9" s="1072" t="s">
        <v>1153</v>
      </c>
      <c r="R9" s="1072" t="s">
        <v>1154</v>
      </c>
      <c r="S9" s="1072" t="s">
        <v>1155</v>
      </c>
    </row>
    <row r="10" spans="1:20" ht="14.25" customHeight="1" thickBot="1">
      <c r="A10" s="1078" t="s">
        <v>1156</v>
      </c>
      <c r="B10" s="1079" t="s">
        <v>1157</v>
      </c>
      <c r="C10" s="1079">
        <v>27450</v>
      </c>
      <c r="D10" s="1079">
        <v>26180</v>
      </c>
      <c r="E10" s="1079">
        <v>25980</v>
      </c>
      <c r="F10" s="1080">
        <v>8910</v>
      </c>
      <c r="G10" s="1084" t="s">
        <v>912</v>
      </c>
      <c r="H10" s="1085">
        <f>SUMPRODUCT((B110:B157=基准地价!I2)*(C3:F3=基准地价!E2)*(C110:F157))</f>
        <v>0</v>
      </c>
      <c r="J10" s="1072" t="s">
        <v>1158</v>
      </c>
      <c r="K10" s="1072" t="s">
        <v>1159</v>
      </c>
      <c r="L10" s="1072" t="s">
        <v>1160</v>
      </c>
      <c r="M10" s="1072" t="s">
        <v>1161</v>
      </c>
      <c r="N10" s="1072" t="s">
        <v>1162</v>
      </c>
      <c r="O10" s="1072" t="s">
        <v>1163</v>
      </c>
      <c r="P10" s="1072" t="s">
        <v>1164</v>
      </c>
      <c r="Q10" s="1072" t="s">
        <v>1165</v>
      </c>
      <c r="R10" s="1072" t="s">
        <v>1166</v>
      </c>
      <c r="S10" s="1072" t="s">
        <v>1167</v>
      </c>
    </row>
    <row r="11" spans="1:20" ht="14.25" customHeight="1" thickBot="1">
      <c r="A11" s="1078" t="s">
        <v>1156</v>
      </c>
      <c r="B11" s="1086" t="s">
        <v>1072</v>
      </c>
      <c r="C11" s="1072">
        <v>22950</v>
      </c>
      <c r="D11" s="1072">
        <v>22630</v>
      </c>
      <c r="E11" s="1072">
        <v>22030</v>
      </c>
      <c r="F11" s="1090">
        <v>8330</v>
      </c>
      <c r="G11" s="1084" t="s">
        <v>913</v>
      </c>
      <c r="H11" s="1085">
        <f>SUMPRODUCT((B158:B205=基准地价!I2)*(C3:F3=基准地价!E2)*(C158:F205))</f>
        <v>0</v>
      </c>
      <c r="J11" s="1072" t="s">
        <v>1168</v>
      </c>
      <c r="K11" s="1072" t="s">
        <v>1169</v>
      </c>
      <c r="L11" s="1072" t="s">
        <v>1170</v>
      </c>
      <c r="M11" s="1072" t="s">
        <v>1171</v>
      </c>
      <c r="N11" s="1072" t="s">
        <v>1172</v>
      </c>
      <c r="O11" s="1072" t="s">
        <v>1173</v>
      </c>
      <c r="P11" s="1072" t="s">
        <v>1174</v>
      </c>
      <c r="Q11" s="1072" t="s">
        <v>1175</v>
      </c>
      <c r="R11" s="1072" t="s">
        <v>1176</v>
      </c>
      <c r="S11" s="1072" t="s">
        <v>1177</v>
      </c>
    </row>
    <row r="12" spans="1:20" ht="14.25" customHeight="1" thickBot="1">
      <c r="A12" s="1078" t="s">
        <v>1156</v>
      </c>
      <c r="B12" s="1086" t="s">
        <v>1086</v>
      </c>
      <c r="C12" s="1072">
        <v>24940</v>
      </c>
      <c r="D12" s="1072">
        <v>23180</v>
      </c>
      <c r="E12" s="1072">
        <v>22910</v>
      </c>
      <c r="F12" s="1090">
        <v>7180</v>
      </c>
      <c r="G12" s="1084" t="s">
        <v>914</v>
      </c>
      <c r="H12" s="1085">
        <f>SUMPRODUCT((B206:B244=基准地价!I2)*(C3:F3=基准地价!E2)*(C206:F244))</f>
        <v>0</v>
      </c>
      <c r="J12" s="1072" t="s">
        <v>1178</v>
      </c>
      <c r="K12" s="1072" t="s">
        <v>1179</v>
      </c>
      <c r="L12" s="1072" t="s">
        <v>1180</v>
      </c>
      <c r="M12" s="1072" t="s">
        <v>1181</v>
      </c>
      <c r="N12" s="1072" t="s">
        <v>1182</v>
      </c>
      <c r="O12" s="1072" t="s">
        <v>1183</v>
      </c>
      <c r="P12" s="1072" t="s">
        <v>1184</v>
      </c>
      <c r="Q12" s="1072" t="s">
        <v>1185</v>
      </c>
      <c r="R12" s="1072" t="s">
        <v>1186</v>
      </c>
      <c r="S12" s="1072" t="s">
        <v>1187</v>
      </c>
    </row>
    <row r="13" spans="1:20" ht="14.25" customHeight="1" thickBot="1">
      <c r="A13" s="1078" t="s">
        <v>1156</v>
      </c>
      <c r="B13" s="1086" t="s">
        <v>1099</v>
      </c>
      <c r="C13" s="1072">
        <v>24140</v>
      </c>
      <c r="D13" s="1072">
        <v>22270</v>
      </c>
      <c r="E13" s="1072">
        <v>21950</v>
      </c>
      <c r="F13" s="1090">
        <v>7600</v>
      </c>
      <c r="G13" s="1084" t="s">
        <v>915</v>
      </c>
      <c r="H13" s="1085">
        <f>SUMPRODUCT((B245:B289=基准地价!I2)*(C3:F3=基准地价!E2)*(C245:F289))</f>
        <v>0</v>
      </c>
      <c r="J13" s="1072" t="s">
        <v>1188</v>
      </c>
      <c r="K13" s="1072" t="s">
        <v>1189</v>
      </c>
      <c r="L13" s="1072" t="s">
        <v>1190</v>
      </c>
      <c r="M13" s="1072" t="s">
        <v>1191</v>
      </c>
      <c r="N13" s="1072" t="s">
        <v>1192</v>
      </c>
      <c r="O13" s="1072" t="s">
        <v>1193</v>
      </c>
      <c r="P13" s="1072" t="s">
        <v>1194</v>
      </c>
      <c r="Q13" s="1072" t="s">
        <v>1195</v>
      </c>
      <c r="R13" s="1072" t="s">
        <v>1196</v>
      </c>
      <c r="S13" s="1072" t="s">
        <v>1197</v>
      </c>
    </row>
    <row r="14" spans="1:20" ht="14.25" customHeight="1" thickBot="1">
      <c r="A14" s="1078" t="s">
        <v>1156</v>
      </c>
      <c r="B14" s="1086" t="s">
        <v>1113</v>
      </c>
      <c r="C14" s="1072">
        <v>25600</v>
      </c>
      <c r="D14" s="1072">
        <v>22260</v>
      </c>
      <c r="E14" s="1072">
        <v>22110</v>
      </c>
      <c r="F14" s="1090">
        <v>7630</v>
      </c>
      <c r="G14" s="1084" t="s">
        <v>916</v>
      </c>
      <c r="H14" s="1085">
        <f>SUMPRODUCT((B290:B316=基准地价!I2)*(C3:F3=基准地价!E2)*(C290:F316))</f>
        <v>0</v>
      </c>
      <c r="J14" s="1072" t="s">
        <v>1198</v>
      </c>
      <c r="K14" s="1072" t="s">
        <v>1199</v>
      </c>
      <c r="L14" s="1072" t="s">
        <v>1200</v>
      </c>
      <c r="M14" s="1072" t="s">
        <v>1201</v>
      </c>
      <c r="N14" s="1072" t="s">
        <v>1202</v>
      </c>
      <c r="O14" s="1072" t="s">
        <v>1203</v>
      </c>
      <c r="P14" s="1072" t="s">
        <v>1204</v>
      </c>
      <c r="Q14" s="1072" t="s">
        <v>1205</v>
      </c>
      <c r="R14" s="1072" t="s">
        <v>1206</v>
      </c>
      <c r="S14" s="1072" t="s">
        <v>1207</v>
      </c>
    </row>
    <row r="15" spans="1:20" ht="14.25" customHeight="1" thickBot="1">
      <c r="A15" s="1078" t="s">
        <v>1156</v>
      </c>
      <c r="B15" s="1086" t="s">
        <v>1124</v>
      </c>
      <c r="C15" s="1072">
        <v>24760</v>
      </c>
      <c r="D15" s="1072">
        <v>24440</v>
      </c>
      <c r="E15" s="1072">
        <v>24130</v>
      </c>
      <c r="F15" s="1090">
        <v>9480</v>
      </c>
      <c r="G15" s="1084" t="s">
        <v>917</v>
      </c>
      <c r="H15" s="1085">
        <f>SUMPRODUCT((B317:B337=基准地价!I2)*(C3:F3=基准地价!E2)*(C317:F337))</f>
        <v>0</v>
      </c>
      <c r="J15" s="1072" t="s">
        <v>1208</v>
      </c>
      <c r="K15" s="1072" t="s">
        <v>1209</v>
      </c>
      <c r="L15" s="1072" t="s">
        <v>1210</v>
      </c>
      <c r="M15" s="1072" t="s">
        <v>1211</v>
      </c>
      <c r="N15" s="1072" t="s">
        <v>1212</v>
      </c>
      <c r="O15" s="1072" t="s">
        <v>1213</v>
      </c>
      <c r="P15" s="1072" t="s">
        <v>1214</v>
      </c>
      <c r="Q15" s="1072" t="s">
        <v>1215</v>
      </c>
      <c r="R15" s="1072" t="s">
        <v>1216</v>
      </c>
      <c r="S15" s="1072" t="s">
        <v>1217</v>
      </c>
    </row>
    <row r="16" spans="1:20" ht="14.25" customHeight="1" thickBot="1">
      <c r="A16" s="1078" t="s">
        <v>1156</v>
      </c>
      <c r="B16" s="1086" t="s">
        <v>1135</v>
      </c>
      <c r="C16" s="1072">
        <v>22220</v>
      </c>
      <c r="D16" s="1072">
        <v>22310</v>
      </c>
      <c r="E16" s="1072">
        <v>22000</v>
      </c>
      <c r="F16" s="1090">
        <v>8900</v>
      </c>
      <c r="G16" s="1091" t="s">
        <v>918</v>
      </c>
      <c r="H16" s="1092">
        <f>SUMPRODUCT((B338:B344=基准地价!I2)*(C3:F3=基准地价!E2)*(C338:F344))</f>
        <v>0</v>
      </c>
      <c r="J16" s="1072" t="s">
        <v>1218</v>
      </c>
      <c r="K16" s="1072" t="s">
        <v>1219</v>
      </c>
      <c r="L16" s="1072" t="s">
        <v>1220</v>
      </c>
      <c r="M16" s="1072" t="s">
        <v>1221</v>
      </c>
      <c r="N16" s="1072" t="s">
        <v>1222</v>
      </c>
      <c r="O16" s="1072" t="s">
        <v>1223</v>
      </c>
      <c r="P16" s="1072" t="s">
        <v>1224</v>
      </c>
      <c r="Q16" s="1072" t="s">
        <v>1225</v>
      </c>
      <c r="R16" s="1072" t="s">
        <v>1226</v>
      </c>
      <c r="S16" s="1072" t="s">
        <v>1227</v>
      </c>
    </row>
    <row r="17" spans="1:19" ht="14.25" customHeight="1" thickBot="1">
      <c r="A17" s="1078" t="s">
        <v>1156</v>
      </c>
      <c r="B17" s="1086" t="s">
        <v>1146</v>
      </c>
      <c r="C17" s="1072">
        <v>24700</v>
      </c>
      <c r="D17" s="1072">
        <v>25150</v>
      </c>
      <c r="E17" s="1072">
        <v>24700</v>
      </c>
      <c r="F17" s="1093"/>
      <c r="H17" s="1094"/>
      <c r="J17" s="1072" t="s">
        <v>1228</v>
      </c>
      <c r="K17" s="1072" t="s">
        <v>1229</v>
      </c>
      <c r="L17" s="1072" t="s">
        <v>1230</v>
      </c>
      <c r="M17" s="1072" t="s">
        <v>1231</v>
      </c>
      <c r="N17" s="1072" t="s">
        <v>1232</v>
      </c>
      <c r="O17" s="1072" t="s">
        <v>1233</v>
      </c>
      <c r="P17" s="1072" t="s">
        <v>1234</v>
      </c>
      <c r="Q17" s="1072" t="s">
        <v>1235</v>
      </c>
      <c r="R17" s="1072" t="s">
        <v>1236</v>
      </c>
      <c r="S17" s="1072" t="s">
        <v>1237</v>
      </c>
    </row>
    <row r="18" spans="1:19" ht="14.25" customHeight="1" thickBot="1">
      <c r="A18" s="1078" t="s">
        <v>1156</v>
      </c>
      <c r="B18" s="1086" t="s">
        <v>1158</v>
      </c>
      <c r="C18" s="1072">
        <v>22350</v>
      </c>
      <c r="D18" s="1072">
        <v>24340</v>
      </c>
      <c r="E18" s="1072">
        <v>24100</v>
      </c>
      <c r="F18" s="1093"/>
      <c r="H18" s="1094"/>
      <c r="J18" s="1072" t="s">
        <v>1238</v>
      </c>
      <c r="K18" s="1072" t="s">
        <v>1239</v>
      </c>
      <c r="L18" s="1072" t="s">
        <v>1240</v>
      </c>
      <c r="M18" s="1072" t="s">
        <v>1241</v>
      </c>
      <c r="N18" s="1072" t="s">
        <v>1242</v>
      </c>
      <c r="O18" s="1072" t="s">
        <v>1243</v>
      </c>
      <c r="P18" s="1072" t="s">
        <v>1244</v>
      </c>
      <c r="Q18" s="1072" t="s">
        <v>1245</v>
      </c>
      <c r="R18" s="1072" t="s">
        <v>1246</v>
      </c>
      <c r="S18" s="1072" t="s">
        <v>1247</v>
      </c>
    </row>
    <row r="19" spans="1:19" ht="14.25" customHeight="1" thickBot="1">
      <c r="A19" s="1078" t="s">
        <v>1156</v>
      </c>
      <c r="B19" s="1086" t="s">
        <v>1168</v>
      </c>
      <c r="C19" s="1072">
        <v>23430</v>
      </c>
      <c r="D19" s="1072">
        <v>21580</v>
      </c>
      <c r="E19" s="1072">
        <v>21350</v>
      </c>
      <c r="F19" s="1093"/>
      <c r="H19" s="1094"/>
      <c r="J19" s="1072" t="s">
        <v>1248</v>
      </c>
      <c r="K19" s="1072" t="s">
        <v>1249</v>
      </c>
      <c r="L19" s="1072" t="s">
        <v>1250</v>
      </c>
      <c r="M19" s="1072" t="s">
        <v>1251</v>
      </c>
      <c r="N19" s="1072" t="s">
        <v>1252</v>
      </c>
      <c r="O19" s="1072" t="s">
        <v>1253</v>
      </c>
      <c r="P19" s="1072" t="s">
        <v>1254</v>
      </c>
      <c r="Q19" s="1072" t="s">
        <v>1255</v>
      </c>
      <c r="R19" s="1072" t="s">
        <v>1256</v>
      </c>
      <c r="S19" s="1072" t="s">
        <v>1257</v>
      </c>
    </row>
    <row r="20" spans="1:19" ht="14.25" customHeight="1" thickBot="1">
      <c r="A20" s="1078" t="s">
        <v>1156</v>
      </c>
      <c r="B20" s="1086" t="s">
        <v>1178</v>
      </c>
      <c r="C20" s="1072">
        <v>27660</v>
      </c>
      <c r="D20" s="1072">
        <v>24240</v>
      </c>
      <c r="E20" s="1072">
        <v>24020</v>
      </c>
      <c r="F20" s="1093"/>
      <c r="J20" s="1072" t="s">
        <v>1258</v>
      </c>
      <c r="K20" s="1072" t="s">
        <v>1259</v>
      </c>
      <c r="L20" s="1072" t="s">
        <v>1260</v>
      </c>
      <c r="M20" s="1072" t="s">
        <v>1261</v>
      </c>
      <c r="N20" s="1072" t="s">
        <v>1262</v>
      </c>
      <c r="O20" s="1072" t="s">
        <v>1263</v>
      </c>
      <c r="P20" s="1072" t="s">
        <v>1264</v>
      </c>
      <c r="Q20" s="1072" t="s">
        <v>1265</v>
      </c>
      <c r="R20" s="1072" t="s">
        <v>1266</v>
      </c>
      <c r="S20" s="1072" t="s">
        <v>1267</v>
      </c>
    </row>
    <row r="21" spans="1:19" ht="14.25" customHeight="1" thickBot="1">
      <c r="A21" s="1078" t="s">
        <v>1156</v>
      </c>
      <c r="B21" s="1086" t="s">
        <v>1188</v>
      </c>
      <c r="C21" s="1072">
        <v>24720</v>
      </c>
      <c r="D21" s="1072">
        <v>21670</v>
      </c>
      <c r="E21" s="1072">
        <v>21510</v>
      </c>
      <c r="F21" s="1093"/>
      <c r="K21" s="1072" t="s">
        <v>1268</v>
      </c>
      <c r="L21" s="1072" t="s">
        <v>1269</v>
      </c>
      <c r="M21" s="1072" t="s">
        <v>1270</v>
      </c>
      <c r="N21" s="1072" t="s">
        <v>1271</v>
      </c>
      <c r="O21" s="1072" t="s">
        <v>1272</v>
      </c>
      <c r="P21" s="1072" t="s">
        <v>1273</v>
      </c>
      <c r="Q21" s="1072" t="s">
        <v>1274</v>
      </c>
      <c r="R21" s="1072" t="s">
        <v>1275</v>
      </c>
      <c r="S21" s="1072" t="s">
        <v>1276</v>
      </c>
    </row>
    <row r="22" spans="1:19" ht="14.25" customHeight="1" thickBot="1">
      <c r="A22" s="1078" t="s">
        <v>1156</v>
      </c>
      <c r="B22" s="1086" t="s">
        <v>1277</v>
      </c>
      <c r="C22" s="1072">
        <v>26530</v>
      </c>
      <c r="D22" s="1072">
        <v>22980</v>
      </c>
      <c r="E22" s="1072">
        <v>22650</v>
      </c>
      <c r="F22" s="1093"/>
      <c r="L22" s="1072" t="s">
        <v>1278</v>
      </c>
      <c r="M22" s="1072" t="s">
        <v>1279</v>
      </c>
      <c r="N22" s="1072" t="s">
        <v>1280</v>
      </c>
      <c r="O22" s="1072" t="s">
        <v>1281</v>
      </c>
      <c r="P22" s="1072" t="s">
        <v>1282</v>
      </c>
      <c r="Q22" s="1072" t="s">
        <v>1283</v>
      </c>
      <c r="R22" s="1072" t="s">
        <v>1284</v>
      </c>
      <c r="S22" s="1086" t="s">
        <v>1285</v>
      </c>
    </row>
    <row r="23" spans="1:19" ht="14.25" customHeight="1" thickBot="1">
      <c r="A23" s="1078" t="s">
        <v>1156</v>
      </c>
      <c r="B23" s="1086" t="s">
        <v>1208</v>
      </c>
      <c r="C23" s="1072">
        <v>24700</v>
      </c>
      <c r="D23" s="1072">
        <v>27290</v>
      </c>
      <c r="E23" s="1072">
        <v>26710</v>
      </c>
      <c r="F23" s="1093"/>
      <c r="L23" s="1072" t="s">
        <v>1286</v>
      </c>
      <c r="M23" s="1072" t="s">
        <v>1287</v>
      </c>
      <c r="N23" s="1072" t="s">
        <v>1288</v>
      </c>
      <c r="O23" s="1072" t="s">
        <v>1289</v>
      </c>
      <c r="P23" s="1072" t="s">
        <v>1290</v>
      </c>
      <c r="Q23" s="1072" t="s">
        <v>1291</v>
      </c>
      <c r="R23" s="1072" t="s">
        <v>1292</v>
      </c>
    </row>
    <row r="24" spans="1:19" ht="14.25" customHeight="1" thickBot="1">
      <c r="A24" s="1078" t="s">
        <v>1156</v>
      </c>
      <c r="B24" s="1086" t="s">
        <v>1218</v>
      </c>
      <c r="C24" s="1072">
        <v>23070</v>
      </c>
      <c r="D24" s="1072">
        <v>24130</v>
      </c>
      <c r="E24" s="1072">
        <v>23860</v>
      </c>
      <c r="F24" s="1093"/>
      <c r="L24" s="1072" t="s">
        <v>1293</v>
      </c>
      <c r="M24" s="1072" t="s">
        <v>1294</v>
      </c>
      <c r="N24" s="1072" t="s">
        <v>1295</v>
      </c>
      <c r="O24" s="1072" t="s">
        <v>1296</v>
      </c>
      <c r="P24" s="1072" t="s">
        <v>1297</v>
      </c>
      <c r="Q24" s="1072" t="s">
        <v>1298</v>
      </c>
      <c r="R24" s="1072" t="s">
        <v>1299</v>
      </c>
    </row>
    <row r="25" spans="1:19" ht="14.25" customHeight="1" thickBot="1">
      <c r="A25" s="1078" t="s">
        <v>1156</v>
      </c>
      <c r="B25" s="1086" t="s">
        <v>1228</v>
      </c>
      <c r="C25" s="1072">
        <v>27550</v>
      </c>
      <c r="D25" s="1072">
        <v>25850</v>
      </c>
      <c r="E25" s="1072">
        <v>25340</v>
      </c>
      <c r="F25" s="1093"/>
      <c r="L25" s="1072" t="s">
        <v>1300</v>
      </c>
      <c r="M25" s="1072" t="s">
        <v>1301</v>
      </c>
      <c r="N25" s="1072" t="s">
        <v>1302</v>
      </c>
      <c r="O25" s="1072" t="s">
        <v>1303</v>
      </c>
      <c r="P25" s="1072" t="s">
        <v>1304</v>
      </c>
      <c r="Q25" s="1072" t="s">
        <v>1305</v>
      </c>
      <c r="R25" s="1072" t="s">
        <v>1306</v>
      </c>
    </row>
    <row r="26" spans="1:19" ht="14.25" customHeight="1" thickBot="1">
      <c r="A26" s="1078" t="s">
        <v>1156</v>
      </c>
      <c r="B26" s="1086" t="s">
        <v>1238</v>
      </c>
      <c r="C26" s="1072"/>
      <c r="D26" s="1072">
        <v>23900</v>
      </c>
      <c r="E26" s="1072">
        <v>23590</v>
      </c>
      <c r="F26" s="1093"/>
      <c r="L26" s="1072" t="s">
        <v>1307</v>
      </c>
      <c r="M26" s="1072" t="s">
        <v>1308</v>
      </c>
      <c r="N26" s="1072" t="s">
        <v>1309</v>
      </c>
      <c r="O26" s="1072" t="s">
        <v>1310</v>
      </c>
      <c r="P26" s="1072" t="s">
        <v>1311</v>
      </c>
      <c r="Q26" s="1072" t="s">
        <v>1312</v>
      </c>
      <c r="R26" s="1072" t="s">
        <v>1313</v>
      </c>
    </row>
    <row r="27" spans="1:19" ht="14.25" customHeight="1" thickBot="1">
      <c r="A27" s="1078" t="s">
        <v>1156</v>
      </c>
      <c r="B27" s="1086" t="s">
        <v>1248</v>
      </c>
      <c r="C27" s="1072"/>
      <c r="D27" s="1072">
        <v>22850</v>
      </c>
      <c r="E27" s="1072">
        <v>21920</v>
      </c>
      <c r="F27" s="1093"/>
      <c r="L27" s="1072" t="s">
        <v>1314</v>
      </c>
      <c r="M27" s="1072" t="s">
        <v>1315</v>
      </c>
      <c r="N27" s="1072" t="s">
        <v>1316</v>
      </c>
      <c r="O27" s="1072" t="s">
        <v>1317</v>
      </c>
      <c r="P27" s="1072" t="s">
        <v>1318</v>
      </c>
      <c r="Q27" s="1072" t="s">
        <v>1319</v>
      </c>
      <c r="R27" s="1072" t="s">
        <v>1320</v>
      </c>
    </row>
    <row r="28" spans="1:19" ht="14.25" customHeight="1" thickBot="1">
      <c r="A28" s="1095" t="s">
        <v>1156</v>
      </c>
      <c r="B28" s="1087" t="s">
        <v>1258</v>
      </c>
      <c r="C28" s="1088"/>
      <c r="D28" s="1088">
        <v>26610</v>
      </c>
      <c r="E28" s="1088">
        <v>26370</v>
      </c>
      <c r="F28" s="1089"/>
      <c r="L28" s="1072" t="s">
        <v>1321</v>
      </c>
      <c r="M28" s="1072" t="s">
        <v>1322</v>
      </c>
      <c r="N28" s="1072" t="s">
        <v>1323</v>
      </c>
      <c r="O28" s="1072" t="s">
        <v>1324</v>
      </c>
      <c r="P28" s="1072" t="s">
        <v>1325</v>
      </c>
      <c r="Q28" s="1072" t="s">
        <v>1326</v>
      </c>
    </row>
    <row r="29" spans="1:19" ht="14.25" customHeight="1" thickBot="1">
      <c r="A29" s="1078" t="s">
        <v>1327</v>
      </c>
      <c r="B29" s="1079" t="s">
        <v>1328</v>
      </c>
      <c r="C29" s="1079">
        <v>22090</v>
      </c>
      <c r="D29" s="1079">
        <v>21860</v>
      </c>
      <c r="E29" s="1079">
        <v>19380</v>
      </c>
      <c r="F29" s="1080">
        <v>6610</v>
      </c>
      <c r="M29" s="1072" t="s">
        <v>1329</v>
      </c>
      <c r="N29" s="1072" t="s">
        <v>1330</v>
      </c>
      <c r="O29" s="1072" t="s">
        <v>1331</v>
      </c>
      <c r="P29" s="1072" t="s">
        <v>1332</v>
      </c>
      <c r="Q29" s="1072" t="s">
        <v>1333</v>
      </c>
    </row>
    <row r="30" spans="1:19" ht="14.25" customHeight="1" thickBot="1">
      <c r="A30" s="1078" t="s">
        <v>1327</v>
      </c>
      <c r="B30" s="1086" t="s">
        <v>1073</v>
      </c>
      <c r="C30" s="1072">
        <v>21380</v>
      </c>
      <c r="D30" s="1072">
        <v>19930</v>
      </c>
      <c r="E30" s="1072">
        <v>19860</v>
      </c>
      <c r="F30" s="1090">
        <v>6010</v>
      </c>
      <c r="H30" s="1094"/>
      <c r="M30" s="1072" t="s">
        <v>1334</v>
      </c>
      <c r="N30" s="1072" t="s">
        <v>1335</v>
      </c>
      <c r="O30" s="1072" t="s">
        <v>1336</v>
      </c>
      <c r="P30" s="1072" t="s">
        <v>2422</v>
      </c>
      <c r="Q30" s="1072" t="s">
        <v>1337</v>
      </c>
    </row>
    <row r="31" spans="1:19" ht="14.25" customHeight="1" thickBot="1">
      <c r="A31" s="1078" t="s">
        <v>1327</v>
      </c>
      <c r="B31" s="1086" t="s">
        <v>1087</v>
      </c>
      <c r="C31" s="1072">
        <v>21670</v>
      </c>
      <c r="D31" s="1072">
        <v>20660</v>
      </c>
      <c r="E31" s="1072">
        <v>20290</v>
      </c>
      <c r="F31" s="1090">
        <v>5840</v>
      </c>
      <c r="H31" s="1094"/>
      <c r="M31" s="1072" t="s">
        <v>1338</v>
      </c>
      <c r="N31" s="1072" t="s">
        <v>1339</v>
      </c>
      <c r="O31" s="1072" t="s">
        <v>1340</v>
      </c>
      <c r="P31" s="1072" t="s">
        <v>1341</v>
      </c>
      <c r="Q31" s="1072" t="s">
        <v>1342</v>
      </c>
    </row>
    <row r="32" spans="1:19" ht="14.25" customHeight="1" thickBot="1">
      <c r="A32" s="1078" t="s">
        <v>1327</v>
      </c>
      <c r="B32" s="1086" t="s">
        <v>1100</v>
      </c>
      <c r="C32" s="1072">
        <v>22280</v>
      </c>
      <c r="D32" s="1072">
        <v>21800</v>
      </c>
      <c r="E32" s="1072">
        <v>17650</v>
      </c>
      <c r="F32" s="1090">
        <v>4690</v>
      </c>
      <c r="H32" s="1094"/>
      <c r="M32" s="1072" t="s">
        <v>1343</v>
      </c>
      <c r="N32" s="1072" t="s">
        <v>1344</v>
      </c>
      <c r="O32" s="1072" t="s">
        <v>1345</v>
      </c>
      <c r="P32" s="1072" t="s">
        <v>1346</v>
      </c>
      <c r="Q32" s="1072" t="s">
        <v>1347</v>
      </c>
    </row>
    <row r="33" spans="1:17" ht="14.25" customHeight="1" thickBot="1">
      <c r="A33" s="1078" t="s">
        <v>1327</v>
      </c>
      <c r="B33" s="1086" t="s">
        <v>1114</v>
      </c>
      <c r="C33" s="1072">
        <v>22130</v>
      </c>
      <c r="D33" s="1072">
        <v>20460</v>
      </c>
      <c r="E33" s="1072">
        <v>18500</v>
      </c>
      <c r="F33" s="1090">
        <v>5340</v>
      </c>
      <c r="H33" s="1094"/>
      <c r="M33" s="1072" t="s">
        <v>1348</v>
      </c>
      <c r="N33" s="1072" t="s">
        <v>1349</v>
      </c>
      <c r="O33" s="1072" t="s">
        <v>1350</v>
      </c>
      <c r="P33" s="1072" t="s">
        <v>1351</v>
      </c>
      <c r="Q33" s="1072" t="s">
        <v>1352</v>
      </c>
    </row>
    <row r="34" spans="1:17" ht="14.25" customHeight="1" thickBot="1">
      <c r="A34" s="1078" t="s">
        <v>1327</v>
      </c>
      <c r="B34" s="1086" t="s">
        <v>1125</v>
      </c>
      <c r="C34" s="1072">
        <v>22070</v>
      </c>
      <c r="D34" s="1072">
        <v>20110</v>
      </c>
      <c r="E34" s="1072">
        <v>18830</v>
      </c>
      <c r="F34" s="1090">
        <v>5190</v>
      </c>
      <c r="H34" s="1094"/>
      <c r="M34" s="1072" t="s">
        <v>1353</v>
      </c>
      <c r="N34" s="1072" t="s">
        <v>1354</v>
      </c>
      <c r="O34" s="1072" t="s">
        <v>1355</v>
      </c>
      <c r="P34" s="1072" t="s">
        <v>1356</v>
      </c>
      <c r="Q34" s="1072" t="s">
        <v>1357</v>
      </c>
    </row>
    <row r="35" spans="1:17" ht="14.25" customHeight="1" thickBot="1">
      <c r="A35" s="1078" t="s">
        <v>1327</v>
      </c>
      <c r="B35" s="1086" t="s">
        <v>1136</v>
      </c>
      <c r="C35" s="1072">
        <v>22240</v>
      </c>
      <c r="D35" s="1072">
        <v>19550</v>
      </c>
      <c r="E35" s="1072">
        <v>19220</v>
      </c>
      <c r="F35" s="1090">
        <v>5800</v>
      </c>
      <c r="H35" s="1094"/>
      <c r="M35" s="1072" t="s">
        <v>1358</v>
      </c>
      <c r="N35" s="1072" t="s">
        <v>1359</v>
      </c>
      <c r="O35" s="1072" t="s">
        <v>1360</v>
      </c>
      <c r="P35" s="1072" t="s">
        <v>1361</v>
      </c>
      <c r="Q35" s="1072" t="s">
        <v>1362</v>
      </c>
    </row>
    <row r="36" spans="1:17" ht="14.25" customHeight="1" thickBot="1">
      <c r="A36" s="1078" t="s">
        <v>1327</v>
      </c>
      <c r="B36" s="1086" t="s">
        <v>1147</v>
      </c>
      <c r="C36" s="1072">
        <v>19750</v>
      </c>
      <c r="D36" s="1072">
        <v>19790</v>
      </c>
      <c r="E36" s="1072">
        <v>18510</v>
      </c>
      <c r="F36" s="1090">
        <v>6520</v>
      </c>
      <c r="H36" s="1094"/>
      <c r="N36" s="1072" t="s">
        <v>1363</v>
      </c>
      <c r="O36" s="1072" t="s">
        <v>1364</v>
      </c>
      <c r="P36" s="1072" t="s">
        <v>1365</v>
      </c>
      <c r="Q36" s="1072" t="s">
        <v>1366</v>
      </c>
    </row>
    <row r="37" spans="1:17" ht="14.25" customHeight="1" thickBot="1">
      <c r="A37" s="1078" t="s">
        <v>1327</v>
      </c>
      <c r="B37" s="1086" t="s">
        <v>1159</v>
      </c>
      <c r="C37" s="1072">
        <v>22380</v>
      </c>
      <c r="D37" s="1072">
        <v>18530</v>
      </c>
      <c r="E37" s="1072">
        <v>17930</v>
      </c>
      <c r="F37" s="1090">
        <v>6270</v>
      </c>
      <c r="H37" s="1096"/>
      <c r="N37" s="1072" t="s">
        <v>1367</v>
      </c>
      <c r="O37" s="1072" t="s">
        <v>1368</v>
      </c>
      <c r="P37" s="1072" t="s">
        <v>1369</v>
      </c>
      <c r="Q37" s="1072" t="s">
        <v>1370</v>
      </c>
    </row>
    <row r="38" spans="1:17" ht="14.25" customHeight="1" thickBot="1">
      <c r="A38" s="1078" t="s">
        <v>1327</v>
      </c>
      <c r="B38" s="1086" t="s">
        <v>1169</v>
      </c>
      <c r="C38" s="1072">
        <v>20200</v>
      </c>
      <c r="D38" s="1072">
        <v>20070</v>
      </c>
      <c r="E38" s="1072">
        <v>19950</v>
      </c>
      <c r="F38" s="1090"/>
      <c r="H38" s="1097"/>
      <c r="N38" s="1072" t="s">
        <v>1371</v>
      </c>
      <c r="O38" s="1072" t="s">
        <v>1372</v>
      </c>
      <c r="P38" s="1072" t="s">
        <v>1373</v>
      </c>
      <c r="Q38" s="1072" t="s">
        <v>1374</v>
      </c>
    </row>
    <row r="39" spans="1:17" ht="14.25" customHeight="1" thickBot="1">
      <c r="A39" s="1078" t="s">
        <v>1327</v>
      </c>
      <c r="B39" s="1086" t="s">
        <v>1179</v>
      </c>
      <c r="C39" s="1072">
        <v>19300</v>
      </c>
      <c r="D39" s="1072">
        <v>20360</v>
      </c>
      <c r="E39" s="1072">
        <v>20230</v>
      </c>
      <c r="F39" s="1090"/>
      <c r="H39" s="1097"/>
      <c r="N39" s="1072" t="s">
        <v>1375</v>
      </c>
      <c r="O39" s="1072" t="s">
        <v>1376</v>
      </c>
      <c r="P39" s="1072" t="s">
        <v>1377</v>
      </c>
      <c r="Q39" s="1072" t="s">
        <v>1378</v>
      </c>
    </row>
    <row r="40" spans="1:17" ht="14.25" customHeight="1" thickBot="1">
      <c r="A40" s="1078" t="s">
        <v>1327</v>
      </c>
      <c r="B40" s="1086" t="s">
        <v>1189</v>
      </c>
      <c r="C40" s="1072">
        <v>20210</v>
      </c>
      <c r="D40" s="1072">
        <v>19060</v>
      </c>
      <c r="E40" s="1072">
        <v>18890</v>
      </c>
      <c r="F40" s="1090"/>
      <c r="H40" s="1097"/>
      <c r="N40" s="1072" t="s">
        <v>1379</v>
      </c>
      <c r="O40" s="1072" t="s">
        <v>1380</v>
      </c>
      <c r="P40" s="1072" t="s">
        <v>1381</v>
      </c>
      <c r="Q40" s="1072" t="s">
        <v>1382</v>
      </c>
    </row>
    <row r="41" spans="1:17" ht="14.25" customHeight="1" thickBot="1">
      <c r="A41" s="1078" t="s">
        <v>1327</v>
      </c>
      <c r="B41" s="1086" t="s">
        <v>1199</v>
      </c>
      <c r="C41" s="1072">
        <v>20560</v>
      </c>
      <c r="D41" s="1072">
        <v>21040</v>
      </c>
      <c r="E41" s="1072">
        <v>20740</v>
      </c>
      <c r="F41" s="1090"/>
      <c r="H41" s="1097"/>
      <c r="N41" s="1086" t="s">
        <v>1383</v>
      </c>
      <c r="O41" s="1086" t="s">
        <v>1384</v>
      </c>
      <c r="Q41" s="1086" t="s">
        <v>1385</v>
      </c>
    </row>
    <row r="42" spans="1:17" ht="14.25" customHeight="1" thickBot="1">
      <c r="A42" s="1078" t="s">
        <v>1327</v>
      </c>
      <c r="B42" s="1086" t="s">
        <v>1209</v>
      </c>
      <c r="C42" s="1072">
        <v>19280</v>
      </c>
      <c r="D42" s="1072">
        <v>22940</v>
      </c>
      <c r="E42" s="1072">
        <v>22500</v>
      </c>
      <c r="F42" s="1090"/>
      <c r="H42" s="1097"/>
      <c r="N42" s="1072" t="s">
        <v>1386</v>
      </c>
      <c r="O42" s="1072" t="s">
        <v>1387</v>
      </c>
      <c r="Q42" s="1072" t="s">
        <v>1388</v>
      </c>
    </row>
    <row r="43" spans="1:17" ht="14.25" customHeight="1" thickBot="1">
      <c r="A43" s="1078" t="s">
        <v>1327</v>
      </c>
      <c r="B43" s="1086" t="s">
        <v>1219</v>
      </c>
      <c r="C43" s="1072">
        <v>21520</v>
      </c>
      <c r="D43" s="1072">
        <v>19230</v>
      </c>
      <c r="E43" s="1072">
        <v>18540</v>
      </c>
      <c r="F43" s="1090"/>
      <c r="H43" s="1097"/>
      <c r="N43" s="1072" t="s">
        <v>1389</v>
      </c>
      <c r="O43" s="1072" t="s">
        <v>1390</v>
      </c>
      <c r="Q43" s="1072" t="s">
        <v>1391</v>
      </c>
    </row>
    <row r="44" spans="1:17" ht="14.25" customHeight="1" thickBot="1">
      <c r="A44" s="1078" t="s">
        <v>1327</v>
      </c>
      <c r="B44" s="1086" t="s">
        <v>1229</v>
      </c>
      <c r="C44" s="1072">
        <v>23260</v>
      </c>
      <c r="D44" s="1072">
        <v>21180</v>
      </c>
      <c r="E44" s="1072">
        <v>20730</v>
      </c>
      <c r="F44" s="1090"/>
      <c r="H44" s="1097"/>
      <c r="N44" s="1072" t="s">
        <v>1392</v>
      </c>
      <c r="O44" s="1072" t="s">
        <v>1393</v>
      </c>
      <c r="Q44" s="1072" t="s">
        <v>1394</v>
      </c>
    </row>
    <row r="45" spans="1:17" ht="14.25" customHeight="1" thickBot="1">
      <c r="A45" s="1078" t="s">
        <v>1327</v>
      </c>
      <c r="B45" s="1086" t="s">
        <v>1239</v>
      </c>
      <c r="C45" s="1072">
        <v>19610</v>
      </c>
      <c r="D45" s="1072">
        <v>18090</v>
      </c>
      <c r="E45" s="1072">
        <v>17970</v>
      </c>
      <c r="F45" s="1090"/>
      <c r="H45" s="1094"/>
      <c r="N45" s="1072" t="s">
        <v>1395</v>
      </c>
      <c r="O45" s="1072" t="s">
        <v>1396</v>
      </c>
      <c r="Q45" s="1072" t="s">
        <v>1397</v>
      </c>
    </row>
    <row r="46" spans="1:17" ht="14.25" customHeight="1" thickBot="1">
      <c r="A46" s="1078" t="s">
        <v>1327</v>
      </c>
      <c r="B46" s="1086" t="s">
        <v>1249</v>
      </c>
      <c r="C46" s="1072">
        <v>21660</v>
      </c>
      <c r="D46" s="1072">
        <v>19190</v>
      </c>
      <c r="E46" s="1072">
        <v>19790</v>
      </c>
      <c r="F46" s="1090"/>
      <c r="H46" s="1097"/>
      <c r="N46" s="1072" t="s">
        <v>1398</v>
      </c>
      <c r="O46" s="1072" t="s">
        <v>1399</v>
      </c>
      <c r="Q46" s="1072" t="s">
        <v>1400</v>
      </c>
    </row>
    <row r="47" spans="1:17" ht="14.25" customHeight="1" thickBot="1">
      <c r="A47" s="1078" t="s">
        <v>1327</v>
      </c>
      <c r="B47" s="1086" t="s">
        <v>1259</v>
      </c>
      <c r="C47" s="1072">
        <v>18220</v>
      </c>
      <c r="D47" s="1072"/>
      <c r="E47" s="1072">
        <v>17220</v>
      </c>
      <c r="F47" s="1090"/>
      <c r="H47" s="1097"/>
      <c r="N47" s="1072" t="s">
        <v>1401</v>
      </c>
      <c r="O47" s="1072" t="s">
        <v>1402</v>
      </c>
    </row>
    <row r="48" spans="1:17" ht="14.25" customHeight="1" thickBot="1">
      <c r="A48" s="1078" t="s">
        <v>1327</v>
      </c>
      <c r="B48" s="1087" t="s">
        <v>1268</v>
      </c>
      <c r="C48" s="1088">
        <v>19430</v>
      </c>
      <c r="D48" s="1088"/>
      <c r="E48" s="1088">
        <v>17830</v>
      </c>
      <c r="F48" s="1098"/>
      <c r="H48" s="1094"/>
      <c r="N48" s="1072" t="s">
        <v>1403</v>
      </c>
      <c r="O48" s="1072" t="s">
        <v>1404</v>
      </c>
    </row>
    <row r="49" spans="1:15" ht="14.25" customHeight="1" thickBot="1">
      <c r="A49" s="1078" t="s">
        <v>925</v>
      </c>
      <c r="B49" s="1079" t="s">
        <v>1405</v>
      </c>
      <c r="C49" s="1079">
        <v>17090</v>
      </c>
      <c r="D49" s="1079">
        <v>16950</v>
      </c>
      <c r="E49" s="1079">
        <v>16310</v>
      </c>
      <c r="F49" s="1080">
        <v>4540</v>
      </c>
      <c r="H49" s="1097"/>
      <c r="N49" s="1072" t="s">
        <v>1406</v>
      </c>
      <c r="O49" s="1072" t="s">
        <v>1407</v>
      </c>
    </row>
    <row r="50" spans="1:15" ht="14.25" customHeight="1" thickBot="1">
      <c r="A50" s="1078" t="s">
        <v>925</v>
      </c>
      <c r="B50" s="1072" t="s">
        <v>1074</v>
      </c>
      <c r="C50" s="1072">
        <v>19040</v>
      </c>
      <c r="D50" s="1072">
        <v>16960</v>
      </c>
      <c r="E50" s="1072">
        <v>14800</v>
      </c>
      <c r="F50" s="1090">
        <v>3940</v>
      </c>
      <c r="H50" s="1097"/>
    </row>
    <row r="51" spans="1:15" ht="14.25" customHeight="1" thickBot="1">
      <c r="A51" s="1078" t="s">
        <v>925</v>
      </c>
      <c r="B51" s="1072" t="s">
        <v>1088</v>
      </c>
      <c r="C51" s="1072">
        <v>17040</v>
      </c>
      <c r="D51" s="1072">
        <v>16930</v>
      </c>
      <c r="E51" s="1072">
        <v>15030</v>
      </c>
      <c r="F51" s="1090">
        <v>4120</v>
      </c>
      <c r="H51" s="1097"/>
    </row>
    <row r="52" spans="1:15" ht="14.25" customHeight="1" thickBot="1">
      <c r="A52" s="1078" t="s">
        <v>925</v>
      </c>
      <c r="B52" s="1072" t="s">
        <v>1101</v>
      </c>
      <c r="C52" s="1072">
        <v>17110</v>
      </c>
      <c r="D52" s="1072">
        <v>17750</v>
      </c>
      <c r="E52" s="1072">
        <v>17310</v>
      </c>
      <c r="F52" s="1090">
        <v>3220</v>
      </c>
      <c r="H52" s="1097"/>
    </row>
    <row r="53" spans="1:15" ht="14.25" customHeight="1" thickBot="1">
      <c r="A53" s="1078" t="s">
        <v>925</v>
      </c>
      <c r="B53" s="1072" t="s">
        <v>1115</v>
      </c>
      <c r="C53" s="1072">
        <v>17810</v>
      </c>
      <c r="D53" s="1072">
        <v>17260</v>
      </c>
      <c r="E53" s="1072">
        <v>17090</v>
      </c>
      <c r="F53" s="1090">
        <v>3520</v>
      </c>
      <c r="H53" s="1097"/>
    </row>
    <row r="54" spans="1:15" ht="14.25" customHeight="1" thickBot="1">
      <c r="A54" s="1078" t="s">
        <v>925</v>
      </c>
      <c r="B54" s="1072" t="s">
        <v>1126</v>
      </c>
      <c r="C54" s="1072">
        <v>17410</v>
      </c>
      <c r="D54" s="1072">
        <v>16780</v>
      </c>
      <c r="E54" s="1072">
        <v>16370</v>
      </c>
      <c r="F54" s="1090">
        <v>3410</v>
      </c>
      <c r="H54" s="1097"/>
    </row>
    <row r="55" spans="1:15" ht="14.25" customHeight="1" thickBot="1">
      <c r="A55" s="1078" t="s">
        <v>925</v>
      </c>
      <c r="B55" s="1072" t="s">
        <v>1137</v>
      </c>
      <c r="C55" s="1072">
        <v>16930</v>
      </c>
      <c r="D55" s="1072">
        <v>14720</v>
      </c>
      <c r="E55" s="1072">
        <v>15000</v>
      </c>
      <c r="F55" s="1090">
        <v>3710</v>
      </c>
      <c r="H55" s="1097"/>
    </row>
    <row r="56" spans="1:15" ht="14.25" customHeight="1" thickBot="1">
      <c r="A56" s="1078" t="s">
        <v>925</v>
      </c>
      <c r="B56" s="1072" t="s">
        <v>1148</v>
      </c>
      <c r="C56" s="1072">
        <v>14930</v>
      </c>
      <c r="D56" s="1072">
        <v>15850</v>
      </c>
      <c r="E56" s="1072">
        <v>14320</v>
      </c>
      <c r="F56" s="1090">
        <v>3960</v>
      </c>
      <c r="H56" s="1097"/>
    </row>
    <row r="57" spans="1:15" ht="14.25" customHeight="1" thickBot="1">
      <c r="A57" s="1078" t="s">
        <v>925</v>
      </c>
      <c r="B57" s="1072" t="s">
        <v>1160</v>
      </c>
      <c r="C57" s="1072">
        <v>16160</v>
      </c>
      <c r="D57" s="1072">
        <v>16190</v>
      </c>
      <c r="E57" s="1072">
        <v>15650</v>
      </c>
      <c r="F57" s="1090">
        <v>4200</v>
      </c>
      <c r="H57" s="1097"/>
    </row>
    <row r="58" spans="1:15" ht="14.25" customHeight="1" thickBot="1">
      <c r="A58" s="1078" t="s">
        <v>925</v>
      </c>
      <c r="B58" s="1072" t="s">
        <v>1170</v>
      </c>
      <c r="C58" s="1072">
        <v>16360</v>
      </c>
      <c r="D58" s="1072">
        <v>14050</v>
      </c>
      <c r="E58" s="1072">
        <v>16070</v>
      </c>
      <c r="F58" s="1090">
        <v>3990</v>
      </c>
      <c r="H58" s="1097"/>
    </row>
    <row r="59" spans="1:15" ht="14.25" customHeight="1" thickBot="1">
      <c r="A59" s="1078" t="s">
        <v>925</v>
      </c>
      <c r="B59" s="1072" t="s">
        <v>1180</v>
      </c>
      <c r="C59" s="1072">
        <v>14160</v>
      </c>
      <c r="D59" s="1072">
        <v>16620</v>
      </c>
      <c r="E59" s="1072">
        <v>13940</v>
      </c>
      <c r="F59" s="1090">
        <v>4260</v>
      </c>
      <c r="H59" s="1097"/>
    </row>
    <row r="60" spans="1:15" ht="14.25" customHeight="1" thickBot="1">
      <c r="A60" s="1078" t="s">
        <v>925</v>
      </c>
      <c r="B60" s="1072" t="s">
        <v>1190</v>
      </c>
      <c r="C60" s="1072">
        <v>16750</v>
      </c>
      <c r="D60" s="1072">
        <v>13910</v>
      </c>
      <c r="E60" s="1072">
        <v>16550</v>
      </c>
      <c r="F60" s="1090">
        <v>4550</v>
      </c>
      <c r="H60" s="1097"/>
    </row>
    <row r="61" spans="1:15" ht="14.25" customHeight="1" thickBot="1">
      <c r="A61" s="1078" t="s">
        <v>925</v>
      </c>
      <c r="B61" s="1072" t="s">
        <v>1200</v>
      </c>
      <c r="C61" s="1072">
        <v>14000</v>
      </c>
      <c r="D61" s="1072">
        <v>14550</v>
      </c>
      <c r="E61" s="1072">
        <v>13860</v>
      </c>
      <c r="F61" s="1099"/>
      <c r="H61" s="1097"/>
    </row>
    <row r="62" spans="1:15" ht="14.25" customHeight="1" thickBot="1">
      <c r="A62" s="1078" t="s">
        <v>925</v>
      </c>
      <c r="B62" s="1072" t="s">
        <v>1210</v>
      </c>
      <c r="C62" s="1072">
        <v>14660</v>
      </c>
      <c r="D62" s="1072">
        <v>17450</v>
      </c>
      <c r="E62" s="1072">
        <v>14470</v>
      </c>
      <c r="F62" s="1099"/>
      <c r="H62" s="1097"/>
    </row>
    <row r="63" spans="1:15" ht="14.25" customHeight="1" thickBot="1">
      <c r="A63" s="1078" t="s">
        <v>925</v>
      </c>
      <c r="B63" s="1072" t="s">
        <v>1220</v>
      </c>
      <c r="C63" s="1072">
        <v>17610</v>
      </c>
      <c r="D63" s="1072">
        <v>16500</v>
      </c>
      <c r="E63" s="1072">
        <v>17330</v>
      </c>
      <c r="F63" s="1099"/>
      <c r="H63" s="1097"/>
    </row>
    <row r="64" spans="1:15" ht="14.25" customHeight="1" thickBot="1">
      <c r="A64" s="1078" t="s">
        <v>925</v>
      </c>
      <c r="B64" s="1072" t="s">
        <v>1230</v>
      </c>
      <c r="C64" s="1072">
        <v>16590</v>
      </c>
      <c r="D64" s="1072">
        <v>15130</v>
      </c>
      <c r="E64" s="1072">
        <v>16420</v>
      </c>
      <c r="F64" s="1099"/>
      <c r="H64" s="1097"/>
    </row>
    <row r="65" spans="1:8" s="1066" customFormat="1" ht="14.25" customHeight="1" thickBot="1">
      <c r="A65" s="1078" t="s">
        <v>925</v>
      </c>
      <c r="B65" s="1072" t="s">
        <v>1240</v>
      </c>
      <c r="C65" s="1072">
        <v>15220</v>
      </c>
      <c r="D65" s="1072">
        <v>14660</v>
      </c>
      <c r="E65" s="1072">
        <v>15060</v>
      </c>
      <c r="F65" s="1090"/>
      <c r="H65" s="1097"/>
    </row>
    <row r="66" spans="1:8" s="1066" customFormat="1" ht="14.25" customHeight="1" thickBot="1">
      <c r="A66" s="1078" t="s">
        <v>925</v>
      </c>
      <c r="B66" s="1072" t="s">
        <v>1250</v>
      </c>
      <c r="C66" s="1072">
        <v>14720</v>
      </c>
      <c r="D66" s="1072">
        <v>15970</v>
      </c>
      <c r="E66" s="1072">
        <v>14610</v>
      </c>
      <c r="F66" s="1090"/>
      <c r="H66" s="1097"/>
    </row>
    <row r="67" spans="1:8" s="1066" customFormat="1" ht="14.25" customHeight="1" thickBot="1">
      <c r="A67" s="1078" t="s">
        <v>925</v>
      </c>
      <c r="B67" s="1072" t="s">
        <v>1260</v>
      </c>
      <c r="C67" s="1072">
        <v>16080</v>
      </c>
      <c r="D67" s="1072">
        <v>14840</v>
      </c>
      <c r="E67" s="1072">
        <v>15630</v>
      </c>
      <c r="F67" s="1090"/>
      <c r="H67" s="1097"/>
    </row>
    <row r="68" spans="1:8" s="1066" customFormat="1" ht="14.25" customHeight="1" thickBot="1">
      <c r="A68" s="1078" t="s">
        <v>925</v>
      </c>
      <c r="B68" s="1072" t="s">
        <v>1269</v>
      </c>
      <c r="C68" s="1072">
        <v>14940</v>
      </c>
      <c r="D68" s="1072">
        <v>18000</v>
      </c>
      <c r="E68" s="1072">
        <v>14040</v>
      </c>
      <c r="F68" s="1090"/>
      <c r="H68" s="1097"/>
    </row>
    <row r="69" spans="1:8" s="1066" customFormat="1" ht="14.25" customHeight="1" thickBot="1">
      <c r="A69" s="1078" t="s">
        <v>925</v>
      </c>
      <c r="B69" s="1072" t="s">
        <v>1278</v>
      </c>
      <c r="C69" s="1072">
        <v>18810</v>
      </c>
      <c r="D69" s="1072">
        <v>15100</v>
      </c>
      <c r="E69" s="1072">
        <v>14710</v>
      </c>
      <c r="F69" s="1090"/>
      <c r="H69" s="1097"/>
    </row>
    <row r="70" spans="1:8" s="1066" customFormat="1" ht="14.25" customHeight="1" thickBot="1">
      <c r="A70" s="1078" t="s">
        <v>925</v>
      </c>
      <c r="B70" s="1072" t="s">
        <v>1286</v>
      </c>
      <c r="C70" s="1072">
        <v>18270</v>
      </c>
      <c r="D70" s="1072"/>
      <c r="E70" s="1072"/>
      <c r="F70" s="1090"/>
      <c r="H70" s="1097"/>
    </row>
    <row r="71" spans="1:8" s="1066" customFormat="1" ht="14.25" customHeight="1" thickBot="1">
      <c r="A71" s="1078" t="s">
        <v>925</v>
      </c>
      <c r="B71" s="1072" t="s">
        <v>1293</v>
      </c>
      <c r="C71" s="1072">
        <v>15230</v>
      </c>
      <c r="D71" s="1072"/>
      <c r="E71" s="1072"/>
      <c r="F71" s="1090"/>
      <c r="H71" s="1097"/>
    </row>
    <row r="72" spans="1:8" s="1066" customFormat="1" ht="14.25" customHeight="1" thickBot="1">
      <c r="A72" s="1078" t="s">
        <v>925</v>
      </c>
      <c r="B72" s="1072" t="s">
        <v>1300</v>
      </c>
      <c r="C72" s="1072"/>
      <c r="D72" s="1072"/>
      <c r="E72" s="1072"/>
      <c r="F72" s="1090">
        <v>4120</v>
      </c>
      <c r="H72" s="1097"/>
    </row>
    <row r="73" spans="1:8" s="1066" customFormat="1" ht="14.25" customHeight="1" thickBot="1">
      <c r="A73" s="1078" t="s">
        <v>925</v>
      </c>
      <c r="B73" s="1072" t="s">
        <v>1307</v>
      </c>
      <c r="C73" s="1072"/>
      <c r="D73" s="1072"/>
      <c r="E73" s="1072"/>
      <c r="F73" s="1090">
        <v>3930</v>
      </c>
      <c r="H73" s="1097"/>
    </row>
    <row r="74" spans="1:8" s="1066" customFormat="1" ht="14.25" customHeight="1" thickBot="1">
      <c r="A74" s="1078" t="s">
        <v>925</v>
      </c>
      <c r="B74" s="1072" t="s">
        <v>1314</v>
      </c>
      <c r="C74" s="1072"/>
      <c r="D74" s="1072"/>
      <c r="E74" s="1072"/>
      <c r="F74" s="1090">
        <v>4060</v>
      </c>
      <c r="H74" s="1097"/>
    </row>
    <row r="75" spans="1:8" s="1066" customFormat="1" ht="14.25" customHeight="1" thickBot="1">
      <c r="A75" s="1078" t="s">
        <v>925</v>
      </c>
      <c r="B75" s="1088" t="s">
        <v>1321</v>
      </c>
      <c r="C75" s="1088"/>
      <c r="D75" s="1088"/>
      <c r="E75" s="1088"/>
      <c r="F75" s="1098">
        <v>3750</v>
      </c>
      <c r="H75" s="1097"/>
    </row>
    <row r="76" spans="1:8" s="1066" customFormat="1" ht="14.25" customHeight="1" thickBot="1">
      <c r="A76" s="1078" t="s">
        <v>1408</v>
      </c>
      <c r="B76" s="1079" t="s">
        <v>1409</v>
      </c>
      <c r="C76" s="1079">
        <v>14690</v>
      </c>
      <c r="D76" s="1079">
        <v>14640</v>
      </c>
      <c r="E76" s="1079">
        <v>14590</v>
      </c>
      <c r="F76" s="1080">
        <v>3060</v>
      </c>
      <c r="H76" s="1097"/>
    </row>
    <row r="77" spans="1:8" s="1066" customFormat="1" ht="14.25" customHeight="1" thickBot="1">
      <c r="A77" s="1078" t="s">
        <v>1408</v>
      </c>
      <c r="B77" s="1072" t="s">
        <v>1075</v>
      </c>
      <c r="C77" s="1072">
        <v>12550</v>
      </c>
      <c r="D77" s="1072">
        <v>12480</v>
      </c>
      <c r="E77" s="1072">
        <v>12450</v>
      </c>
      <c r="F77" s="1090">
        <v>2590</v>
      </c>
      <c r="H77" s="1097"/>
    </row>
    <row r="78" spans="1:8" s="1066" customFormat="1" ht="14.25" customHeight="1" thickBot="1">
      <c r="A78" s="1078" t="s">
        <v>1408</v>
      </c>
      <c r="B78" s="1072" t="s">
        <v>1089</v>
      </c>
      <c r="C78" s="1072">
        <v>14360</v>
      </c>
      <c r="D78" s="1072">
        <v>14320</v>
      </c>
      <c r="E78" s="1072">
        <v>12510</v>
      </c>
      <c r="F78" s="1090">
        <v>2700</v>
      </c>
      <c r="H78" s="1097"/>
    </row>
    <row r="79" spans="1:8" s="1066" customFormat="1" ht="14.25" customHeight="1" thickBot="1">
      <c r="A79" s="1078" t="s">
        <v>1408</v>
      </c>
      <c r="B79" s="1072" t="s">
        <v>1102</v>
      </c>
      <c r="C79" s="1072">
        <v>12590</v>
      </c>
      <c r="D79" s="1072">
        <v>12540</v>
      </c>
      <c r="E79" s="1072">
        <v>12350</v>
      </c>
      <c r="F79" s="1090">
        <v>2740</v>
      </c>
      <c r="H79" s="1097"/>
    </row>
    <row r="80" spans="1:8" s="1066" customFormat="1" ht="14.25" customHeight="1" thickBot="1">
      <c r="A80" s="1078" t="s">
        <v>1408</v>
      </c>
      <c r="B80" s="1072" t="s">
        <v>1116</v>
      </c>
      <c r="C80" s="1072">
        <v>12450</v>
      </c>
      <c r="D80" s="1072">
        <v>12370</v>
      </c>
      <c r="E80" s="1072">
        <v>10790</v>
      </c>
      <c r="F80" s="1090">
        <v>2290</v>
      </c>
      <c r="H80" s="1097"/>
    </row>
    <row r="81" spans="1:8" s="1066" customFormat="1" ht="14.25" customHeight="1" thickBot="1">
      <c r="A81" s="1078" t="s">
        <v>1408</v>
      </c>
      <c r="B81" s="1072" t="s">
        <v>1127</v>
      </c>
      <c r="C81" s="1072">
        <v>14210</v>
      </c>
      <c r="D81" s="1072">
        <v>14150</v>
      </c>
      <c r="E81" s="1072">
        <v>12730</v>
      </c>
      <c r="F81" s="1090">
        <v>2240</v>
      </c>
      <c r="H81" s="1097"/>
    </row>
    <row r="82" spans="1:8" s="1066" customFormat="1" ht="14.25" customHeight="1" thickBot="1">
      <c r="A82" s="1078" t="s">
        <v>1408</v>
      </c>
      <c r="B82" s="1072" t="s">
        <v>1138</v>
      </c>
      <c r="C82" s="1072">
        <v>10860</v>
      </c>
      <c r="D82" s="1072">
        <v>10820</v>
      </c>
      <c r="E82" s="1072">
        <v>14720</v>
      </c>
      <c r="F82" s="1090">
        <v>2490</v>
      </c>
      <c r="H82" s="1097"/>
    </row>
    <row r="83" spans="1:8" s="1066" customFormat="1" ht="14.25" customHeight="1" thickBot="1">
      <c r="A83" s="1078" t="s">
        <v>1408</v>
      </c>
      <c r="B83" s="1072" t="s">
        <v>1149</v>
      </c>
      <c r="C83" s="1072">
        <v>12810</v>
      </c>
      <c r="D83" s="1072">
        <v>12760</v>
      </c>
      <c r="E83" s="1072">
        <v>14830</v>
      </c>
      <c r="F83" s="1090">
        <v>2450</v>
      </c>
      <c r="H83" s="1097"/>
    </row>
    <row r="84" spans="1:8" s="1066" customFormat="1" ht="14.25" customHeight="1" thickBot="1">
      <c r="A84" s="1078" t="s">
        <v>1408</v>
      </c>
      <c r="B84" s="1072" t="s">
        <v>1161</v>
      </c>
      <c r="C84" s="1072">
        <v>14950</v>
      </c>
      <c r="D84" s="1072">
        <v>14810</v>
      </c>
      <c r="E84" s="1072">
        <v>12590</v>
      </c>
      <c r="F84" s="1090">
        <v>2540</v>
      </c>
      <c r="H84" s="1097"/>
    </row>
    <row r="85" spans="1:8" s="1066" customFormat="1" ht="14.25" customHeight="1" thickBot="1">
      <c r="A85" s="1078" t="s">
        <v>1408</v>
      </c>
      <c r="B85" s="1072" t="s">
        <v>1171</v>
      </c>
      <c r="C85" s="1072">
        <v>14960</v>
      </c>
      <c r="D85" s="1072">
        <v>14890</v>
      </c>
      <c r="E85" s="1072">
        <v>12840</v>
      </c>
      <c r="F85" s="1090">
        <v>2840</v>
      </c>
      <c r="H85" s="1097"/>
    </row>
    <row r="86" spans="1:8" s="1066" customFormat="1" ht="14.25" customHeight="1" thickBot="1">
      <c r="A86" s="1078" t="s">
        <v>1408</v>
      </c>
      <c r="B86" s="1072" t="s">
        <v>1181</v>
      </c>
      <c r="C86" s="1072">
        <v>12730</v>
      </c>
      <c r="D86" s="1072">
        <v>12660</v>
      </c>
      <c r="E86" s="1072">
        <v>13310</v>
      </c>
      <c r="F86" s="1090">
        <v>3140</v>
      </c>
      <c r="H86" s="1097"/>
    </row>
    <row r="87" spans="1:8" s="1066" customFormat="1" ht="14.25" customHeight="1" thickBot="1">
      <c r="A87" s="1078" t="s">
        <v>1408</v>
      </c>
      <c r="B87" s="1072" t="s">
        <v>1191</v>
      </c>
      <c r="C87" s="1072">
        <v>12940</v>
      </c>
      <c r="D87" s="1072">
        <v>12890</v>
      </c>
      <c r="E87" s="1072">
        <v>11580</v>
      </c>
      <c r="F87" s="1099"/>
      <c r="H87" s="1097"/>
    </row>
    <row r="88" spans="1:8" s="1066" customFormat="1" ht="14.25" customHeight="1" thickBot="1">
      <c r="A88" s="1078" t="s">
        <v>1408</v>
      </c>
      <c r="B88" s="1072" t="s">
        <v>1201</v>
      </c>
      <c r="C88" s="1072">
        <v>13430</v>
      </c>
      <c r="D88" s="1072">
        <v>13360</v>
      </c>
      <c r="E88" s="1072">
        <v>12790</v>
      </c>
      <c r="F88" s="1099"/>
      <c r="H88" s="1097"/>
    </row>
    <row r="89" spans="1:8" s="1066" customFormat="1" ht="14.25" customHeight="1" thickBot="1">
      <c r="A89" s="1078" t="s">
        <v>1408</v>
      </c>
      <c r="B89" s="1072" t="s">
        <v>1211</v>
      </c>
      <c r="C89" s="1072">
        <v>11680</v>
      </c>
      <c r="D89" s="1072">
        <v>11630</v>
      </c>
      <c r="E89" s="1072">
        <v>11320</v>
      </c>
      <c r="F89" s="1099"/>
      <c r="H89" s="1097"/>
    </row>
    <row r="90" spans="1:8" s="1066" customFormat="1" ht="14.25" customHeight="1" thickBot="1">
      <c r="A90" s="1078" t="s">
        <v>1408</v>
      </c>
      <c r="B90" s="1072" t="s">
        <v>1221</v>
      </c>
      <c r="C90" s="1072">
        <v>12890</v>
      </c>
      <c r="D90" s="1072">
        <v>12820</v>
      </c>
      <c r="E90" s="1072">
        <v>12710</v>
      </c>
      <c r="F90" s="1099"/>
      <c r="H90" s="1097"/>
    </row>
    <row r="91" spans="1:8" s="1066" customFormat="1" ht="14.25" customHeight="1" thickBot="1">
      <c r="A91" s="1078" t="s">
        <v>1408</v>
      </c>
      <c r="B91" s="1072" t="s">
        <v>1231</v>
      </c>
      <c r="C91" s="1072">
        <v>11410</v>
      </c>
      <c r="D91" s="1072">
        <v>11360</v>
      </c>
      <c r="E91" s="1072">
        <v>12670</v>
      </c>
      <c r="F91" s="1099"/>
      <c r="H91" s="1097"/>
    </row>
    <row r="92" spans="1:8" s="1066" customFormat="1" ht="14.25" customHeight="1" thickBot="1">
      <c r="A92" s="1078" t="s">
        <v>1408</v>
      </c>
      <c r="B92" s="1072" t="s">
        <v>1241</v>
      </c>
      <c r="C92" s="1072">
        <v>12770</v>
      </c>
      <c r="D92" s="1072">
        <v>12740</v>
      </c>
      <c r="E92" s="1072">
        <v>11970</v>
      </c>
      <c r="F92" s="1099"/>
      <c r="H92" s="1097"/>
    </row>
    <row r="93" spans="1:8" s="1066" customFormat="1" ht="14.25" customHeight="1" thickBot="1">
      <c r="A93" s="1078" t="s">
        <v>1408</v>
      </c>
      <c r="B93" s="1072" t="s">
        <v>1251</v>
      </c>
      <c r="C93" s="1072">
        <v>12740</v>
      </c>
      <c r="D93" s="1072">
        <v>12700</v>
      </c>
      <c r="E93" s="1072">
        <v>12540</v>
      </c>
      <c r="F93" s="1099"/>
      <c r="H93" s="1097"/>
    </row>
    <row r="94" spans="1:8" s="1066" customFormat="1" ht="14.25" customHeight="1" thickBot="1">
      <c r="A94" s="1078" t="s">
        <v>1408</v>
      </c>
      <c r="B94" s="1072" t="s">
        <v>1261</v>
      </c>
      <c r="C94" s="1072">
        <v>12020</v>
      </c>
      <c r="D94" s="1072">
        <v>11990</v>
      </c>
      <c r="E94" s="1072">
        <v>13110</v>
      </c>
      <c r="F94" s="1099"/>
      <c r="H94" s="1097"/>
    </row>
    <row r="95" spans="1:8" s="1066" customFormat="1" ht="14.25" customHeight="1" thickBot="1">
      <c r="A95" s="1078" t="s">
        <v>1408</v>
      </c>
      <c r="B95" s="1072" t="s">
        <v>1270</v>
      </c>
      <c r="C95" s="1072">
        <v>12620</v>
      </c>
      <c r="D95" s="1072">
        <v>12580</v>
      </c>
      <c r="E95" s="1072">
        <v>13160</v>
      </c>
      <c r="F95" s="1090"/>
      <c r="H95" s="1097"/>
    </row>
    <row r="96" spans="1:8" s="1066" customFormat="1" ht="14.25" customHeight="1" thickBot="1">
      <c r="A96" s="1078" t="s">
        <v>1408</v>
      </c>
      <c r="B96" s="1072" t="s">
        <v>1279</v>
      </c>
      <c r="C96" s="1072">
        <v>13200</v>
      </c>
      <c r="D96" s="1072">
        <v>13150</v>
      </c>
      <c r="E96" s="1072">
        <v>12900</v>
      </c>
      <c r="F96" s="1090"/>
      <c r="H96" s="1097"/>
    </row>
    <row r="97" spans="1:8" s="1066" customFormat="1" ht="14.25" customHeight="1" thickBot="1">
      <c r="A97" s="1078" t="s">
        <v>1408</v>
      </c>
      <c r="B97" s="1072" t="s">
        <v>1287</v>
      </c>
      <c r="C97" s="1072">
        <v>13270</v>
      </c>
      <c r="D97" s="1072">
        <v>13210</v>
      </c>
      <c r="E97" s="1072">
        <v>11080</v>
      </c>
      <c r="F97" s="1090"/>
      <c r="H97" s="1097"/>
    </row>
    <row r="98" spans="1:8" s="1066" customFormat="1" ht="14.25" customHeight="1" thickBot="1">
      <c r="A98" s="1078" t="s">
        <v>1408</v>
      </c>
      <c r="B98" s="1072" t="s">
        <v>1294</v>
      </c>
      <c r="C98" s="1072">
        <v>13010</v>
      </c>
      <c r="D98" s="1072">
        <v>12930</v>
      </c>
      <c r="E98" s="1072">
        <v>12840</v>
      </c>
      <c r="F98" s="1090"/>
      <c r="H98" s="1097"/>
    </row>
    <row r="99" spans="1:8" s="1066" customFormat="1" ht="14.25" customHeight="1" thickBot="1">
      <c r="A99" s="1078" t="s">
        <v>1408</v>
      </c>
      <c r="B99" s="1072" t="s">
        <v>1301</v>
      </c>
      <c r="C99" s="1072">
        <v>11190</v>
      </c>
      <c r="D99" s="1072">
        <v>11130</v>
      </c>
      <c r="E99" s="1072"/>
      <c r="F99" s="1090"/>
      <c r="H99" s="1097"/>
    </row>
    <row r="100" spans="1:8" s="1066" customFormat="1" ht="14.25" customHeight="1" thickBot="1">
      <c r="A100" s="1078" t="s">
        <v>1408</v>
      </c>
      <c r="B100" s="1072" t="s">
        <v>1308</v>
      </c>
      <c r="C100" s="1072">
        <v>14280</v>
      </c>
      <c r="D100" s="1072">
        <v>14180</v>
      </c>
      <c r="E100" s="1072"/>
      <c r="F100" s="1090"/>
      <c r="H100" s="1097"/>
    </row>
    <row r="101" spans="1:8" s="1066" customFormat="1" ht="14.25" customHeight="1" thickBot="1">
      <c r="A101" s="1078" t="s">
        <v>1408</v>
      </c>
      <c r="B101" s="1072" t="s">
        <v>1315</v>
      </c>
      <c r="C101" s="1072">
        <v>12960</v>
      </c>
      <c r="D101" s="1072">
        <v>12890</v>
      </c>
      <c r="E101" s="1072"/>
      <c r="F101" s="1090"/>
      <c r="H101" s="1097"/>
    </row>
    <row r="102" spans="1:8" s="1066" customFormat="1" ht="14.25" customHeight="1" thickBot="1">
      <c r="A102" s="1078" t="s">
        <v>1408</v>
      </c>
      <c r="B102" s="1072" t="s">
        <v>1322</v>
      </c>
      <c r="C102" s="1072"/>
      <c r="D102" s="1072"/>
      <c r="E102" s="1072"/>
      <c r="F102" s="1090">
        <v>3100</v>
      </c>
      <c r="H102" s="1097"/>
    </row>
    <row r="103" spans="1:8" s="1066" customFormat="1" ht="14.25" customHeight="1" thickBot="1">
      <c r="A103" s="1078" t="s">
        <v>1408</v>
      </c>
      <c r="B103" s="1072" t="s">
        <v>1329</v>
      </c>
      <c r="C103" s="1072"/>
      <c r="D103" s="1072"/>
      <c r="E103" s="1072"/>
      <c r="F103" s="1090">
        <v>2320</v>
      </c>
      <c r="H103" s="1097"/>
    </row>
    <row r="104" spans="1:8" s="1066" customFormat="1" ht="14.25" customHeight="1" thickBot="1">
      <c r="A104" s="1078" t="s">
        <v>1408</v>
      </c>
      <c r="B104" s="1072" t="s">
        <v>1334</v>
      </c>
      <c r="C104" s="1072"/>
      <c r="D104" s="1072"/>
      <c r="E104" s="1072"/>
      <c r="F104" s="1090">
        <v>2320</v>
      </c>
      <c r="H104" s="1097"/>
    </row>
    <row r="105" spans="1:8" s="1066" customFormat="1" ht="14.25" customHeight="1" thickBot="1">
      <c r="A105" s="1078" t="s">
        <v>1408</v>
      </c>
      <c r="B105" s="1072" t="s">
        <v>1338</v>
      </c>
      <c r="C105" s="1072"/>
      <c r="D105" s="1072"/>
      <c r="E105" s="1072"/>
      <c r="F105" s="1090">
        <v>2320</v>
      </c>
      <c r="H105" s="1097"/>
    </row>
    <row r="106" spans="1:8" s="1066" customFormat="1" ht="14.25" customHeight="1" thickBot="1">
      <c r="A106" s="1078" t="s">
        <v>1408</v>
      </c>
      <c r="B106" s="1072" t="s">
        <v>1343</v>
      </c>
      <c r="C106" s="1072"/>
      <c r="D106" s="1072"/>
      <c r="E106" s="1072"/>
      <c r="F106" s="1090">
        <v>2320</v>
      </c>
      <c r="H106" s="1097"/>
    </row>
    <row r="107" spans="1:8" s="1066" customFormat="1" ht="14.25" customHeight="1" thickBot="1">
      <c r="A107" s="1078" t="s">
        <v>1408</v>
      </c>
      <c r="B107" s="1072" t="s">
        <v>1348</v>
      </c>
      <c r="C107" s="1072"/>
      <c r="D107" s="1072"/>
      <c r="E107" s="1072"/>
      <c r="F107" s="1090">
        <v>2280</v>
      </c>
      <c r="H107" s="1097"/>
    </row>
    <row r="108" spans="1:8" s="1066" customFormat="1" ht="14.25" customHeight="1" thickBot="1">
      <c r="A108" s="1078" t="s">
        <v>1408</v>
      </c>
      <c r="B108" s="1072" t="s">
        <v>1353</v>
      </c>
      <c r="C108" s="1072"/>
      <c r="D108" s="1072"/>
      <c r="E108" s="1072"/>
      <c r="F108" s="1090">
        <v>2280</v>
      </c>
      <c r="H108" s="1097"/>
    </row>
    <row r="109" spans="1:8" s="1066" customFormat="1" ht="14.25" customHeight="1" thickBot="1">
      <c r="A109" s="1078" t="s">
        <v>1408</v>
      </c>
      <c r="B109" s="1088" t="s">
        <v>1358</v>
      </c>
      <c r="C109" s="1088"/>
      <c r="D109" s="1088"/>
      <c r="E109" s="1088"/>
      <c r="F109" s="1098">
        <v>2280</v>
      </c>
      <c r="H109" s="1097"/>
    </row>
    <row r="110" spans="1:8" s="1066" customFormat="1" ht="14.25" customHeight="1" thickBot="1">
      <c r="A110" s="1078" t="s">
        <v>1410</v>
      </c>
      <c r="B110" s="1079" t="s">
        <v>1411</v>
      </c>
      <c r="C110" s="1079">
        <v>10520</v>
      </c>
      <c r="D110" s="1079">
        <v>10490</v>
      </c>
      <c r="E110" s="1079">
        <v>10760</v>
      </c>
      <c r="F110" s="1080">
        <v>2160</v>
      </c>
      <c r="H110" s="1097"/>
    </row>
    <row r="111" spans="1:8" s="1066" customFormat="1" ht="14.25" customHeight="1" thickBot="1">
      <c r="A111" s="1078" t="s">
        <v>1410</v>
      </c>
      <c r="B111" s="1072" t="s">
        <v>1076</v>
      </c>
      <c r="C111" s="1072">
        <v>10090</v>
      </c>
      <c r="D111" s="1072">
        <v>10060</v>
      </c>
      <c r="E111" s="1072">
        <v>10300</v>
      </c>
      <c r="F111" s="1090">
        <v>2010</v>
      </c>
      <c r="H111" s="1097"/>
    </row>
    <row r="112" spans="1:8" s="1066" customFormat="1" ht="14.25" customHeight="1" thickBot="1">
      <c r="A112" s="1078" t="s">
        <v>1410</v>
      </c>
      <c r="B112" s="1072" t="s">
        <v>1090</v>
      </c>
      <c r="C112" s="1072">
        <v>9910</v>
      </c>
      <c r="D112" s="1072">
        <v>9850</v>
      </c>
      <c r="E112" s="1072">
        <v>9960</v>
      </c>
      <c r="F112" s="1090">
        <v>2090</v>
      </c>
      <c r="H112" s="1097"/>
    </row>
    <row r="113" spans="1:8" s="1066" customFormat="1" ht="14.25" customHeight="1" thickBot="1">
      <c r="A113" s="1078" t="s">
        <v>1410</v>
      </c>
      <c r="B113" s="1072" t="s">
        <v>1103</v>
      </c>
      <c r="C113" s="1072">
        <v>11430</v>
      </c>
      <c r="D113" s="1072">
        <v>11400</v>
      </c>
      <c r="E113" s="1072">
        <v>11710</v>
      </c>
      <c r="F113" s="1090">
        <v>2050</v>
      </c>
      <c r="H113" s="1097"/>
    </row>
    <row r="114" spans="1:8" s="1066" customFormat="1" ht="14.25" customHeight="1" thickBot="1">
      <c r="A114" s="1078" t="s">
        <v>1410</v>
      </c>
      <c r="B114" s="1072" t="s">
        <v>1117</v>
      </c>
      <c r="C114" s="1072">
        <v>11390</v>
      </c>
      <c r="D114" s="1072">
        <v>11350</v>
      </c>
      <c r="E114" s="1072">
        <v>11640</v>
      </c>
      <c r="F114" s="1090">
        <v>1620</v>
      </c>
      <c r="H114" s="1097"/>
    </row>
    <row r="115" spans="1:8" s="1066" customFormat="1" ht="14.25" customHeight="1" thickBot="1">
      <c r="A115" s="1078" t="s">
        <v>1410</v>
      </c>
      <c r="B115" s="1072" t="s">
        <v>1128</v>
      </c>
      <c r="C115" s="1072">
        <v>9930</v>
      </c>
      <c r="D115" s="1072">
        <v>9900</v>
      </c>
      <c r="E115" s="1072">
        <v>10160</v>
      </c>
      <c r="F115" s="1090">
        <v>1580</v>
      </c>
      <c r="H115" s="1097"/>
    </row>
    <row r="116" spans="1:8" s="1066" customFormat="1" ht="14.25" customHeight="1" thickBot="1">
      <c r="A116" s="1078" t="s">
        <v>1410</v>
      </c>
      <c r="B116" s="1072" t="s">
        <v>1139</v>
      </c>
      <c r="C116" s="1072">
        <v>9150</v>
      </c>
      <c r="D116" s="1072">
        <v>9120</v>
      </c>
      <c r="E116" s="1072">
        <v>9380</v>
      </c>
      <c r="F116" s="1090">
        <v>1750</v>
      </c>
      <c r="H116" s="1097"/>
    </row>
    <row r="117" spans="1:8" s="1066" customFormat="1" ht="14.25" customHeight="1" thickBot="1">
      <c r="A117" s="1078" t="s">
        <v>1410</v>
      </c>
      <c r="B117" s="1072" t="s">
        <v>1150</v>
      </c>
      <c r="C117" s="1072">
        <v>10680</v>
      </c>
      <c r="D117" s="1072">
        <v>10650</v>
      </c>
      <c r="E117" s="1072">
        <v>10970</v>
      </c>
      <c r="F117" s="1090">
        <v>1730</v>
      </c>
      <c r="H117" s="1097"/>
    </row>
    <row r="118" spans="1:8" s="1066" customFormat="1" ht="14.25" customHeight="1" thickBot="1">
      <c r="A118" s="1078" t="s">
        <v>1410</v>
      </c>
      <c r="B118" s="1072" t="s">
        <v>1162</v>
      </c>
      <c r="C118" s="1072">
        <v>10080</v>
      </c>
      <c r="D118" s="1072">
        <v>10050</v>
      </c>
      <c r="E118" s="1072">
        <v>10350</v>
      </c>
      <c r="F118" s="1090">
        <v>1920</v>
      </c>
      <c r="H118" s="1097"/>
    </row>
    <row r="119" spans="1:8" s="1066" customFormat="1" ht="14.25" customHeight="1" thickBot="1">
      <c r="A119" s="1078" t="s">
        <v>1410</v>
      </c>
      <c r="B119" s="1072" t="s">
        <v>1172</v>
      </c>
      <c r="C119" s="1072">
        <v>9450</v>
      </c>
      <c r="D119" s="1072">
        <v>9410</v>
      </c>
      <c r="E119" s="1072">
        <v>9680</v>
      </c>
      <c r="F119" s="1090">
        <v>1880</v>
      </c>
      <c r="H119" s="1097"/>
    </row>
    <row r="120" spans="1:8" s="1066" customFormat="1" ht="14.25" customHeight="1" thickBot="1">
      <c r="A120" s="1078" t="s">
        <v>1410</v>
      </c>
      <c r="B120" s="1072" t="s">
        <v>1182</v>
      </c>
      <c r="C120" s="1072">
        <v>8730</v>
      </c>
      <c r="D120" s="1072">
        <v>8700</v>
      </c>
      <c r="E120" s="1072">
        <v>8950</v>
      </c>
      <c r="F120" s="1090">
        <v>1830</v>
      </c>
      <c r="H120" s="1097"/>
    </row>
    <row r="121" spans="1:8" s="1066" customFormat="1" ht="14.25" customHeight="1" thickBot="1">
      <c r="A121" s="1078" t="s">
        <v>1410</v>
      </c>
      <c r="B121" s="1072" t="s">
        <v>1192</v>
      </c>
      <c r="C121" s="1072">
        <v>10070</v>
      </c>
      <c r="D121" s="1072">
        <v>10040</v>
      </c>
      <c r="E121" s="1072">
        <v>10270</v>
      </c>
      <c r="F121" s="1090">
        <v>1960</v>
      </c>
      <c r="H121" s="1097"/>
    </row>
    <row r="122" spans="1:8" s="1066" customFormat="1" ht="14.25" customHeight="1" thickBot="1">
      <c r="A122" s="1078" t="s">
        <v>1410</v>
      </c>
      <c r="B122" s="1072" t="s">
        <v>1202</v>
      </c>
      <c r="C122" s="1072">
        <v>10500</v>
      </c>
      <c r="D122" s="1072">
        <v>10470</v>
      </c>
      <c r="E122" s="1072">
        <v>10780</v>
      </c>
      <c r="F122" s="1090">
        <v>2180</v>
      </c>
      <c r="H122" s="1097"/>
    </row>
    <row r="123" spans="1:8" s="1066" customFormat="1" ht="14.25" customHeight="1" thickBot="1">
      <c r="A123" s="1078" t="s">
        <v>1410</v>
      </c>
      <c r="B123" s="1072" t="s">
        <v>1212</v>
      </c>
      <c r="C123" s="1072">
        <v>10390</v>
      </c>
      <c r="D123" s="1072">
        <v>10360</v>
      </c>
      <c r="E123" s="1072">
        <v>10660</v>
      </c>
      <c r="F123" s="1090">
        <v>2040</v>
      </c>
      <c r="H123" s="1097"/>
    </row>
    <row r="124" spans="1:8" s="1066" customFormat="1" ht="14.25" customHeight="1" thickBot="1">
      <c r="A124" s="1078" t="s">
        <v>1410</v>
      </c>
      <c r="B124" s="1072" t="s">
        <v>1222</v>
      </c>
      <c r="C124" s="1072">
        <v>10390</v>
      </c>
      <c r="D124" s="1072">
        <v>10360</v>
      </c>
      <c r="E124" s="1072">
        <v>10680</v>
      </c>
      <c r="F124" s="1099"/>
      <c r="H124" s="1097"/>
    </row>
    <row r="125" spans="1:8" s="1066" customFormat="1" ht="14.25" customHeight="1" thickBot="1">
      <c r="A125" s="1078" t="s">
        <v>1410</v>
      </c>
      <c r="B125" s="1072" t="s">
        <v>1232</v>
      </c>
      <c r="C125" s="1072">
        <v>10440</v>
      </c>
      <c r="D125" s="1072">
        <v>10410</v>
      </c>
      <c r="E125" s="1072">
        <v>10710</v>
      </c>
      <c r="F125" s="1099"/>
      <c r="H125" s="1097"/>
    </row>
    <row r="126" spans="1:8" s="1066" customFormat="1" ht="14.25" customHeight="1" thickBot="1">
      <c r="A126" s="1078" t="s">
        <v>1410</v>
      </c>
      <c r="B126" s="1072" t="s">
        <v>1242</v>
      </c>
      <c r="C126" s="1072">
        <v>10780</v>
      </c>
      <c r="D126" s="1072">
        <v>10750</v>
      </c>
      <c r="E126" s="1072">
        <v>11080</v>
      </c>
      <c r="F126" s="1099"/>
      <c r="H126" s="1097"/>
    </row>
    <row r="127" spans="1:8" s="1066" customFormat="1" ht="14.25" customHeight="1" thickBot="1">
      <c r="A127" s="1078" t="s">
        <v>1410</v>
      </c>
      <c r="B127" s="1072" t="s">
        <v>1252</v>
      </c>
      <c r="C127" s="1072">
        <v>10100</v>
      </c>
      <c r="D127" s="1072">
        <v>10070</v>
      </c>
      <c r="E127" s="1072">
        <v>10350</v>
      </c>
      <c r="F127" s="1099"/>
      <c r="H127" s="1097"/>
    </row>
    <row r="128" spans="1:8" s="1066" customFormat="1" ht="14.25" customHeight="1" thickBot="1">
      <c r="A128" s="1078" t="s">
        <v>1410</v>
      </c>
      <c r="B128" s="1072" t="s">
        <v>1262</v>
      </c>
      <c r="C128" s="1072">
        <v>9200</v>
      </c>
      <c r="D128" s="1072">
        <v>9160</v>
      </c>
      <c r="E128" s="1072">
        <v>9660</v>
      </c>
      <c r="F128" s="1099"/>
      <c r="H128" s="1097"/>
    </row>
    <row r="129" spans="1:8" s="1066" customFormat="1" ht="14.25" customHeight="1" thickBot="1">
      <c r="A129" s="1078" t="s">
        <v>1410</v>
      </c>
      <c r="B129" s="1072" t="s">
        <v>1271</v>
      </c>
      <c r="C129" s="1072">
        <v>10340</v>
      </c>
      <c r="D129" s="1072">
        <v>10310</v>
      </c>
      <c r="E129" s="1072">
        <v>10580</v>
      </c>
      <c r="F129" s="1099"/>
      <c r="H129" s="1097"/>
    </row>
    <row r="130" spans="1:8" s="1066" customFormat="1" ht="14.25" customHeight="1" thickBot="1">
      <c r="A130" s="1078" t="s">
        <v>1410</v>
      </c>
      <c r="B130" s="1072" t="s">
        <v>1280</v>
      </c>
      <c r="C130" s="1072">
        <v>9680</v>
      </c>
      <c r="D130" s="1072">
        <v>9660</v>
      </c>
      <c r="E130" s="1072">
        <v>9950</v>
      </c>
      <c r="F130" s="1099"/>
      <c r="H130" s="1097"/>
    </row>
    <row r="131" spans="1:8" s="1066" customFormat="1" ht="14.25" customHeight="1" thickBot="1">
      <c r="A131" s="1078" t="s">
        <v>1410</v>
      </c>
      <c r="B131" s="1072" t="s">
        <v>1288</v>
      </c>
      <c r="C131" s="1072">
        <v>9540</v>
      </c>
      <c r="D131" s="1072">
        <v>9510</v>
      </c>
      <c r="E131" s="1072">
        <v>9790</v>
      </c>
      <c r="F131" s="1099"/>
      <c r="H131" s="1097"/>
    </row>
    <row r="132" spans="1:8" s="1066" customFormat="1" ht="14.25" customHeight="1" thickBot="1">
      <c r="A132" s="1078" t="s">
        <v>1410</v>
      </c>
      <c r="B132" s="1072" t="s">
        <v>1295</v>
      </c>
      <c r="C132" s="1072">
        <v>9320</v>
      </c>
      <c r="D132" s="1072">
        <v>9290</v>
      </c>
      <c r="E132" s="1072">
        <v>9570</v>
      </c>
      <c r="F132" s="1099"/>
      <c r="H132" s="1097"/>
    </row>
    <row r="133" spans="1:8" s="1066" customFormat="1" ht="14.25" customHeight="1" thickBot="1">
      <c r="A133" s="1078" t="s">
        <v>1410</v>
      </c>
      <c r="B133" s="1072" t="s">
        <v>1302</v>
      </c>
      <c r="C133" s="1072">
        <v>10310</v>
      </c>
      <c r="D133" s="1072">
        <v>10280</v>
      </c>
      <c r="E133" s="1072">
        <v>10530</v>
      </c>
      <c r="F133" s="1099"/>
      <c r="H133" s="1097"/>
    </row>
    <row r="134" spans="1:8" s="1066" customFormat="1" ht="14.25" customHeight="1" thickBot="1">
      <c r="A134" s="1078" t="s">
        <v>1410</v>
      </c>
      <c r="B134" s="1072" t="s">
        <v>1309</v>
      </c>
      <c r="C134" s="1072">
        <v>10370</v>
      </c>
      <c r="D134" s="1072">
        <v>10310</v>
      </c>
      <c r="E134" s="1072">
        <v>10240</v>
      </c>
      <c r="F134" s="1090">
        <v>2060</v>
      </c>
      <c r="H134" s="1097"/>
    </row>
    <row r="135" spans="1:8" s="1066" customFormat="1" ht="14.25" customHeight="1" thickBot="1">
      <c r="A135" s="1078" t="s">
        <v>1410</v>
      </c>
      <c r="B135" s="1072" t="s">
        <v>1316</v>
      </c>
      <c r="C135" s="1072">
        <v>9300</v>
      </c>
      <c r="D135" s="1072">
        <v>9270</v>
      </c>
      <c r="E135" s="1072">
        <v>9350</v>
      </c>
      <c r="F135" s="1099"/>
      <c r="H135" s="1097"/>
    </row>
    <row r="136" spans="1:8" s="1066" customFormat="1" ht="14.25" customHeight="1" thickBot="1">
      <c r="A136" s="1078" t="s">
        <v>1410</v>
      </c>
      <c r="B136" s="1072" t="s">
        <v>1323</v>
      </c>
      <c r="C136" s="1072">
        <v>10160</v>
      </c>
      <c r="D136" s="1072">
        <v>10110</v>
      </c>
      <c r="E136" s="1072">
        <v>10080</v>
      </c>
      <c r="F136" s="1099"/>
      <c r="H136" s="1097"/>
    </row>
    <row r="137" spans="1:8" s="1066" customFormat="1" ht="14.25" customHeight="1" thickBot="1">
      <c r="A137" s="1078" t="s">
        <v>1410</v>
      </c>
      <c r="B137" s="1072" t="s">
        <v>1330</v>
      </c>
      <c r="C137" s="1072">
        <v>9200</v>
      </c>
      <c r="D137" s="1072">
        <v>9170</v>
      </c>
      <c r="E137" s="1072">
        <v>9450</v>
      </c>
      <c r="F137" s="1099"/>
      <c r="H137" s="1097"/>
    </row>
    <row r="138" spans="1:8" s="1066" customFormat="1" ht="14.25" customHeight="1" thickBot="1">
      <c r="A138" s="1078" t="s">
        <v>1410</v>
      </c>
      <c r="B138" s="1072" t="s">
        <v>1335</v>
      </c>
      <c r="C138" s="1072">
        <v>9690</v>
      </c>
      <c r="D138" s="1072">
        <v>9660</v>
      </c>
      <c r="E138" s="1072">
        <v>9840</v>
      </c>
      <c r="F138" s="1099"/>
      <c r="H138" s="1097"/>
    </row>
    <row r="139" spans="1:8" s="1066" customFormat="1" ht="14.25" customHeight="1" thickBot="1">
      <c r="A139" s="1078" t="s">
        <v>1410</v>
      </c>
      <c r="B139" s="1072" t="s">
        <v>1339</v>
      </c>
      <c r="C139" s="1072">
        <v>10290</v>
      </c>
      <c r="D139" s="1072">
        <v>10260</v>
      </c>
      <c r="E139" s="1072">
        <v>10550</v>
      </c>
      <c r="F139" s="1090">
        <v>1700</v>
      </c>
      <c r="H139" s="1097"/>
    </row>
    <row r="140" spans="1:8" s="1066" customFormat="1" ht="14.25" customHeight="1" thickBot="1">
      <c r="A140" s="1078" t="s">
        <v>1410</v>
      </c>
      <c r="B140" s="1072" t="s">
        <v>1344</v>
      </c>
      <c r="C140" s="1072">
        <v>9740</v>
      </c>
      <c r="D140" s="1072">
        <v>9710</v>
      </c>
      <c r="E140" s="1072">
        <v>10000</v>
      </c>
      <c r="F140" s="1090">
        <v>2000</v>
      </c>
      <c r="H140" s="1097"/>
    </row>
    <row r="141" spans="1:8" s="1066" customFormat="1" ht="14.25" customHeight="1" thickBot="1">
      <c r="A141" s="1078" t="s">
        <v>1410</v>
      </c>
      <c r="B141" s="1072" t="s">
        <v>1349</v>
      </c>
      <c r="C141" s="1072">
        <v>9810</v>
      </c>
      <c r="D141" s="1072">
        <v>9770</v>
      </c>
      <c r="E141" s="1072">
        <v>10060</v>
      </c>
      <c r="F141" s="1099"/>
      <c r="H141" s="1097"/>
    </row>
    <row r="142" spans="1:8" s="1066" customFormat="1" ht="14.25" customHeight="1" thickBot="1">
      <c r="A142" s="1078" t="s">
        <v>1410</v>
      </c>
      <c r="B142" s="1072" t="s">
        <v>1354</v>
      </c>
      <c r="C142" s="1072">
        <v>9300</v>
      </c>
      <c r="D142" s="1072">
        <v>9270</v>
      </c>
      <c r="E142" s="1072">
        <v>9530</v>
      </c>
      <c r="F142" s="1099"/>
      <c r="H142" s="1097"/>
    </row>
    <row r="143" spans="1:8" s="1066" customFormat="1" ht="14.25" customHeight="1" thickBot="1">
      <c r="A143" s="1078" t="s">
        <v>1410</v>
      </c>
      <c r="B143" s="1072" t="s">
        <v>1359</v>
      </c>
      <c r="C143" s="1072">
        <v>10080</v>
      </c>
      <c r="D143" s="1072">
        <v>10050</v>
      </c>
      <c r="E143" s="1072">
        <v>10340</v>
      </c>
      <c r="F143" s="1099"/>
      <c r="H143" s="1097"/>
    </row>
    <row r="144" spans="1:8" s="1066" customFormat="1" ht="14.25" customHeight="1" thickBot="1">
      <c r="A144" s="1078" t="s">
        <v>1410</v>
      </c>
      <c r="B144" s="1072" t="s">
        <v>1363</v>
      </c>
      <c r="C144" s="1072">
        <v>9820</v>
      </c>
      <c r="D144" s="1072">
        <v>9750</v>
      </c>
      <c r="E144" s="1072">
        <v>9900</v>
      </c>
      <c r="F144" s="1099"/>
      <c r="H144" s="1097"/>
    </row>
    <row r="145" spans="1:8" s="1066" customFormat="1" ht="14.25" customHeight="1" thickBot="1">
      <c r="A145" s="1078" t="s">
        <v>1410</v>
      </c>
      <c r="B145" s="1072" t="s">
        <v>1367</v>
      </c>
      <c r="C145" s="1072"/>
      <c r="D145" s="1072"/>
      <c r="E145" s="1072"/>
      <c r="F145" s="1090">
        <v>1740</v>
      </c>
      <c r="H145" s="1097"/>
    </row>
    <row r="146" spans="1:8" s="1066" customFormat="1" ht="14.25" customHeight="1" thickBot="1">
      <c r="A146" s="1078" t="s">
        <v>1410</v>
      </c>
      <c r="B146" s="1072" t="s">
        <v>1371</v>
      </c>
      <c r="C146" s="1072"/>
      <c r="D146" s="1072"/>
      <c r="E146" s="1072"/>
      <c r="F146" s="1090">
        <v>1740</v>
      </c>
      <c r="H146" s="1097"/>
    </row>
    <row r="147" spans="1:8" s="1066" customFormat="1" ht="14.25" customHeight="1" thickBot="1">
      <c r="A147" s="1078" t="s">
        <v>1410</v>
      </c>
      <c r="B147" s="1072" t="s">
        <v>1375</v>
      </c>
      <c r="C147" s="1072"/>
      <c r="D147" s="1072"/>
      <c r="E147" s="1072"/>
      <c r="F147" s="1090">
        <v>1740</v>
      </c>
      <c r="H147" s="1097"/>
    </row>
    <row r="148" spans="1:8" s="1066" customFormat="1" ht="14.25" customHeight="1" thickBot="1">
      <c r="A148" s="1078" t="s">
        <v>1410</v>
      </c>
      <c r="B148" s="1072" t="s">
        <v>1379</v>
      </c>
      <c r="C148" s="1072"/>
      <c r="D148" s="1072"/>
      <c r="E148" s="1072"/>
      <c r="F148" s="1090">
        <v>1740</v>
      </c>
      <c r="H148" s="1097"/>
    </row>
    <row r="149" spans="1:8" s="1066" customFormat="1" ht="14.25" customHeight="1" thickBot="1">
      <c r="A149" s="1078" t="s">
        <v>1410</v>
      </c>
      <c r="B149" s="1072" t="s">
        <v>1383</v>
      </c>
      <c r="C149" s="1072"/>
      <c r="D149" s="1072"/>
      <c r="E149" s="1072"/>
      <c r="F149" s="1090">
        <v>1740</v>
      </c>
      <c r="H149" s="1097"/>
    </row>
    <row r="150" spans="1:8" s="1066" customFormat="1" ht="14.25" customHeight="1" thickBot="1">
      <c r="A150" s="1078" t="s">
        <v>1410</v>
      </c>
      <c r="B150" s="1072" t="s">
        <v>1386</v>
      </c>
      <c r="C150" s="1072"/>
      <c r="D150" s="1072"/>
      <c r="E150" s="1072"/>
      <c r="F150" s="1090">
        <v>1610</v>
      </c>
      <c r="H150" s="1097"/>
    </row>
    <row r="151" spans="1:8" s="1066" customFormat="1" ht="14.25" customHeight="1" thickBot="1">
      <c r="A151" s="1078" t="s">
        <v>1410</v>
      </c>
      <c r="B151" s="1072" t="s">
        <v>1389</v>
      </c>
      <c r="C151" s="1072"/>
      <c r="D151" s="1072"/>
      <c r="E151" s="1072"/>
      <c r="F151" s="1090">
        <v>1610</v>
      </c>
      <c r="H151" s="1097"/>
    </row>
    <row r="152" spans="1:8" s="1066" customFormat="1" ht="14.25" customHeight="1" thickBot="1">
      <c r="A152" s="1078" t="s">
        <v>1410</v>
      </c>
      <c r="B152" s="1072" t="s">
        <v>1392</v>
      </c>
      <c r="C152" s="1072"/>
      <c r="D152" s="1072"/>
      <c r="E152" s="1072"/>
      <c r="F152" s="1090">
        <v>1610</v>
      </c>
      <c r="H152" s="1097"/>
    </row>
    <row r="153" spans="1:8" s="1066" customFormat="1" ht="14.25" customHeight="1" thickBot="1">
      <c r="A153" s="1078" t="s">
        <v>1410</v>
      </c>
      <c r="B153" s="1072" t="s">
        <v>1395</v>
      </c>
      <c r="C153" s="1072"/>
      <c r="D153" s="1072"/>
      <c r="E153" s="1072"/>
      <c r="F153" s="1090">
        <v>1610</v>
      </c>
      <c r="H153" s="1097"/>
    </row>
    <row r="154" spans="1:8" s="1066" customFormat="1" ht="14.25" customHeight="1" thickBot="1">
      <c r="A154" s="1078" t="s">
        <v>1410</v>
      </c>
      <c r="B154" s="1072" t="s">
        <v>1398</v>
      </c>
      <c r="C154" s="1072"/>
      <c r="D154" s="1072"/>
      <c r="E154" s="1072"/>
      <c r="F154" s="1090">
        <v>1610</v>
      </c>
      <c r="H154" s="1097"/>
    </row>
    <row r="155" spans="1:8" s="1066" customFormat="1" ht="14.25" customHeight="1" thickBot="1">
      <c r="A155" s="1078" t="s">
        <v>1410</v>
      </c>
      <c r="B155" s="1072" t="s">
        <v>1401</v>
      </c>
      <c r="C155" s="1072"/>
      <c r="D155" s="1072"/>
      <c r="E155" s="1072"/>
      <c r="F155" s="1090">
        <v>1800</v>
      </c>
      <c r="H155" s="1097"/>
    </row>
    <row r="156" spans="1:8" s="1066" customFormat="1" ht="14.25" customHeight="1" thickBot="1">
      <c r="A156" s="1078" t="s">
        <v>1410</v>
      </c>
      <c r="B156" s="1072" t="s">
        <v>1403</v>
      </c>
      <c r="C156" s="1072"/>
      <c r="D156" s="1072"/>
      <c r="E156" s="1072"/>
      <c r="F156" s="1090">
        <v>1910</v>
      </c>
      <c r="H156" s="1097"/>
    </row>
    <row r="157" spans="1:8" s="1066" customFormat="1" ht="14.25" customHeight="1" thickBot="1">
      <c r="A157" s="1078" t="s">
        <v>1410</v>
      </c>
      <c r="B157" s="1088" t="s">
        <v>1406</v>
      </c>
      <c r="C157" s="1088"/>
      <c r="D157" s="1088"/>
      <c r="E157" s="1088"/>
      <c r="F157" s="1098">
        <v>1500</v>
      </c>
      <c r="H157" s="1097"/>
    </row>
    <row r="158" spans="1:8" s="1066" customFormat="1" ht="14.25" customHeight="1" thickBot="1">
      <c r="A158" s="1078" t="s">
        <v>1412</v>
      </c>
      <c r="B158" s="1079" t="s">
        <v>1413</v>
      </c>
      <c r="C158" s="1079">
        <v>8170</v>
      </c>
      <c r="D158" s="1079">
        <v>8140</v>
      </c>
      <c r="E158" s="1079">
        <v>8590</v>
      </c>
      <c r="F158" s="1080">
        <v>1450</v>
      </c>
      <c r="H158" s="1097"/>
    </row>
    <row r="159" spans="1:8" s="1066" customFormat="1" ht="14.25" customHeight="1" thickBot="1">
      <c r="A159" s="1078" t="s">
        <v>1412</v>
      </c>
      <c r="B159" s="1072" t="s">
        <v>1077</v>
      </c>
      <c r="C159" s="1072">
        <v>7410</v>
      </c>
      <c r="D159" s="1072">
        <v>7370</v>
      </c>
      <c r="E159" s="1072">
        <v>8030</v>
      </c>
      <c r="F159" s="1090">
        <v>1510</v>
      </c>
      <c r="H159" s="1097"/>
    </row>
    <row r="160" spans="1:8" s="1066" customFormat="1" ht="14.25" customHeight="1" thickBot="1">
      <c r="A160" s="1078" t="s">
        <v>1412</v>
      </c>
      <c r="B160" s="1072" t="s">
        <v>1091</v>
      </c>
      <c r="C160" s="1072">
        <v>7240</v>
      </c>
      <c r="D160" s="1072">
        <v>7210</v>
      </c>
      <c r="E160" s="1072">
        <v>7860</v>
      </c>
      <c r="F160" s="1090">
        <v>1370</v>
      </c>
      <c r="H160" s="1097"/>
    </row>
    <row r="161" spans="1:8" s="1066" customFormat="1" ht="14.25" customHeight="1" thickBot="1">
      <c r="A161" s="1078" t="s">
        <v>1412</v>
      </c>
      <c r="B161" s="1072" t="s">
        <v>1104</v>
      </c>
      <c r="C161" s="1072">
        <v>7720</v>
      </c>
      <c r="D161" s="1072">
        <v>7690</v>
      </c>
      <c r="E161" s="1072">
        <v>8200</v>
      </c>
      <c r="F161" s="1090">
        <v>1190</v>
      </c>
      <c r="H161" s="1097"/>
    </row>
    <row r="162" spans="1:8" s="1066" customFormat="1" ht="14.25" customHeight="1" thickBot="1">
      <c r="A162" s="1078" t="s">
        <v>1412</v>
      </c>
      <c r="B162" s="1072" t="s">
        <v>1118</v>
      </c>
      <c r="C162" s="1072">
        <v>6900</v>
      </c>
      <c r="D162" s="1072">
        <v>6870</v>
      </c>
      <c r="E162" s="1072">
        <v>7500</v>
      </c>
      <c r="F162" s="1090">
        <v>1390</v>
      </c>
      <c r="H162" s="1097"/>
    </row>
    <row r="163" spans="1:8" s="1066" customFormat="1" ht="14.25" customHeight="1" thickBot="1">
      <c r="A163" s="1078" t="s">
        <v>1412</v>
      </c>
      <c r="B163" s="1072" t="s">
        <v>1129</v>
      </c>
      <c r="C163" s="1072">
        <v>7120</v>
      </c>
      <c r="D163" s="1072">
        <v>7090</v>
      </c>
      <c r="E163" s="1072">
        <v>7690</v>
      </c>
      <c r="F163" s="1090">
        <v>1230</v>
      </c>
      <c r="H163" s="1097"/>
    </row>
    <row r="164" spans="1:8" s="1066" customFormat="1" ht="14.25" customHeight="1" thickBot="1">
      <c r="A164" s="1078" t="s">
        <v>1412</v>
      </c>
      <c r="B164" s="1072" t="s">
        <v>1140</v>
      </c>
      <c r="C164" s="1072">
        <v>6560</v>
      </c>
      <c r="D164" s="1072">
        <v>6530</v>
      </c>
      <c r="E164" s="1072">
        <v>7110</v>
      </c>
      <c r="F164" s="1090">
        <v>1340</v>
      </c>
      <c r="H164" s="1097"/>
    </row>
    <row r="165" spans="1:8" s="1066" customFormat="1" ht="14.25" customHeight="1" thickBot="1">
      <c r="A165" s="1078" t="s">
        <v>1412</v>
      </c>
      <c r="B165" s="1072" t="s">
        <v>1151</v>
      </c>
      <c r="C165" s="1072">
        <v>7450</v>
      </c>
      <c r="D165" s="1072">
        <v>7430</v>
      </c>
      <c r="E165" s="1072">
        <v>8110</v>
      </c>
      <c r="F165" s="1090">
        <v>1290</v>
      </c>
      <c r="H165" s="1097"/>
    </row>
    <row r="166" spans="1:8" s="1066" customFormat="1" ht="14.25" customHeight="1" thickBot="1">
      <c r="A166" s="1078" t="s">
        <v>1412</v>
      </c>
      <c r="B166" s="1072" t="s">
        <v>1163</v>
      </c>
      <c r="C166" s="1072">
        <v>7490</v>
      </c>
      <c r="D166" s="1072">
        <v>7460</v>
      </c>
      <c r="E166" s="1072">
        <v>8150</v>
      </c>
      <c r="F166" s="1090">
        <v>1350</v>
      </c>
      <c r="H166" s="1097"/>
    </row>
    <row r="167" spans="1:8" s="1066" customFormat="1" ht="14.25" customHeight="1" thickBot="1">
      <c r="A167" s="1078" t="s">
        <v>1412</v>
      </c>
      <c r="B167" s="1072" t="s">
        <v>1173</v>
      </c>
      <c r="C167" s="1072">
        <v>7540</v>
      </c>
      <c r="D167" s="1072">
        <v>7510</v>
      </c>
      <c r="E167" s="1072">
        <v>8030</v>
      </c>
      <c r="F167" s="1099"/>
      <c r="H167" s="1097"/>
    </row>
    <row r="168" spans="1:8" s="1066" customFormat="1" ht="14.25" customHeight="1" thickBot="1">
      <c r="A168" s="1078" t="s">
        <v>1412</v>
      </c>
      <c r="B168" s="1072" t="s">
        <v>1183</v>
      </c>
      <c r="C168" s="1072">
        <v>7210</v>
      </c>
      <c r="D168" s="1072">
        <v>7180</v>
      </c>
      <c r="E168" s="1072">
        <v>7830</v>
      </c>
      <c r="F168" s="1099"/>
      <c r="H168" s="1097"/>
    </row>
    <row r="169" spans="1:8" s="1066" customFormat="1" ht="14.25" customHeight="1" thickBot="1">
      <c r="A169" s="1078" t="s">
        <v>1412</v>
      </c>
      <c r="B169" s="1072" t="s">
        <v>1193</v>
      </c>
      <c r="C169" s="1072">
        <v>7040</v>
      </c>
      <c r="D169" s="1072">
        <v>7020</v>
      </c>
      <c r="E169" s="1072">
        <v>7670</v>
      </c>
      <c r="F169" s="1099"/>
      <c r="H169" s="1097"/>
    </row>
    <row r="170" spans="1:8" s="1066" customFormat="1" ht="14.25" customHeight="1" thickBot="1">
      <c r="A170" s="1078" t="s">
        <v>1412</v>
      </c>
      <c r="B170" s="1072" t="s">
        <v>1203</v>
      </c>
      <c r="C170" s="1072">
        <v>8040</v>
      </c>
      <c r="D170" s="1072">
        <v>7190</v>
      </c>
      <c r="E170" s="1072">
        <v>7850</v>
      </c>
      <c r="F170" s="1099"/>
      <c r="H170" s="1097"/>
    </row>
    <row r="171" spans="1:8" s="1066" customFormat="1" ht="14.25" customHeight="1" thickBot="1">
      <c r="A171" s="1078" t="s">
        <v>1412</v>
      </c>
      <c r="B171" s="1072" t="s">
        <v>1213</v>
      </c>
      <c r="C171" s="1072">
        <v>7860</v>
      </c>
      <c r="D171" s="1072">
        <v>7720</v>
      </c>
      <c r="E171" s="1072">
        <v>8150</v>
      </c>
      <c r="F171" s="1090">
        <v>1110</v>
      </c>
      <c r="H171" s="1097"/>
    </row>
    <row r="172" spans="1:8" s="1066" customFormat="1" ht="14.25" customHeight="1" thickBot="1">
      <c r="A172" s="1078" t="s">
        <v>1412</v>
      </c>
      <c r="B172" s="1072" t="s">
        <v>1223</v>
      </c>
      <c r="C172" s="1072">
        <v>7210</v>
      </c>
      <c r="D172" s="1072">
        <v>7170</v>
      </c>
      <c r="E172" s="1072">
        <v>7320</v>
      </c>
      <c r="F172" s="1099"/>
      <c r="H172" s="1097"/>
    </row>
    <row r="173" spans="1:8" s="1066" customFormat="1" ht="14.25" customHeight="1" thickBot="1">
      <c r="A173" s="1078" t="s">
        <v>1412</v>
      </c>
      <c r="B173" s="1072" t="s">
        <v>1233</v>
      </c>
      <c r="C173" s="1072">
        <v>6860</v>
      </c>
      <c r="D173" s="1072">
        <v>6810</v>
      </c>
      <c r="E173" s="1072">
        <v>7440</v>
      </c>
      <c r="F173" s="1099"/>
      <c r="H173" s="1097"/>
    </row>
    <row r="174" spans="1:8" s="1066" customFormat="1" ht="14.25" customHeight="1" thickBot="1">
      <c r="A174" s="1078" t="s">
        <v>1412</v>
      </c>
      <c r="B174" s="1072" t="s">
        <v>1243</v>
      </c>
      <c r="C174" s="1072">
        <v>7120</v>
      </c>
      <c r="D174" s="1072">
        <v>7090</v>
      </c>
      <c r="E174" s="1072">
        <v>7500</v>
      </c>
      <c r="F174" s="1090">
        <v>1490</v>
      </c>
      <c r="H174" s="1097"/>
    </row>
    <row r="175" spans="1:8" s="1066" customFormat="1" ht="14.25" customHeight="1" thickBot="1">
      <c r="A175" s="1078" t="s">
        <v>1412</v>
      </c>
      <c r="B175" s="1072" t="s">
        <v>1253</v>
      </c>
      <c r="C175" s="1072">
        <v>7850</v>
      </c>
      <c r="D175" s="1072">
        <v>7820</v>
      </c>
      <c r="E175" s="1072">
        <v>8120</v>
      </c>
      <c r="F175" s="1090">
        <v>1530</v>
      </c>
      <c r="H175" s="1097"/>
    </row>
    <row r="176" spans="1:8" s="1066" customFormat="1" ht="14.25" customHeight="1" thickBot="1">
      <c r="A176" s="1078" t="s">
        <v>1412</v>
      </c>
      <c r="B176" s="1072" t="s">
        <v>1263</v>
      </c>
      <c r="C176" s="1072">
        <v>7620</v>
      </c>
      <c r="D176" s="1072">
        <v>7570</v>
      </c>
      <c r="E176" s="1072">
        <v>7990</v>
      </c>
      <c r="F176" s="1090">
        <v>1480</v>
      </c>
      <c r="H176" s="1097"/>
    </row>
    <row r="177" spans="1:8" s="1066" customFormat="1" ht="14.25" customHeight="1" thickBot="1">
      <c r="A177" s="1078" t="s">
        <v>1412</v>
      </c>
      <c r="B177" s="1072" t="s">
        <v>1272</v>
      </c>
      <c r="C177" s="1072">
        <v>8590</v>
      </c>
      <c r="D177" s="1072">
        <v>8570</v>
      </c>
      <c r="E177" s="1072">
        <v>8740</v>
      </c>
      <c r="F177" s="1090">
        <v>1540</v>
      </c>
      <c r="H177" s="1097"/>
    </row>
    <row r="178" spans="1:8" s="1066" customFormat="1" ht="14.25" customHeight="1" thickBot="1">
      <c r="A178" s="1078" t="s">
        <v>1412</v>
      </c>
      <c r="B178" s="1072" t="s">
        <v>1281</v>
      </c>
      <c r="C178" s="1072">
        <v>7510</v>
      </c>
      <c r="D178" s="1072">
        <v>7470</v>
      </c>
      <c r="E178" s="1072">
        <v>8090</v>
      </c>
      <c r="F178" s="1090">
        <v>1320</v>
      </c>
      <c r="H178" s="1097"/>
    </row>
    <row r="179" spans="1:8" s="1066" customFormat="1" ht="14.25" customHeight="1" thickBot="1">
      <c r="A179" s="1078" t="s">
        <v>1412</v>
      </c>
      <c r="B179" s="1072" t="s">
        <v>1289</v>
      </c>
      <c r="C179" s="1072">
        <v>6380</v>
      </c>
      <c r="D179" s="1072">
        <v>6340</v>
      </c>
      <c r="E179" s="1072">
        <v>6810</v>
      </c>
      <c r="F179" s="1099"/>
      <c r="H179" s="1097"/>
    </row>
    <row r="180" spans="1:8" s="1066" customFormat="1" ht="14.25" customHeight="1" thickBot="1">
      <c r="A180" s="1078" t="s">
        <v>1412</v>
      </c>
      <c r="B180" s="1072" t="s">
        <v>1296</v>
      </c>
      <c r="C180" s="1072">
        <v>7830</v>
      </c>
      <c r="D180" s="1072">
        <v>7800</v>
      </c>
      <c r="E180" s="1072">
        <v>7780</v>
      </c>
      <c r="F180" s="1090">
        <v>1440</v>
      </c>
      <c r="H180" s="1097"/>
    </row>
    <row r="181" spans="1:8" s="1066" customFormat="1" ht="14.25" customHeight="1" thickBot="1">
      <c r="A181" s="1078" t="s">
        <v>1412</v>
      </c>
      <c r="B181" s="1072" t="s">
        <v>1303</v>
      </c>
      <c r="C181" s="1072">
        <v>7110</v>
      </c>
      <c r="D181" s="1072">
        <v>7080</v>
      </c>
      <c r="E181" s="1072">
        <v>7730</v>
      </c>
      <c r="F181" s="1090">
        <v>1350</v>
      </c>
      <c r="H181" s="1097"/>
    </row>
    <row r="182" spans="1:8" s="1066" customFormat="1" ht="14.25" customHeight="1" thickBot="1">
      <c r="A182" s="1078" t="s">
        <v>1412</v>
      </c>
      <c r="B182" s="1072" t="s">
        <v>1310</v>
      </c>
      <c r="C182" s="1072">
        <v>7310</v>
      </c>
      <c r="D182" s="1072">
        <v>7280</v>
      </c>
      <c r="E182" s="1072">
        <v>7950</v>
      </c>
      <c r="F182" s="1090">
        <v>1220</v>
      </c>
      <c r="H182" s="1097"/>
    </row>
    <row r="183" spans="1:8" s="1066" customFormat="1" ht="14.25" customHeight="1" thickBot="1">
      <c r="A183" s="1078" t="s">
        <v>1412</v>
      </c>
      <c r="B183" s="1072" t="s">
        <v>1317</v>
      </c>
      <c r="C183" s="1072">
        <v>7470</v>
      </c>
      <c r="D183" s="1072">
        <v>7440</v>
      </c>
      <c r="E183" s="1072">
        <v>7880</v>
      </c>
      <c r="F183" s="1099"/>
      <c r="H183" s="1097"/>
    </row>
    <row r="184" spans="1:8" s="1066" customFormat="1" ht="14.25" customHeight="1" thickBot="1">
      <c r="A184" s="1078" t="s">
        <v>1412</v>
      </c>
      <c r="B184" s="1072" t="s">
        <v>1324</v>
      </c>
      <c r="C184" s="1072">
        <v>6960</v>
      </c>
      <c r="D184" s="1072">
        <v>6930</v>
      </c>
      <c r="E184" s="1072">
        <v>7570</v>
      </c>
      <c r="F184" s="1099"/>
      <c r="H184" s="1097"/>
    </row>
    <row r="185" spans="1:8" s="1066" customFormat="1" ht="14.25" customHeight="1" thickBot="1">
      <c r="A185" s="1078" t="s">
        <v>1412</v>
      </c>
      <c r="B185" s="1072" t="s">
        <v>1331</v>
      </c>
      <c r="C185" s="1072">
        <v>7260</v>
      </c>
      <c r="D185" s="1072">
        <v>7230</v>
      </c>
      <c r="E185" s="1072">
        <v>7710</v>
      </c>
      <c r="F185" s="1090">
        <v>1360</v>
      </c>
      <c r="H185" s="1097"/>
    </row>
    <row r="186" spans="1:8" s="1066" customFormat="1" ht="14.25" customHeight="1" thickBot="1">
      <c r="A186" s="1078" t="s">
        <v>1412</v>
      </c>
      <c r="B186" s="1072" t="s">
        <v>1336</v>
      </c>
      <c r="C186" s="1072"/>
      <c r="D186" s="1072"/>
      <c r="E186" s="1072"/>
      <c r="F186" s="1090">
        <v>1560</v>
      </c>
      <c r="H186" s="1097"/>
    </row>
    <row r="187" spans="1:8" s="1066" customFormat="1" ht="14.25" customHeight="1" thickBot="1">
      <c r="A187" s="1078" t="s">
        <v>1412</v>
      </c>
      <c r="B187" s="1072" t="s">
        <v>1340</v>
      </c>
      <c r="C187" s="1072"/>
      <c r="D187" s="1072"/>
      <c r="E187" s="1072"/>
      <c r="F187" s="1090">
        <v>1560</v>
      </c>
      <c r="H187" s="1097"/>
    </row>
    <row r="188" spans="1:8" s="1066" customFormat="1" ht="14.25" customHeight="1" thickBot="1">
      <c r="A188" s="1078" t="s">
        <v>1412</v>
      </c>
      <c r="B188" s="1072" t="s">
        <v>1345</v>
      </c>
      <c r="C188" s="1072"/>
      <c r="D188" s="1072"/>
      <c r="E188" s="1072"/>
      <c r="F188" s="1090">
        <v>1560</v>
      </c>
      <c r="H188" s="1097"/>
    </row>
    <row r="189" spans="1:8" s="1066" customFormat="1" ht="14.25" customHeight="1" thickBot="1">
      <c r="A189" s="1078" t="s">
        <v>1412</v>
      </c>
      <c r="B189" s="1072" t="s">
        <v>1350</v>
      </c>
      <c r="C189" s="1072"/>
      <c r="D189" s="1072"/>
      <c r="E189" s="1072"/>
      <c r="F189" s="1090">
        <v>1320</v>
      </c>
      <c r="H189" s="1097"/>
    </row>
    <row r="190" spans="1:8" s="1066" customFormat="1" ht="14.25" customHeight="1" thickBot="1">
      <c r="A190" s="1078" t="s">
        <v>1412</v>
      </c>
      <c r="B190" s="1072" t="s">
        <v>1355</v>
      </c>
      <c r="C190" s="1072"/>
      <c r="D190" s="1072"/>
      <c r="E190" s="1072"/>
      <c r="F190" s="1090">
        <v>1320</v>
      </c>
      <c r="H190" s="1097"/>
    </row>
    <row r="191" spans="1:8" s="1066" customFormat="1" ht="14.25" customHeight="1" thickBot="1">
      <c r="A191" s="1078" t="s">
        <v>1412</v>
      </c>
      <c r="B191" s="1072" t="s">
        <v>1360</v>
      </c>
      <c r="C191" s="1072"/>
      <c r="D191" s="1072"/>
      <c r="E191" s="1072"/>
      <c r="F191" s="1090">
        <v>1320</v>
      </c>
      <c r="H191" s="1097"/>
    </row>
    <row r="192" spans="1:8" s="1066" customFormat="1" ht="14.25" customHeight="1" thickBot="1">
      <c r="A192" s="1078" t="s">
        <v>1412</v>
      </c>
      <c r="B192" s="1072" t="s">
        <v>1364</v>
      </c>
      <c r="C192" s="1072"/>
      <c r="D192" s="1072"/>
      <c r="E192" s="1072"/>
      <c r="F192" s="1090">
        <v>1100</v>
      </c>
      <c r="H192" s="1097"/>
    </row>
    <row r="193" spans="1:8" s="1066" customFormat="1" ht="14.25" customHeight="1" thickBot="1">
      <c r="A193" s="1078" t="s">
        <v>1412</v>
      </c>
      <c r="B193" s="1072" t="s">
        <v>1368</v>
      </c>
      <c r="C193" s="1072"/>
      <c r="D193" s="1072"/>
      <c r="E193" s="1072"/>
      <c r="F193" s="1090">
        <v>1100</v>
      </c>
      <c r="H193" s="1097"/>
    </row>
    <row r="194" spans="1:8" s="1066" customFormat="1" ht="14.25" customHeight="1" thickBot="1">
      <c r="A194" s="1078" t="s">
        <v>1412</v>
      </c>
      <c r="B194" s="1072" t="s">
        <v>1372</v>
      </c>
      <c r="C194" s="1072"/>
      <c r="D194" s="1072"/>
      <c r="E194" s="1072"/>
      <c r="F194" s="1090">
        <v>1080</v>
      </c>
      <c r="H194" s="1097"/>
    </row>
    <row r="195" spans="1:8" s="1066" customFormat="1" ht="14.25" customHeight="1" thickBot="1">
      <c r="A195" s="1078" t="s">
        <v>1412</v>
      </c>
      <c r="B195" s="1072" t="s">
        <v>1376</v>
      </c>
      <c r="C195" s="1072"/>
      <c r="D195" s="1072"/>
      <c r="E195" s="1072"/>
      <c r="F195" s="1090">
        <v>1270</v>
      </c>
      <c r="H195" s="1097"/>
    </row>
    <row r="196" spans="1:8" s="1066" customFormat="1" ht="14.25" customHeight="1" thickBot="1">
      <c r="A196" s="1078" t="s">
        <v>1412</v>
      </c>
      <c r="B196" s="1072" t="s">
        <v>1380</v>
      </c>
      <c r="C196" s="1072"/>
      <c r="D196" s="1072"/>
      <c r="E196" s="1072"/>
      <c r="F196" s="1090">
        <v>1150</v>
      </c>
      <c r="H196" s="1097"/>
    </row>
    <row r="197" spans="1:8" s="1066" customFormat="1" ht="14.25" customHeight="1" thickBot="1">
      <c r="A197" s="1078" t="s">
        <v>1412</v>
      </c>
      <c r="B197" s="1072" t="s">
        <v>1384</v>
      </c>
      <c r="C197" s="1072"/>
      <c r="D197" s="1072"/>
      <c r="E197" s="1072"/>
      <c r="F197" s="1090">
        <v>1330</v>
      </c>
      <c r="H197" s="1097"/>
    </row>
    <row r="198" spans="1:8" s="1066" customFormat="1" ht="14.25" customHeight="1" thickBot="1">
      <c r="A198" s="1078" t="s">
        <v>1412</v>
      </c>
      <c r="B198" s="1072" t="s">
        <v>1387</v>
      </c>
      <c r="C198" s="1072"/>
      <c r="D198" s="1072"/>
      <c r="E198" s="1072"/>
      <c r="F198" s="1090">
        <v>1170</v>
      </c>
      <c r="H198" s="1097"/>
    </row>
    <row r="199" spans="1:8" s="1066" customFormat="1" ht="14.25" customHeight="1" thickBot="1">
      <c r="A199" s="1078" t="s">
        <v>1412</v>
      </c>
      <c r="B199" s="1072" t="s">
        <v>1390</v>
      </c>
      <c r="C199" s="1072"/>
      <c r="D199" s="1072"/>
      <c r="E199" s="1072"/>
      <c r="F199" s="1090">
        <v>1120</v>
      </c>
      <c r="H199" s="1097"/>
    </row>
    <row r="200" spans="1:8" s="1066" customFormat="1" ht="14.25" customHeight="1" thickBot="1">
      <c r="A200" s="1078" t="s">
        <v>1412</v>
      </c>
      <c r="B200" s="1072" t="s">
        <v>1393</v>
      </c>
      <c r="C200" s="1072"/>
      <c r="D200" s="1072"/>
      <c r="E200" s="1072"/>
      <c r="F200" s="1090">
        <v>1120</v>
      </c>
      <c r="H200" s="1097"/>
    </row>
    <row r="201" spans="1:8" s="1066" customFormat="1" ht="14.25" customHeight="1" thickBot="1">
      <c r="A201" s="1078" t="s">
        <v>1412</v>
      </c>
      <c r="B201" s="1072" t="s">
        <v>1396</v>
      </c>
      <c r="C201" s="1072"/>
      <c r="D201" s="1072"/>
      <c r="E201" s="1072"/>
      <c r="F201" s="1090">
        <v>1540</v>
      </c>
      <c r="H201" s="1097"/>
    </row>
    <row r="202" spans="1:8" s="1066" customFormat="1" ht="14.25" customHeight="1" thickBot="1">
      <c r="A202" s="1078" t="s">
        <v>1412</v>
      </c>
      <c r="B202" s="1072" t="s">
        <v>1399</v>
      </c>
      <c r="C202" s="1072"/>
      <c r="D202" s="1072"/>
      <c r="E202" s="1072"/>
      <c r="F202" s="1090">
        <v>1310</v>
      </c>
      <c r="H202" s="1097"/>
    </row>
    <row r="203" spans="1:8" s="1066" customFormat="1" ht="14.25" customHeight="1" thickBot="1">
      <c r="A203" s="1078" t="s">
        <v>1412</v>
      </c>
      <c r="B203" s="1072" t="s">
        <v>1402</v>
      </c>
      <c r="C203" s="1072"/>
      <c r="D203" s="1072"/>
      <c r="E203" s="1072"/>
      <c r="F203" s="1090">
        <v>1310</v>
      </c>
      <c r="H203" s="1097"/>
    </row>
    <row r="204" spans="1:8" s="1066" customFormat="1" ht="14.25" customHeight="1" thickBot="1">
      <c r="A204" s="1078" t="s">
        <v>1412</v>
      </c>
      <c r="B204" s="1072" t="s">
        <v>1404</v>
      </c>
      <c r="C204" s="1072"/>
      <c r="D204" s="1072"/>
      <c r="E204" s="1072"/>
      <c r="F204" s="1090">
        <v>1080</v>
      </c>
      <c r="H204" s="1097"/>
    </row>
    <row r="205" spans="1:8" s="1066" customFormat="1" ht="14.25" customHeight="1" thickBot="1">
      <c r="A205" s="1078" t="s">
        <v>1412</v>
      </c>
      <c r="B205" s="1072" t="s">
        <v>1407</v>
      </c>
      <c r="C205" s="1072"/>
      <c r="D205" s="1072"/>
      <c r="E205" s="1072"/>
      <c r="F205" s="1090">
        <v>1080</v>
      </c>
      <c r="H205" s="1097"/>
    </row>
    <row r="206" spans="1:8" s="1066" customFormat="1" ht="14.25" customHeight="1" thickBot="1">
      <c r="A206" s="1078" t="s">
        <v>1414</v>
      </c>
      <c r="B206" s="1079" t="s">
        <v>1415</v>
      </c>
      <c r="C206" s="1079">
        <v>5450</v>
      </c>
      <c r="D206" s="1079">
        <v>5430</v>
      </c>
      <c r="E206" s="1079">
        <v>5700</v>
      </c>
      <c r="F206" s="1080">
        <v>1020</v>
      </c>
      <c r="H206" s="1097"/>
    </row>
    <row r="207" spans="1:8" s="1066" customFormat="1" ht="14.25" customHeight="1" thickBot="1">
      <c r="A207" s="1078" t="s">
        <v>1414</v>
      </c>
      <c r="B207" s="1072" t="s">
        <v>1078</v>
      </c>
      <c r="C207" s="1072">
        <v>5860</v>
      </c>
      <c r="D207" s="1072">
        <v>5820</v>
      </c>
      <c r="E207" s="1072">
        <v>6050</v>
      </c>
      <c r="F207" s="1090">
        <v>1080</v>
      </c>
      <c r="H207" s="1097"/>
    </row>
    <row r="208" spans="1:8" s="1066" customFormat="1" ht="14.25" customHeight="1" thickBot="1">
      <c r="A208" s="1078" t="s">
        <v>1414</v>
      </c>
      <c r="B208" s="1072" t="s">
        <v>1092</v>
      </c>
      <c r="C208" s="1072">
        <v>4630</v>
      </c>
      <c r="D208" s="1072">
        <v>4600</v>
      </c>
      <c r="E208" s="1072">
        <v>4840</v>
      </c>
      <c r="F208" s="1090">
        <v>900</v>
      </c>
      <c r="H208" s="1097"/>
    </row>
    <row r="209" spans="1:8" s="1066" customFormat="1" ht="14.25" customHeight="1" thickBot="1">
      <c r="A209" s="1078" t="s">
        <v>1414</v>
      </c>
      <c r="B209" s="1072" t="s">
        <v>1105</v>
      </c>
      <c r="C209" s="1072">
        <v>5320</v>
      </c>
      <c r="D209" s="1072">
        <v>5270</v>
      </c>
      <c r="E209" s="1072">
        <v>5540</v>
      </c>
      <c r="F209" s="1090">
        <v>980</v>
      </c>
      <c r="H209" s="1097"/>
    </row>
    <row r="210" spans="1:8" s="1066" customFormat="1" ht="14.25" customHeight="1" thickBot="1">
      <c r="A210" s="1078" t="s">
        <v>1414</v>
      </c>
      <c r="B210" s="1072" t="s">
        <v>1119</v>
      </c>
      <c r="C210" s="1072">
        <v>5760</v>
      </c>
      <c r="D210" s="1072">
        <v>5710</v>
      </c>
      <c r="E210" s="1072">
        <v>6010</v>
      </c>
      <c r="F210" s="1090">
        <v>870</v>
      </c>
      <c r="H210" s="1097"/>
    </row>
    <row r="211" spans="1:8" s="1066" customFormat="1" ht="14.25" customHeight="1" thickBot="1">
      <c r="A211" s="1078" t="s">
        <v>1414</v>
      </c>
      <c r="B211" s="1072" t="s">
        <v>1130</v>
      </c>
      <c r="C211" s="1072">
        <v>4160</v>
      </c>
      <c r="D211" s="1072">
        <v>4100</v>
      </c>
      <c r="E211" s="1072">
        <v>4270</v>
      </c>
      <c r="F211" s="1090">
        <v>790</v>
      </c>
      <c r="H211" s="1097"/>
    </row>
    <row r="212" spans="1:8" s="1066" customFormat="1" ht="14.25" customHeight="1" thickBot="1">
      <c r="A212" s="1078" t="s">
        <v>1414</v>
      </c>
      <c r="B212" s="1072" t="s">
        <v>1141</v>
      </c>
      <c r="C212" s="1072">
        <v>4880</v>
      </c>
      <c r="D212" s="1072">
        <v>4850</v>
      </c>
      <c r="E212" s="1072">
        <v>5110</v>
      </c>
      <c r="F212" s="1090">
        <v>940</v>
      </c>
      <c r="H212" s="1097"/>
    </row>
    <row r="213" spans="1:8" s="1066" customFormat="1" ht="14.25" customHeight="1" thickBot="1">
      <c r="A213" s="1078" t="s">
        <v>1414</v>
      </c>
      <c r="B213" s="1072" t="s">
        <v>1152</v>
      </c>
      <c r="C213" s="1072">
        <v>4640</v>
      </c>
      <c r="D213" s="1072">
        <v>4590</v>
      </c>
      <c r="E213" s="1072">
        <v>4700</v>
      </c>
      <c r="F213" s="1090">
        <v>1030</v>
      </c>
      <c r="H213" s="1097"/>
    </row>
    <row r="214" spans="1:8" s="1066" customFormat="1" ht="14.25" customHeight="1" thickBot="1">
      <c r="A214" s="1078" t="s">
        <v>1414</v>
      </c>
      <c r="B214" s="1072" t="s">
        <v>1164</v>
      </c>
      <c r="C214" s="1072">
        <v>4540</v>
      </c>
      <c r="D214" s="1072">
        <v>4490</v>
      </c>
      <c r="E214" s="1072">
        <v>4610</v>
      </c>
      <c r="F214" s="1099"/>
      <c r="H214" s="1097"/>
    </row>
    <row r="215" spans="1:8" s="1066" customFormat="1" ht="14.25" customHeight="1" thickBot="1">
      <c r="A215" s="1078" t="s">
        <v>1414</v>
      </c>
      <c r="B215" s="1072" t="s">
        <v>1174</v>
      </c>
      <c r="C215" s="1072">
        <v>5280</v>
      </c>
      <c r="D215" s="1072">
        <v>5250</v>
      </c>
      <c r="E215" s="1072">
        <v>5520</v>
      </c>
      <c r="F215" s="1090">
        <v>1000</v>
      </c>
      <c r="H215" s="1097"/>
    </row>
    <row r="216" spans="1:8" s="1066" customFormat="1" ht="14.25" customHeight="1" thickBot="1">
      <c r="A216" s="1078" t="s">
        <v>1414</v>
      </c>
      <c r="B216" s="1072" t="s">
        <v>1184</v>
      </c>
      <c r="C216" s="1072">
        <v>5100</v>
      </c>
      <c r="D216" s="1072">
        <v>5050</v>
      </c>
      <c r="E216" s="1072">
        <v>5300</v>
      </c>
      <c r="F216" s="1090">
        <v>950</v>
      </c>
      <c r="H216" s="1097"/>
    </row>
    <row r="217" spans="1:8" s="1066" customFormat="1" ht="14.25" customHeight="1" thickBot="1">
      <c r="A217" s="1078" t="s">
        <v>1414</v>
      </c>
      <c r="B217" s="1072" t="s">
        <v>1194</v>
      </c>
      <c r="C217" s="1072">
        <v>5370</v>
      </c>
      <c r="D217" s="1072">
        <v>5320</v>
      </c>
      <c r="E217" s="1072">
        <v>5410</v>
      </c>
      <c r="F217" s="1090">
        <v>950</v>
      </c>
      <c r="H217" s="1097"/>
    </row>
    <row r="218" spans="1:8" s="1066" customFormat="1" ht="14.25" customHeight="1" thickBot="1">
      <c r="A218" s="1078" t="s">
        <v>1414</v>
      </c>
      <c r="B218" s="1072" t="s">
        <v>1204</v>
      </c>
      <c r="C218" s="1072">
        <v>5540</v>
      </c>
      <c r="D218" s="1072">
        <v>5480</v>
      </c>
      <c r="E218" s="1072">
        <v>5740</v>
      </c>
      <c r="F218" s="1090">
        <v>1020</v>
      </c>
      <c r="H218" s="1097"/>
    </row>
    <row r="219" spans="1:8" s="1066" customFormat="1" ht="14.25" customHeight="1" thickBot="1">
      <c r="A219" s="1078" t="s">
        <v>1414</v>
      </c>
      <c r="B219" s="1072" t="s">
        <v>1214</v>
      </c>
      <c r="C219" s="1072">
        <v>5140</v>
      </c>
      <c r="D219" s="1072">
        <v>5100</v>
      </c>
      <c r="E219" s="1072">
        <v>5350</v>
      </c>
      <c r="F219" s="1090">
        <v>1120</v>
      </c>
      <c r="H219" s="1097"/>
    </row>
    <row r="220" spans="1:8" s="1066" customFormat="1" ht="14.25" customHeight="1" thickBot="1">
      <c r="A220" s="1078" t="s">
        <v>1414</v>
      </c>
      <c r="B220" s="1072" t="s">
        <v>1224</v>
      </c>
      <c r="C220" s="1072">
        <v>5040</v>
      </c>
      <c r="D220" s="1072">
        <v>5000</v>
      </c>
      <c r="E220" s="1072">
        <v>5240</v>
      </c>
      <c r="F220" s="1090">
        <v>980</v>
      </c>
      <c r="H220" s="1097"/>
    </row>
    <row r="221" spans="1:8" s="1066" customFormat="1" ht="14.25" customHeight="1" thickBot="1">
      <c r="A221" s="1078" t="s">
        <v>1414</v>
      </c>
      <c r="B221" s="1072" t="s">
        <v>1234</v>
      </c>
      <c r="C221" s="1100"/>
      <c r="D221" s="1100"/>
      <c r="E221" s="1100"/>
      <c r="F221" s="1090">
        <v>1070</v>
      </c>
      <c r="H221" s="1097"/>
    </row>
    <row r="222" spans="1:8" s="1066" customFormat="1" ht="14.25" customHeight="1" thickBot="1">
      <c r="A222" s="1078" t="s">
        <v>1414</v>
      </c>
      <c r="B222" s="1072" t="s">
        <v>1244</v>
      </c>
      <c r="C222" s="1100"/>
      <c r="D222" s="1100"/>
      <c r="E222" s="1100"/>
      <c r="F222" s="1090">
        <v>870</v>
      </c>
      <c r="H222" s="1097"/>
    </row>
    <row r="223" spans="1:8" s="1066" customFormat="1" ht="14.25" customHeight="1" thickBot="1">
      <c r="A223" s="1078" t="s">
        <v>1414</v>
      </c>
      <c r="B223" s="1072" t="s">
        <v>1254</v>
      </c>
      <c r="C223" s="1100"/>
      <c r="D223" s="1100"/>
      <c r="E223" s="1100"/>
      <c r="F223" s="1090">
        <v>940</v>
      </c>
      <c r="H223" s="1097"/>
    </row>
    <row r="224" spans="1:8" s="1066" customFormat="1" ht="14.25" customHeight="1" thickBot="1">
      <c r="A224" s="1078" t="s">
        <v>1414</v>
      </c>
      <c r="B224" s="1072" t="s">
        <v>1264</v>
      </c>
      <c r="C224" s="1100"/>
      <c r="D224" s="1100"/>
      <c r="E224" s="1100"/>
      <c r="F224" s="1090">
        <v>990</v>
      </c>
      <c r="H224" s="1097"/>
    </row>
    <row r="225" spans="1:8" s="1066" customFormat="1" ht="14.25" customHeight="1" thickBot="1">
      <c r="A225" s="1078" t="s">
        <v>1414</v>
      </c>
      <c r="B225" s="1072" t="s">
        <v>1273</v>
      </c>
      <c r="C225" s="1072">
        <v>5730</v>
      </c>
      <c r="D225" s="1072">
        <v>5680</v>
      </c>
      <c r="E225" s="1072">
        <v>6020</v>
      </c>
      <c r="F225" s="1090">
        <v>1000</v>
      </c>
      <c r="H225" s="1097"/>
    </row>
    <row r="226" spans="1:8" s="1066" customFormat="1" ht="14.25" customHeight="1" thickBot="1">
      <c r="A226" s="1078" t="s">
        <v>1414</v>
      </c>
      <c r="B226" s="1072" t="s">
        <v>1282</v>
      </c>
      <c r="C226" s="1072">
        <v>4970</v>
      </c>
      <c r="D226" s="1072">
        <v>4940</v>
      </c>
      <c r="E226" s="1072">
        <v>5180</v>
      </c>
      <c r="F226" s="1090">
        <v>960</v>
      </c>
      <c r="H226" s="1097"/>
    </row>
    <row r="227" spans="1:8" s="1066" customFormat="1" ht="14.25" customHeight="1" thickBot="1">
      <c r="A227" s="1078" t="s">
        <v>1414</v>
      </c>
      <c r="B227" s="1072" t="s">
        <v>1290</v>
      </c>
      <c r="C227" s="1072">
        <v>5550</v>
      </c>
      <c r="D227" s="1072">
        <v>5500</v>
      </c>
      <c r="E227" s="1072">
        <v>5780</v>
      </c>
      <c r="F227" s="1090">
        <v>940</v>
      </c>
      <c r="H227" s="1097"/>
    </row>
    <row r="228" spans="1:8" s="1066" customFormat="1" ht="14.25" customHeight="1" thickBot="1">
      <c r="A228" s="1078" t="s">
        <v>1414</v>
      </c>
      <c r="B228" s="1072" t="s">
        <v>1297</v>
      </c>
      <c r="C228" s="1072">
        <v>5460</v>
      </c>
      <c r="D228" s="1072">
        <v>5420</v>
      </c>
      <c r="E228" s="1072">
        <v>5690</v>
      </c>
      <c r="F228" s="1090">
        <v>910</v>
      </c>
      <c r="H228" s="1097"/>
    </row>
    <row r="229" spans="1:8" s="1066" customFormat="1" ht="14.25" customHeight="1" thickBot="1">
      <c r="A229" s="1078" t="s">
        <v>1414</v>
      </c>
      <c r="B229" s="1072" t="s">
        <v>1304</v>
      </c>
      <c r="C229" s="1072">
        <v>5310</v>
      </c>
      <c r="D229" s="1072">
        <v>5270</v>
      </c>
      <c r="E229" s="1072">
        <v>5510</v>
      </c>
      <c r="F229" s="1099"/>
      <c r="H229" s="1097"/>
    </row>
    <row r="230" spans="1:8" s="1066" customFormat="1" ht="14.25" customHeight="1" thickBot="1">
      <c r="A230" s="1078" t="s">
        <v>1414</v>
      </c>
      <c r="B230" s="1072" t="s">
        <v>1311</v>
      </c>
      <c r="C230" s="1072">
        <v>4540</v>
      </c>
      <c r="D230" s="1072">
        <v>4500</v>
      </c>
      <c r="E230" s="1072">
        <v>4730</v>
      </c>
      <c r="F230" s="1099"/>
      <c r="H230" s="1097"/>
    </row>
    <row r="231" spans="1:8" s="1066" customFormat="1" ht="14.25" customHeight="1" thickBot="1">
      <c r="A231" s="1078" t="s">
        <v>1414</v>
      </c>
      <c r="B231" s="1072" t="s">
        <v>1318</v>
      </c>
      <c r="C231" s="1072">
        <v>4480</v>
      </c>
      <c r="D231" s="1072">
        <v>4410</v>
      </c>
      <c r="E231" s="1072">
        <v>4640</v>
      </c>
      <c r="F231" s="1099"/>
      <c r="H231" s="1097"/>
    </row>
    <row r="232" spans="1:8" s="1066" customFormat="1" ht="14.25" customHeight="1" thickBot="1">
      <c r="A232" s="1078" t="s">
        <v>1414</v>
      </c>
      <c r="B232" s="1072" t="s">
        <v>1325</v>
      </c>
      <c r="C232" s="1072">
        <v>5670</v>
      </c>
      <c r="D232" s="1072">
        <v>5600</v>
      </c>
      <c r="E232" s="1072">
        <v>5890</v>
      </c>
      <c r="F232" s="1090">
        <v>1150</v>
      </c>
      <c r="H232" s="1097"/>
    </row>
    <row r="233" spans="1:8" s="1066" customFormat="1" ht="14.25" customHeight="1" thickBot="1">
      <c r="A233" s="1078" t="s">
        <v>1414</v>
      </c>
      <c r="B233" s="1072" t="s">
        <v>1332</v>
      </c>
      <c r="C233" s="1072">
        <v>4590</v>
      </c>
      <c r="D233" s="1072">
        <v>4500</v>
      </c>
      <c r="E233" s="1072">
        <v>4600</v>
      </c>
      <c r="F233" s="1099"/>
      <c r="H233" s="1097"/>
    </row>
    <row r="234" spans="1:8" s="1066" customFormat="1" ht="14.25" customHeight="1" thickBot="1">
      <c r="A234" s="1078" t="s">
        <v>1414</v>
      </c>
      <c r="B234" s="1072" t="s">
        <v>2423</v>
      </c>
      <c r="C234" s="1072">
        <v>3990</v>
      </c>
      <c r="D234" s="1072">
        <v>3950</v>
      </c>
      <c r="E234" s="1072">
        <v>4180</v>
      </c>
      <c r="F234" s="1099"/>
      <c r="H234" s="1097"/>
    </row>
    <row r="235" spans="1:8" s="1066" customFormat="1" ht="14.25" customHeight="1" thickBot="1">
      <c r="A235" s="1078" t="s">
        <v>1414</v>
      </c>
      <c r="B235" s="1072" t="s">
        <v>1341</v>
      </c>
      <c r="C235" s="1072">
        <v>5590</v>
      </c>
      <c r="D235" s="1072">
        <v>5540</v>
      </c>
      <c r="E235" s="1072">
        <v>5810</v>
      </c>
      <c r="F235" s="1090">
        <v>970</v>
      </c>
      <c r="H235" s="1097"/>
    </row>
    <row r="236" spans="1:8" s="1066" customFormat="1" ht="14.25" customHeight="1" thickBot="1">
      <c r="A236" s="1078" t="s">
        <v>1414</v>
      </c>
      <c r="B236" s="1072" t="s">
        <v>1346</v>
      </c>
      <c r="C236" s="1072"/>
      <c r="D236" s="1072"/>
      <c r="E236" s="1072"/>
      <c r="F236" s="1090">
        <v>1020</v>
      </c>
      <c r="H236" s="1097"/>
    </row>
    <row r="237" spans="1:8" s="1066" customFormat="1" ht="14.25" customHeight="1" thickBot="1">
      <c r="A237" s="1078" t="s">
        <v>1414</v>
      </c>
      <c r="B237" s="1072" t="s">
        <v>1351</v>
      </c>
      <c r="C237" s="1072"/>
      <c r="D237" s="1072"/>
      <c r="E237" s="1072"/>
      <c r="F237" s="1090">
        <v>960</v>
      </c>
      <c r="H237" s="1097"/>
    </row>
    <row r="238" spans="1:8" s="1066" customFormat="1" ht="14.25" customHeight="1" thickBot="1">
      <c r="A238" s="1078" t="s">
        <v>1414</v>
      </c>
      <c r="B238" s="1072" t="s">
        <v>1356</v>
      </c>
      <c r="C238" s="1072"/>
      <c r="D238" s="1072"/>
      <c r="E238" s="1072"/>
      <c r="F238" s="1090">
        <v>960</v>
      </c>
      <c r="H238" s="1097"/>
    </row>
    <row r="239" spans="1:8" s="1066" customFormat="1" ht="14.25" customHeight="1" thickBot="1">
      <c r="A239" s="1078" t="s">
        <v>1414</v>
      </c>
      <c r="B239" s="1072" t="s">
        <v>1361</v>
      </c>
      <c r="C239" s="1072"/>
      <c r="D239" s="1072"/>
      <c r="E239" s="1072"/>
      <c r="F239" s="1090">
        <v>960</v>
      </c>
      <c r="H239" s="1097"/>
    </row>
    <row r="240" spans="1:8" s="1066" customFormat="1" ht="14.25" customHeight="1" thickBot="1">
      <c r="A240" s="1078" t="s">
        <v>1414</v>
      </c>
      <c r="B240" s="1072" t="s">
        <v>1365</v>
      </c>
      <c r="C240" s="1072"/>
      <c r="D240" s="1072"/>
      <c r="E240" s="1072"/>
      <c r="F240" s="1090">
        <v>990</v>
      </c>
      <c r="H240" s="1097"/>
    </row>
    <row r="241" spans="1:8" s="1066" customFormat="1" ht="14.25" customHeight="1" thickBot="1">
      <c r="A241" s="1078" t="s">
        <v>1414</v>
      </c>
      <c r="B241" s="1072" t="s">
        <v>1369</v>
      </c>
      <c r="C241" s="1072"/>
      <c r="D241" s="1072"/>
      <c r="E241" s="1072"/>
      <c r="F241" s="1090">
        <v>1000</v>
      </c>
      <c r="H241" s="1097"/>
    </row>
    <row r="242" spans="1:8" s="1066" customFormat="1" ht="14.25" customHeight="1" thickBot="1">
      <c r="A242" s="1078" t="s">
        <v>1414</v>
      </c>
      <c r="B242" s="1072" t="s">
        <v>1373</v>
      </c>
      <c r="C242" s="1072"/>
      <c r="D242" s="1072"/>
      <c r="E242" s="1072"/>
      <c r="F242" s="1090">
        <v>980</v>
      </c>
      <c r="H242" s="1097"/>
    </row>
    <row r="243" spans="1:8" s="1066" customFormat="1" ht="14.25" customHeight="1" thickBot="1">
      <c r="A243" s="1078" t="s">
        <v>1414</v>
      </c>
      <c r="B243" s="1072" t="s">
        <v>1377</v>
      </c>
      <c r="C243" s="1072"/>
      <c r="D243" s="1072"/>
      <c r="E243" s="1072"/>
      <c r="F243" s="1090">
        <v>970</v>
      </c>
      <c r="H243" s="1097"/>
    </row>
    <row r="244" spans="1:8" s="1066" customFormat="1" ht="14.25" customHeight="1" thickBot="1">
      <c r="A244" s="1078" t="s">
        <v>1414</v>
      </c>
      <c r="B244" s="1088" t="s">
        <v>1381</v>
      </c>
      <c r="C244" s="1088"/>
      <c r="D244" s="1088"/>
      <c r="E244" s="1088"/>
      <c r="F244" s="1098">
        <v>970</v>
      </c>
      <c r="H244" s="1097"/>
    </row>
    <row r="245" spans="1:8" s="1066" customFormat="1" ht="14.25" customHeight="1" thickBot="1">
      <c r="A245" s="1078" t="s">
        <v>1416</v>
      </c>
      <c r="B245" s="1079" t="s">
        <v>1417</v>
      </c>
      <c r="C245" s="1079">
        <v>4050</v>
      </c>
      <c r="D245" s="1079">
        <v>4020</v>
      </c>
      <c r="E245" s="1079">
        <v>4160</v>
      </c>
      <c r="F245" s="1080">
        <v>840</v>
      </c>
      <c r="H245" s="1097"/>
    </row>
    <row r="246" spans="1:8" s="1066" customFormat="1" ht="14.25" customHeight="1" thickBot="1">
      <c r="A246" s="1078" t="s">
        <v>1416</v>
      </c>
      <c r="B246" s="1072" t="s">
        <v>1079</v>
      </c>
      <c r="C246" s="1072">
        <v>4010</v>
      </c>
      <c r="D246" s="1072">
        <v>3960</v>
      </c>
      <c r="E246" s="1072">
        <v>4130</v>
      </c>
      <c r="F246" s="1090">
        <v>840</v>
      </c>
      <c r="H246" s="1097"/>
    </row>
    <row r="247" spans="1:8" s="1066" customFormat="1" ht="14.25" customHeight="1" thickBot="1">
      <c r="A247" s="1078" t="s">
        <v>1416</v>
      </c>
      <c r="B247" s="1072" t="s">
        <v>1418</v>
      </c>
      <c r="C247" s="1072">
        <v>3170</v>
      </c>
      <c r="D247" s="1072">
        <v>3140</v>
      </c>
      <c r="E247" s="1072">
        <v>3270</v>
      </c>
      <c r="F247" s="1090">
        <v>640</v>
      </c>
      <c r="H247" s="1097"/>
    </row>
    <row r="248" spans="1:8" s="1066" customFormat="1" ht="14.25" customHeight="1" thickBot="1">
      <c r="A248" s="1078" t="s">
        <v>1416</v>
      </c>
      <c r="B248" s="1072" t="s">
        <v>1419</v>
      </c>
      <c r="C248" s="1072">
        <v>3140</v>
      </c>
      <c r="D248" s="1072">
        <v>3120</v>
      </c>
      <c r="E248" s="1072">
        <v>3240</v>
      </c>
      <c r="F248" s="1090">
        <v>620</v>
      </c>
      <c r="H248" s="1097"/>
    </row>
    <row r="249" spans="1:8" s="1066" customFormat="1" ht="14.25" customHeight="1" thickBot="1">
      <c r="A249" s="1078" t="s">
        <v>1416</v>
      </c>
      <c r="B249" s="1072" t="s">
        <v>1120</v>
      </c>
      <c r="C249" s="1072">
        <v>3200</v>
      </c>
      <c r="D249" s="1072">
        <v>3100</v>
      </c>
      <c r="E249" s="1072">
        <v>3230</v>
      </c>
      <c r="F249" s="1090">
        <v>750</v>
      </c>
      <c r="H249" s="1097"/>
    </row>
    <row r="250" spans="1:8" s="1066" customFormat="1" ht="14.25" customHeight="1" thickBot="1">
      <c r="A250" s="1078" t="s">
        <v>1416</v>
      </c>
      <c r="B250" s="1072" t="s">
        <v>1131</v>
      </c>
      <c r="C250" s="1072">
        <v>4060</v>
      </c>
      <c r="D250" s="1072">
        <v>4000</v>
      </c>
      <c r="E250" s="1072">
        <v>4140</v>
      </c>
      <c r="F250" s="1090">
        <v>790</v>
      </c>
      <c r="H250" s="1097"/>
    </row>
    <row r="251" spans="1:8" s="1066" customFormat="1" ht="14.25" customHeight="1" thickBot="1">
      <c r="A251" s="1078" t="s">
        <v>1416</v>
      </c>
      <c r="B251" s="1072" t="s">
        <v>1142</v>
      </c>
      <c r="C251" s="1072">
        <v>3990</v>
      </c>
      <c r="D251" s="1072">
        <v>3970</v>
      </c>
      <c r="E251" s="1072">
        <v>4110</v>
      </c>
      <c r="F251" s="1090">
        <v>730</v>
      </c>
      <c r="H251" s="1097"/>
    </row>
    <row r="252" spans="1:8" s="1066" customFormat="1" ht="14.25" customHeight="1" thickBot="1">
      <c r="A252" s="1078" t="s">
        <v>1416</v>
      </c>
      <c r="B252" s="1072" t="s">
        <v>1153</v>
      </c>
      <c r="C252" s="1072">
        <v>3560</v>
      </c>
      <c r="D252" s="1072">
        <v>3530</v>
      </c>
      <c r="E252" s="1072">
        <v>3650</v>
      </c>
      <c r="F252" s="1090">
        <v>750</v>
      </c>
      <c r="H252" s="1097"/>
    </row>
    <row r="253" spans="1:8" s="1066" customFormat="1" ht="14.25" customHeight="1" thickBot="1">
      <c r="A253" s="1078" t="s">
        <v>1416</v>
      </c>
      <c r="B253" s="1072" t="s">
        <v>1165</v>
      </c>
      <c r="C253" s="1072">
        <v>3780</v>
      </c>
      <c r="D253" s="1072">
        <v>3750</v>
      </c>
      <c r="E253" s="1072">
        <v>3870</v>
      </c>
      <c r="F253" s="1090">
        <v>770</v>
      </c>
      <c r="H253" s="1097"/>
    </row>
    <row r="254" spans="1:8" s="1066" customFormat="1" ht="14.25" customHeight="1" thickBot="1">
      <c r="A254" s="1078" t="s">
        <v>1416</v>
      </c>
      <c r="B254" s="1072" t="s">
        <v>1175</v>
      </c>
      <c r="C254" s="1100"/>
      <c r="D254" s="1100"/>
      <c r="E254" s="1100"/>
      <c r="F254" s="1090">
        <v>740</v>
      </c>
      <c r="H254" s="1097"/>
    </row>
    <row r="255" spans="1:8" s="1066" customFormat="1" ht="14.25" customHeight="1" thickBot="1">
      <c r="A255" s="1078" t="s">
        <v>1416</v>
      </c>
      <c r="B255" s="1072" t="s">
        <v>1185</v>
      </c>
      <c r="C255" s="1100"/>
      <c r="D255" s="1100"/>
      <c r="E255" s="1100"/>
      <c r="F255" s="1090">
        <v>760</v>
      </c>
      <c r="H255" s="1097"/>
    </row>
    <row r="256" spans="1:8" s="1066" customFormat="1" ht="14.25" customHeight="1" thickBot="1">
      <c r="A256" s="1078" t="s">
        <v>1416</v>
      </c>
      <c r="B256" s="1072" t="s">
        <v>1195</v>
      </c>
      <c r="C256" s="1072">
        <v>3760</v>
      </c>
      <c r="D256" s="1072">
        <v>3730</v>
      </c>
      <c r="E256" s="1072">
        <v>3870</v>
      </c>
      <c r="F256" s="1090">
        <v>830</v>
      </c>
      <c r="H256" s="1097"/>
    </row>
    <row r="257" spans="1:8" s="1066" customFormat="1" ht="14.25" customHeight="1" thickBot="1">
      <c r="A257" s="1078" t="s">
        <v>1416</v>
      </c>
      <c r="B257" s="1072" t="s">
        <v>1205</v>
      </c>
      <c r="C257" s="1072">
        <v>3570</v>
      </c>
      <c r="D257" s="1072">
        <v>3540</v>
      </c>
      <c r="E257" s="1072">
        <v>3650</v>
      </c>
      <c r="F257" s="1090">
        <v>790</v>
      </c>
      <c r="H257" s="1097"/>
    </row>
    <row r="258" spans="1:8" s="1066" customFormat="1" ht="14.25" customHeight="1" thickBot="1">
      <c r="A258" s="1078" t="s">
        <v>1416</v>
      </c>
      <c r="B258" s="1072" t="s">
        <v>1215</v>
      </c>
      <c r="C258" s="1072">
        <v>3410</v>
      </c>
      <c r="D258" s="1072">
        <v>3380</v>
      </c>
      <c r="E258" s="1072">
        <v>3500</v>
      </c>
      <c r="F258" s="1090">
        <v>830</v>
      </c>
      <c r="H258" s="1097"/>
    </row>
    <row r="259" spans="1:8" s="1066" customFormat="1" ht="14.25" customHeight="1" thickBot="1">
      <c r="A259" s="1078" t="s">
        <v>1416</v>
      </c>
      <c r="B259" s="1072" t="s">
        <v>1225</v>
      </c>
      <c r="C259" s="1072">
        <v>3870</v>
      </c>
      <c r="D259" s="1072">
        <v>3840</v>
      </c>
      <c r="E259" s="1072">
        <v>3970</v>
      </c>
      <c r="F259" s="1090">
        <v>830</v>
      </c>
      <c r="H259" s="1097"/>
    </row>
    <row r="260" spans="1:8" s="1066" customFormat="1" ht="14.25" customHeight="1" thickBot="1">
      <c r="A260" s="1078" t="s">
        <v>1416</v>
      </c>
      <c r="B260" s="1072" t="s">
        <v>1235</v>
      </c>
      <c r="C260" s="1072">
        <v>3700</v>
      </c>
      <c r="D260" s="1072">
        <v>3660</v>
      </c>
      <c r="E260" s="1072">
        <v>3810</v>
      </c>
      <c r="F260" s="1090">
        <v>790</v>
      </c>
      <c r="H260" s="1097"/>
    </row>
    <row r="261" spans="1:8" s="1066" customFormat="1" ht="14.25" customHeight="1" thickBot="1">
      <c r="A261" s="1078" t="s">
        <v>1416</v>
      </c>
      <c r="B261" s="1072" t="s">
        <v>1245</v>
      </c>
      <c r="C261" s="1072">
        <v>3470</v>
      </c>
      <c r="D261" s="1072">
        <v>3430</v>
      </c>
      <c r="E261" s="1072">
        <v>3640</v>
      </c>
      <c r="F261" s="1090">
        <v>760</v>
      </c>
      <c r="H261" s="1097"/>
    </row>
    <row r="262" spans="1:8" s="1066" customFormat="1" ht="14.25" customHeight="1" thickBot="1">
      <c r="A262" s="1078" t="s">
        <v>1416</v>
      </c>
      <c r="B262" s="1072" t="s">
        <v>1255</v>
      </c>
      <c r="C262" s="1072">
        <v>3510</v>
      </c>
      <c r="D262" s="1072">
        <v>3470</v>
      </c>
      <c r="E262" s="1072">
        <v>3680</v>
      </c>
      <c r="F262" s="1099"/>
      <c r="H262" s="1097"/>
    </row>
    <row r="263" spans="1:8" s="1066" customFormat="1" ht="14.25" customHeight="1" thickBot="1">
      <c r="A263" s="1078" t="s">
        <v>1416</v>
      </c>
      <c r="B263" s="1072" t="s">
        <v>1265</v>
      </c>
      <c r="C263" s="1072">
        <v>3960</v>
      </c>
      <c r="D263" s="1072">
        <v>3930</v>
      </c>
      <c r="E263" s="1072">
        <v>4070</v>
      </c>
      <c r="F263" s="1090">
        <v>830</v>
      </c>
      <c r="H263" s="1097"/>
    </row>
    <row r="264" spans="1:8" s="1066" customFormat="1" ht="14.25" customHeight="1" thickBot="1">
      <c r="A264" s="1078" t="s">
        <v>1416</v>
      </c>
      <c r="B264" s="1072" t="s">
        <v>1274</v>
      </c>
      <c r="C264" s="1072">
        <v>4010</v>
      </c>
      <c r="D264" s="1072">
        <v>3980</v>
      </c>
      <c r="E264" s="1072">
        <v>4150</v>
      </c>
      <c r="F264" s="1090">
        <v>760</v>
      </c>
      <c r="H264" s="1097"/>
    </row>
    <row r="265" spans="1:8" s="1066" customFormat="1" ht="14.25" customHeight="1" thickBot="1">
      <c r="A265" s="1078" t="s">
        <v>1416</v>
      </c>
      <c r="B265" s="1072" t="s">
        <v>1283</v>
      </c>
      <c r="C265" s="1072">
        <v>3910</v>
      </c>
      <c r="D265" s="1072">
        <v>3890</v>
      </c>
      <c r="E265" s="1072">
        <v>4040</v>
      </c>
      <c r="F265" s="1090">
        <v>780</v>
      </c>
      <c r="H265" s="1097"/>
    </row>
    <row r="266" spans="1:8" s="1066" customFormat="1" ht="14.25" customHeight="1" thickBot="1">
      <c r="A266" s="1078" t="s">
        <v>1416</v>
      </c>
      <c r="B266" s="1072" t="s">
        <v>1291</v>
      </c>
      <c r="C266" s="1072">
        <v>3930</v>
      </c>
      <c r="D266" s="1072">
        <v>3900</v>
      </c>
      <c r="E266" s="1072">
        <v>4080</v>
      </c>
      <c r="F266" s="1090">
        <v>770</v>
      </c>
      <c r="H266" s="1097"/>
    </row>
    <row r="267" spans="1:8" s="1066" customFormat="1" ht="14.25" customHeight="1" thickBot="1">
      <c r="A267" s="1078" t="s">
        <v>1416</v>
      </c>
      <c r="B267" s="1072" t="s">
        <v>1298</v>
      </c>
      <c r="C267" s="1072">
        <v>3800</v>
      </c>
      <c r="D267" s="1072">
        <v>3780</v>
      </c>
      <c r="E267" s="1072">
        <v>3930</v>
      </c>
      <c r="F267" s="1099"/>
      <c r="H267" s="1097"/>
    </row>
    <row r="268" spans="1:8" s="1066" customFormat="1" ht="14.25" customHeight="1" thickBot="1">
      <c r="A268" s="1078" t="s">
        <v>1416</v>
      </c>
      <c r="B268" s="1072" t="s">
        <v>1305</v>
      </c>
      <c r="C268" s="1072">
        <v>3460</v>
      </c>
      <c r="D268" s="1072">
        <v>3430</v>
      </c>
      <c r="E268" s="1072">
        <v>3560</v>
      </c>
      <c r="F268" s="1090">
        <v>840</v>
      </c>
      <c r="H268" s="1097"/>
    </row>
    <row r="269" spans="1:8" s="1066" customFormat="1" ht="14.25" customHeight="1" thickBot="1">
      <c r="A269" s="1078" t="s">
        <v>1416</v>
      </c>
      <c r="B269" s="1072" t="s">
        <v>1312</v>
      </c>
      <c r="C269" s="1072">
        <v>3210</v>
      </c>
      <c r="D269" s="1072">
        <v>3190</v>
      </c>
      <c r="E269" s="1072">
        <v>3310</v>
      </c>
      <c r="F269" s="1090">
        <v>730</v>
      </c>
      <c r="H269" s="1097"/>
    </row>
    <row r="270" spans="1:8" s="1066" customFormat="1" ht="14.25" customHeight="1" thickBot="1">
      <c r="A270" s="1078" t="s">
        <v>1416</v>
      </c>
      <c r="B270" s="1072" t="s">
        <v>1319</v>
      </c>
      <c r="C270" s="1072">
        <v>3240</v>
      </c>
      <c r="D270" s="1072">
        <v>3210</v>
      </c>
      <c r="E270" s="1072">
        <v>3390</v>
      </c>
      <c r="F270" s="1090">
        <v>820</v>
      </c>
      <c r="H270" s="1097"/>
    </row>
    <row r="271" spans="1:8" s="1066" customFormat="1" ht="14.25" customHeight="1" thickBot="1">
      <c r="A271" s="1078" t="s">
        <v>1416</v>
      </c>
      <c r="B271" s="1072" t="s">
        <v>1326</v>
      </c>
      <c r="C271" s="1072">
        <v>3300</v>
      </c>
      <c r="D271" s="1072">
        <v>3270</v>
      </c>
      <c r="E271" s="1072">
        <v>3380</v>
      </c>
      <c r="F271" s="1090">
        <v>750</v>
      </c>
      <c r="H271" s="1097"/>
    </row>
    <row r="272" spans="1:8" s="1066" customFormat="1" ht="14.25" customHeight="1" thickBot="1">
      <c r="A272" s="1078" t="s">
        <v>1416</v>
      </c>
      <c r="B272" s="1072" t="s">
        <v>1333</v>
      </c>
      <c r="C272" s="1100"/>
      <c r="D272" s="1100"/>
      <c r="E272" s="1100"/>
      <c r="F272" s="1090">
        <v>740</v>
      </c>
      <c r="H272" s="1097"/>
    </row>
    <row r="273" spans="1:8" s="1066" customFormat="1" ht="14.25" customHeight="1" thickBot="1">
      <c r="A273" s="1078" t="s">
        <v>1416</v>
      </c>
      <c r="B273" s="1072" t="s">
        <v>1337</v>
      </c>
      <c r="C273" s="1072">
        <v>3130</v>
      </c>
      <c r="D273" s="1072">
        <v>3100</v>
      </c>
      <c r="E273" s="1072">
        <v>3230</v>
      </c>
      <c r="F273" s="1090">
        <v>700</v>
      </c>
      <c r="H273" s="1097"/>
    </row>
    <row r="274" spans="1:8" s="1066" customFormat="1" ht="14.25" customHeight="1" thickBot="1">
      <c r="A274" s="1078" t="s">
        <v>1416</v>
      </c>
      <c r="B274" s="1072" t="s">
        <v>1342</v>
      </c>
      <c r="C274" s="1072">
        <v>3460</v>
      </c>
      <c r="D274" s="1072">
        <v>3430</v>
      </c>
      <c r="E274" s="1072">
        <v>3560</v>
      </c>
      <c r="F274" s="1090">
        <v>690</v>
      </c>
      <c r="H274" s="1097"/>
    </row>
    <row r="275" spans="1:8" s="1066" customFormat="1" ht="14.25" customHeight="1" thickBot="1">
      <c r="A275" s="1078" t="s">
        <v>1416</v>
      </c>
      <c r="B275" s="1072" t="s">
        <v>1347</v>
      </c>
      <c r="C275" s="1072">
        <v>4040</v>
      </c>
      <c r="D275" s="1072">
        <v>4020</v>
      </c>
      <c r="E275" s="1072">
        <v>4160</v>
      </c>
      <c r="F275" s="1090">
        <v>820</v>
      </c>
      <c r="H275" s="1097"/>
    </row>
    <row r="276" spans="1:8" s="1066" customFormat="1" ht="14.25" customHeight="1" thickBot="1">
      <c r="A276" s="1078" t="s">
        <v>1416</v>
      </c>
      <c r="B276" s="1072" t="s">
        <v>1352</v>
      </c>
      <c r="C276" s="1072">
        <v>3270</v>
      </c>
      <c r="D276" s="1072">
        <v>3240</v>
      </c>
      <c r="E276" s="1072">
        <v>3350</v>
      </c>
      <c r="F276" s="1090">
        <v>680</v>
      </c>
      <c r="H276" s="1097"/>
    </row>
    <row r="277" spans="1:8" s="1066" customFormat="1" ht="14.25" customHeight="1" thickBot="1">
      <c r="A277" s="1078" t="s">
        <v>1416</v>
      </c>
      <c r="B277" s="1072" t="s">
        <v>1357</v>
      </c>
      <c r="C277" s="1072">
        <v>2930</v>
      </c>
      <c r="D277" s="1072">
        <v>2900</v>
      </c>
      <c r="E277" s="1072">
        <v>3000</v>
      </c>
      <c r="F277" s="1090">
        <v>640</v>
      </c>
      <c r="H277" s="1097"/>
    </row>
    <row r="278" spans="1:8" s="1066" customFormat="1" ht="14.25" customHeight="1" thickBot="1">
      <c r="A278" s="1078" t="s">
        <v>1416</v>
      </c>
      <c r="B278" s="1072" t="s">
        <v>1362</v>
      </c>
      <c r="C278" s="1072">
        <v>4080</v>
      </c>
      <c r="D278" s="1072">
        <v>4030</v>
      </c>
      <c r="E278" s="1072">
        <v>4140</v>
      </c>
      <c r="F278" s="1090">
        <v>850</v>
      </c>
      <c r="H278" s="1097"/>
    </row>
    <row r="279" spans="1:8" s="1066" customFormat="1" ht="14.25" customHeight="1" thickBot="1">
      <c r="A279" s="1078" t="s">
        <v>1416</v>
      </c>
      <c r="B279" s="1072" t="s">
        <v>1366</v>
      </c>
      <c r="C279" s="1072"/>
      <c r="D279" s="1072"/>
      <c r="E279" s="1072"/>
      <c r="F279" s="1090">
        <v>760</v>
      </c>
      <c r="H279" s="1097"/>
    </row>
    <row r="280" spans="1:8" s="1066" customFormat="1" ht="14.25" customHeight="1" thickBot="1">
      <c r="A280" s="1078" t="s">
        <v>1416</v>
      </c>
      <c r="B280" s="1072" t="s">
        <v>1370</v>
      </c>
      <c r="C280" s="1072"/>
      <c r="D280" s="1072"/>
      <c r="E280" s="1072"/>
      <c r="F280" s="1090">
        <v>760</v>
      </c>
      <c r="H280" s="1097"/>
    </row>
    <row r="281" spans="1:8" s="1066" customFormat="1" ht="14.25" customHeight="1" thickBot="1">
      <c r="A281" s="1078" t="s">
        <v>1416</v>
      </c>
      <c r="B281" s="1072" t="s">
        <v>1374</v>
      </c>
      <c r="C281" s="1072"/>
      <c r="D281" s="1072"/>
      <c r="E281" s="1072"/>
      <c r="F281" s="1090">
        <v>780</v>
      </c>
      <c r="H281" s="1097"/>
    </row>
    <row r="282" spans="1:8" s="1066" customFormat="1" ht="14.25" customHeight="1" thickBot="1">
      <c r="A282" s="1078" t="s">
        <v>1416</v>
      </c>
      <c r="B282" s="1072" t="s">
        <v>1378</v>
      </c>
      <c r="C282" s="1072"/>
      <c r="D282" s="1072"/>
      <c r="E282" s="1072"/>
      <c r="F282" s="1090">
        <v>730</v>
      </c>
      <c r="H282" s="1097"/>
    </row>
    <row r="283" spans="1:8" s="1066" customFormat="1" ht="14.25" customHeight="1" thickBot="1">
      <c r="A283" s="1078" t="s">
        <v>1416</v>
      </c>
      <c r="B283" s="1072" t="s">
        <v>1382</v>
      </c>
      <c r="C283" s="1072"/>
      <c r="D283" s="1072"/>
      <c r="E283" s="1072"/>
      <c r="F283" s="1090">
        <v>770</v>
      </c>
      <c r="H283" s="1097"/>
    </row>
    <row r="284" spans="1:8" s="1066" customFormat="1" ht="14.25" customHeight="1" thickBot="1">
      <c r="A284" s="1078" t="s">
        <v>1416</v>
      </c>
      <c r="B284" s="1072" t="s">
        <v>1385</v>
      </c>
      <c r="C284" s="1072"/>
      <c r="D284" s="1072"/>
      <c r="E284" s="1072"/>
      <c r="F284" s="1090">
        <v>640</v>
      </c>
      <c r="H284" s="1097"/>
    </row>
    <row r="285" spans="1:8" s="1066" customFormat="1" ht="14.25" customHeight="1" thickBot="1">
      <c r="A285" s="1078" t="s">
        <v>1416</v>
      </c>
      <c r="B285" s="1072" t="s">
        <v>1388</v>
      </c>
      <c r="C285" s="1072"/>
      <c r="D285" s="1072"/>
      <c r="E285" s="1072"/>
      <c r="F285" s="1090">
        <v>640</v>
      </c>
      <c r="H285" s="1097"/>
    </row>
    <row r="286" spans="1:8" s="1066" customFormat="1" ht="14.25" customHeight="1" thickBot="1">
      <c r="A286" s="1078" t="s">
        <v>1416</v>
      </c>
      <c r="B286" s="1072" t="s">
        <v>1391</v>
      </c>
      <c r="C286" s="1072"/>
      <c r="D286" s="1072"/>
      <c r="E286" s="1072"/>
      <c r="F286" s="1090">
        <v>850</v>
      </c>
      <c r="H286" s="1097"/>
    </row>
    <row r="287" spans="1:8" s="1066" customFormat="1" ht="14.25" customHeight="1" thickBot="1">
      <c r="A287" s="1078" t="s">
        <v>1416</v>
      </c>
      <c r="B287" s="1072" t="s">
        <v>1394</v>
      </c>
      <c r="C287" s="1072"/>
      <c r="D287" s="1072"/>
      <c r="E287" s="1072"/>
      <c r="F287" s="1090">
        <v>760</v>
      </c>
      <c r="H287" s="1097"/>
    </row>
    <row r="288" spans="1:8" s="1066" customFormat="1" ht="14.25" customHeight="1" thickBot="1">
      <c r="A288" s="1078" t="s">
        <v>1416</v>
      </c>
      <c r="B288" s="1072" t="s">
        <v>1397</v>
      </c>
      <c r="C288" s="1072"/>
      <c r="D288" s="1072"/>
      <c r="E288" s="1072"/>
      <c r="F288" s="1090">
        <v>830</v>
      </c>
      <c r="H288" s="1097"/>
    </row>
    <row r="289" spans="1:8" s="1066" customFormat="1" ht="14.25" customHeight="1" thickBot="1">
      <c r="A289" s="1078" t="s">
        <v>1416</v>
      </c>
      <c r="B289" s="1088" t="s">
        <v>1400</v>
      </c>
      <c r="C289" s="1088"/>
      <c r="D289" s="1088"/>
      <c r="E289" s="1088"/>
      <c r="F289" s="1098">
        <v>680</v>
      </c>
      <c r="H289" s="1097"/>
    </row>
    <row r="290" spans="1:8" s="1066" customFormat="1" ht="14.25" customHeight="1" thickBot="1">
      <c r="A290" s="1078" t="s">
        <v>1420</v>
      </c>
      <c r="B290" s="1079" t="s">
        <v>1421</v>
      </c>
      <c r="C290" s="1079">
        <v>2770</v>
      </c>
      <c r="D290" s="1079">
        <v>2740</v>
      </c>
      <c r="E290" s="1079">
        <v>2720</v>
      </c>
      <c r="F290" s="1101"/>
      <c r="H290" s="1097"/>
    </row>
    <row r="291" spans="1:8" s="1066" customFormat="1" ht="14.25" customHeight="1" thickBot="1">
      <c r="A291" s="1078" t="s">
        <v>1420</v>
      </c>
      <c r="B291" s="1072" t="s">
        <v>1080</v>
      </c>
      <c r="C291" s="1072">
        <v>2670</v>
      </c>
      <c r="D291" s="1072">
        <v>2640</v>
      </c>
      <c r="E291" s="1072">
        <v>2620</v>
      </c>
      <c r="F291" s="1099"/>
      <c r="H291" s="1097"/>
    </row>
    <row r="292" spans="1:8" s="1066" customFormat="1" ht="14.25" customHeight="1" thickBot="1">
      <c r="A292" s="1078" t="s">
        <v>1420</v>
      </c>
      <c r="B292" s="1072" t="s">
        <v>1422</v>
      </c>
      <c r="C292" s="1072">
        <v>2180</v>
      </c>
      <c r="D292" s="1072">
        <v>2140</v>
      </c>
      <c r="E292" s="1072">
        <v>2120</v>
      </c>
      <c r="F292" s="1090">
        <v>490</v>
      </c>
      <c r="H292" s="1097"/>
    </row>
    <row r="293" spans="1:8" s="1066" customFormat="1" ht="14.25" customHeight="1" thickBot="1">
      <c r="A293" s="1078" t="s">
        <v>1420</v>
      </c>
      <c r="B293" s="1072" t="s">
        <v>1423</v>
      </c>
      <c r="C293" s="1072"/>
      <c r="D293" s="1072"/>
      <c r="E293" s="1072"/>
      <c r="F293" s="1090">
        <v>470</v>
      </c>
      <c r="H293" s="1097"/>
    </row>
    <row r="294" spans="1:8" s="1066" customFormat="1" ht="14.25" customHeight="1" thickBot="1">
      <c r="A294" s="1078" t="s">
        <v>1420</v>
      </c>
      <c r="B294" s="1072" t="s">
        <v>1424</v>
      </c>
      <c r="C294" s="1072">
        <v>2730</v>
      </c>
      <c r="D294" s="1072">
        <v>2700</v>
      </c>
      <c r="E294" s="1072">
        <v>2680</v>
      </c>
      <c r="F294" s="1090">
        <v>490</v>
      </c>
      <c r="H294" s="1097"/>
    </row>
    <row r="295" spans="1:8" s="1066" customFormat="1" ht="14.25" customHeight="1" thickBot="1">
      <c r="A295" s="1078" t="s">
        <v>1420</v>
      </c>
      <c r="B295" s="1072" t="s">
        <v>1121</v>
      </c>
      <c r="C295" s="1072">
        <v>2380</v>
      </c>
      <c r="D295" s="1072">
        <v>2350</v>
      </c>
      <c r="E295" s="1072">
        <v>2330</v>
      </c>
      <c r="F295" s="1090">
        <v>530</v>
      </c>
      <c r="H295" s="1097"/>
    </row>
    <row r="296" spans="1:8" s="1066" customFormat="1" ht="14.25" customHeight="1" thickBot="1">
      <c r="A296" s="1078" t="s">
        <v>1420</v>
      </c>
      <c r="B296" s="1072" t="s">
        <v>1132</v>
      </c>
      <c r="C296" s="1072">
        <v>2650</v>
      </c>
      <c r="D296" s="1072">
        <v>2620</v>
      </c>
      <c r="E296" s="1072">
        <v>2590</v>
      </c>
      <c r="F296" s="1090">
        <v>590</v>
      </c>
      <c r="H296" s="1097"/>
    </row>
    <row r="297" spans="1:8" s="1066" customFormat="1" ht="14.25" customHeight="1" thickBot="1">
      <c r="A297" s="1078" t="s">
        <v>1420</v>
      </c>
      <c r="B297" s="1072" t="s">
        <v>1143</v>
      </c>
      <c r="C297" s="1072">
        <v>2700</v>
      </c>
      <c r="D297" s="1072">
        <v>2670</v>
      </c>
      <c r="E297" s="1072">
        <v>2650</v>
      </c>
      <c r="F297" s="1090">
        <v>630</v>
      </c>
      <c r="H297" s="1097"/>
    </row>
    <row r="298" spans="1:8" s="1066" customFormat="1" ht="14.25" customHeight="1" thickBot="1">
      <c r="A298" s="1078" t="s">
        <v>1420</v>
      </c>
      <c r="B298" s="1072" t="s">
        <v>1154</v>
      </c>
      <c r="C298" s="1072">
        <v>2650</v>
      </c>
      <c r="D298" s="1072">
        <v>2620</v>
      </c>
      <c r="E298" s="1072">
        <v>2590</v>
      </c>
      <c r="F298" s="1090">
        <v>640</v>
      </c>
      <c r="H298" s="1097"/>
    </row>
    <row r="299" spans="1:8" s="1066" customFormat="1" ht="14.25" customHeight="1" thickBot="1">
      <c r="A299" s="1078" t="s">
        <v>1420</v>
      </c>
      <c r="B299" s="1072" t="s">
        <v>1166</v>
      </c>
      <c r="C299" s="1072">
        <v>2500</v>
      </c>
      <c r="D299" s="1072">
        <v>2480</v>
      </c>
      <c r="E299" s="1072">
        <v>2460</v>
      </c>
      <c r="F299" s="1099"/>
      <c r="H299" s="1097"/>
    </row>
    <row r="300" spans="1:8" s="1066" customFormat="1" ht="14.25" customHeight="1" thickBot="1">
      <c r="A300" s="1078" t="s">
        <v>1420</v>
      </c>
      <c r="B300" s="1072" t="s">
        <v>1176</v>
      </c>
      <c r="C300" s="1072">
        <v>2760</v>
      </c>
      <c r="D300" s="1072">
        <v>2730</v>
      </c>
      <c r="E300" s="1072">
        <v>2700</v>
      </c>
      <c r="F300" s="1090">
        <v>630</v>
      </c>
      <c r="H300" s="1097"/>
    </row>
    <row r="301" spans="1:8" s="1066" customFormat="1" ht="14.25" customHeight="1" thickBot="1">
      <c r="A301" s="1078" t="s">
        <v>1420</v>
      </c>
      <c r="B301" s="1072" t="s">
        <v>1186</v>
      </c>
      <c r="C301" s="1072">
        <v>2510</v>
      </c>
      <c r="D301" s="1072">
        <v>2480</v>
      </c>
      <c r="E301" s="1072">
        <v>2460</v>
      </c>
      <c r="F301" s="1099"/>
      <c r="H301" s="1097"/>
    </row>
    <row r="302" spans="1:8" s="1066" customFormat="1" ht="14.25" customHeight="1" thickBot="1">
      <c r="A302" s="1078" t="s">
        <v>1420</v>
      </c>
      <c r="B302" s="1072" t="s">
        <v>1196</v>
      </c>
      <c r="C302" s="1072">
        <v>2480</v>
      </c>
      <c r="D302" s="1072">
        <v>2450</v>
      </c>
      <c r="E302" s="1072">
        <v>2420</v>
      </c>
      <c r="F302" s="1090">
        <v>600</v>
      </c>
      <c r="H302" s="1097"/>
    </row>
    <row r="303" spans="1:8" s="1066" customFormat="1" ht="14.25" customHeight="1" thickBot="1">
      <c r="A303" s="1078" t="s">
        <v>1420</v>
      </c>
      <c r="B303" s="1072" t="s">
        <v>1206</v>
      </c>
      <c r="C303" s="1072">
        <v>2270</v>
      </c>
      <c r="D303" s="1072">
        <v>2240</v>
      </c>
      <c r="E303" s="1072">
        <v>2210</v>
      </c>
      <c r="F303" s="1090">
        <v>540</v>
      </c>
      <c r="H303" s="1097"/>
    </row>
    <row r="304" spans="1:8" s="1066" customFormat="1" ht="14.25" customHeight="1" thickBot="1">
      <c r="A304" s="1078" t="s">
        <v>1420</v>
      </c>
      <c r="B304" s="1072" t="s">
        <v>1216</v>
      </c>
      <c r="C304" s="1072">
        <v>2310</v>
      </c>
      <c r="D304" s="1072">
        <v>2290</v>
      </c>
      <c r="E304" s="1072">
        <v>2270</v>
      </c>
      <c r="F304" s="1099"/>
      <c r="H304" s="1097"/>
    </row>
    <row r="305" spans="1:8" s="1066" customFormat="1" ht="14.25" customHeight="1" thickBot="1">
      <c r="A305" s="1078" t="s">
        <v>1420</v>
      </c>
      <c r="B305" s="1072" t="s">
        <v>1226</v>
      </c>
      <c r="C305" s="1072">
        <v>2490</v>
      </c>
      <c r="D305" s="1072">
        <v>2470</v>
      </c>
      <c r="E305" s="1072">
        <v>2440</v>
      </c>
      <c r="F305" s="1090">
        <v>560</v>
      </c>
      <c r="H305" s="1097"/>
    </row>
    <row r="306" spans="1:8" s="1066" customFormat="1" ht="14.25" customHeight="1" thickBot="1">
      <c r="A306" s="1078" t="s">
        <v>1420</v>
      </c>
      <c r="B306" s="1072" t="s">
        <v>1236</v>
      </c>
      <c r="C306" s="1072">
        <v>2420</v>
      </c>
      <c r="D306" s="1072">
        <v>2400</v>
      </c>
      <c r="E306" s="1072">
        <v>2380</v>
      </c>
      <c r="F306" s="1099"/>
      <c r="H306" s="1097"/>
    </row>
    <row r="307" spans="1:8" s="1066" customFormat="1" ht="14.25" customHeight="1" thickBot="1">
      <c r="A307" s="1078" t="s">
        <v>1420</v>
      </c>
      <c r="B307" s="1072" t="s">
        <v>1246</v>
      </c>
      <c r="C307" s="1072">
        <v>2770</v>
      </c>
      <c r="D307" s="1072">
        <v>2740</v>
      </c>
      <c r="E307" s="1072">
        <v>2710</v>
      </c>
      <c r="F307" s="1090">
        <v>650</v>
      </c>
      <c r="H307" s="1097"/>
    </row>
    <row r="308" spans="1:8" s="1066" customFormat="1" ht="14.25" customHeight="1" thickBot="1">
      <c r="A308" s="1078" t="s">
        <v>1420</v>
      </c>
      <c r="B308" s="1072" t="s">
        <v>1256</v>
      </c>
      <c r="C308" s="1072">
        <v>2610</v>
      </c>
      <c r="D308" s="1072">
        <v>2580</v>
      </c>
      <c r="E308" s="1072">
        <v>2550</v>
      </c>
      <c r="F308" s="1090">
        <v>580</v>
      </c>
      <c r="H308" s="1097"/>
    </row>
    <row r="309" spans="1:8" s="1066" customFormat="1" ht="14.25" customHeight="1" thickBot="1">
      <c r="A309" s="1078" t="s">
        <v>1420</v>
      </c>
      <c r="B309" s="1072" t="s">
        <v>1266</v>
      </c>
      <c r="C309" s="1072">
        <v>2690</v>
      </c>
      <c r="D309" s="1072">
        <v>2670</v>
      </c>
      <c r="E309" s="1072">
        <v>2650</v>
      </c>
      <c r="F309" s="1099"/>
      <c r="H309" s="1097"/>
    </row>
    <row r="310" spans="1:8" s="1066" customFormat="1" ht="14.25" customHeight="1" thickBot="1">
      <c r="A310" s="1078" t="s">
        <v>1420</v>
      </c>
      <c r="B310" s="1072" t="s">
        <v>1275</v>
      </c>
      <c r="C310" s="1072">
        <v>2360</v>
      </c>
      <c r="D310" s="1072">
        <v>2330</v>
      </c>
      <c r="E310" s="1072">
        <v>2310</v>
      </c>
      <c r="F310" s="1090">
        <v>560</v>
      </c>
      <c r="H310" s="1097"/>
    </row>
    <row r="311" spans="1:8" s="1066" customFormat="1" ht="14.25" customHeight="1" thickBot="1">
      <c r="A311" s="1078" t="s">
        <v>1420</v>
      </c>
      <c r="B311" s="1072" t="s">
        <v>1284</v>
      </c>
      <c r="C311" s="1072">
        <v>1970</v>
      </c>
      <c r="D311" s="1072">
        <v>1950</v>
      </c>
      <c r="E311" s="1072">
        <v>1920</v>
      </c>
      <c r="F311" s="1090">
        <v>470</v>
      </c>
      <c r="H311" s="1097"/>
    </row>
    <row r="312" spans="1:8" s="1066" customFormat="1" ht="14.25" customHeight="1" thickBot="1">
      <c r="A312" s="1078" t="s">
        <v>1420</v>
      </c>
      <c r="B312" s="1072" t="s">
        <v>1292</v>
      </c>
      <c r="C312" s="1072">
        <v>2230</v>
      </c>
      <c r="D312" s="1072">
        <v>2200</v>
      </c>
      <c r="E312" s="1072">
        <v>2170</v>
      </c>
      <c r="F312" s="1090">
        <v>460</v>
      </c>
      <c r="H312" s="1097"/>
    </row>
    <row r="313" spans="1:8" s="1066" customFormat="1" ht="14.25" customHeight="1" thickBot="1">
      <c r="A313" s="1078" t="s">
        <v>1420</v>
      </c>
      <c r="B313" s="1072" t="s">
        <v>1299</v>
      </c>
      <c r="C313" s="1072">
        <v>2770</v>
      </c>
      <c r="D313" s="1072">
        <v>2740</v>
      </c>
      <c r="E313" s="1072">
        <v>2710</v>
      </c>
      <c r="F313" s="1090">
        <v>610</v>
      </c>
      <c r="H313" s="1097"/>
    </row>
    <row r="314" spans="1:8" s="1066" customFormat="1" ht="14.25" customHeight="1" thickBot="1">
      <c r="A314" s="1078" t="s">
        <v>1420</v>
      </c>
      <c r="B314" s="1072" t="s">
        <v>1306</v>
      </c>
      <c r="C314" s="1072"/>
      <c r="D314" s="1072"/>
      <c r="E314" s="1072"/>
      <c r="F314" s="1090">
        <v>490</v>
      </c>
      <c r="H314" s="1097"/>
    </row>
    <row r="315" spans="1:8" s="1066" customFormat="1" ht="14.25" customHeight="1" thickBot="1">
      <c r="A315" s="1078" t="s">
        <v>1420</v>
      </c>
      <c r="B315" s="1072" t="s">
        <v>1313</v>
      </c>
      <c r="C315" s="1072"/>
      <c r="D315" s="1072"/>
      <c r="E315" s="1072"/>
      <c r="F315" s="1090">
        <v>520</v>
      </c>
      <c r="H315" s="1097"/>
    </row>
    <row r="316" spans="1:8" s="1066" customFormat="1" ht="14.25" customHeight="1" thickBot="1">
      <c r="A316" s="1078" t="s">
        <v>1420</v>
      </c>
      <c r="B316" s="1088" t="s">
        <v>1320</v>
      </c>
      <c r="C316" s="1088"/>
      <c r="D316" s="1088"/>
      <c r="E316" s="1088"/>
      <c r="F316" s="1098">
        <v>460</v>
      </c>
      <c r="H316" s="1097"/>
    </row>
    <row r="317" spans="1:8" s="1066" customFormat="1" ht="14.25" customHeight="1" thickBot="1">
      <c r="A317" s="1078" t="s">
        <v>917</v>
      </c>
      <c r="B317" s="1079" t="s">
        <v>1425</v>
      </c>
      <c r="C317" s="1079">
        <v>1200</v>
      </c>
      <c r="D317" s="1079">
        <v>1180</v>
      </c>
      <c r="E317" s="1079">
        <v>1160</v>
      </c>
      <c r="F317" s="1080">
        <v>370</v>
      </c>
      <c r="H317" s="1063"/>
    </row>
    <row r="318" spans="1:8" s="1066" customFormat="1" ht="14.25" customHeight="1" thickBot="1">
      <c r="A318" s="1078" t="s">
        <v>917</v>
      </c>
      <c r="B318" s="1072" t="s">
        <v>1426</v>
      </c>
      <c r="C318" s="1072">
        <v>1090</v>
      </c>
      <c r="D318" s="1072">
        <v>1060</v>
      </c>
      <c r="E318" s="1072">
        <v>1040</v>
      </c>
      <c r="F318" s="1099"/>
      <c r="H318" s="1063"/>
    </row>
    <row r="319" spans="1:8" s="1066" customFormat="1" ht="14.25" customHeight="1" thickBot="1">
      <c r="A319" s="1078" t="s">
        <v>917</v>
      </c>
      <c r="B319" s="1072" t="s">
        <v>1427</v>
      </c>
      <c r="C319" s="1072">
        <v>1520</v>
      </c>
      <c r="D319" s="1072">
        <v>1470</v>
      </c>
      <c r="E319" s="1072">
        <v>1440</v>
      </c>
      <c r="F319" s="1090">
        <v>370</v>
      </c>
      <c r="H319" s="1063"/>
    </row>
    <row r="320" spans="1:8" s="1066" customFormat="1" ht="14.25" customHeight="1" thickBot="1">
      <c r="A320" s="1078" t="s">
        <v>917</v>
      </c>
      <c r="B320" s="1072" t="s">
        <v>1108</v>
      </c>
      <c r="C320" s="1072">
        <v>1360</v>
      </c>
      <c r="D320" s="1072">
        <v>1300</v>
      </c>
      <c r="E320" s="1072">
        <v>1270</v>
      </c>
      <c r="F320" s="1099"/>
      <c r="H320" s="1063"/>
    </row>
    <row r="321" spans="1:8" s="1066" customFormat="1" ht="14.25" customHeight="1" thickBot="1">
      <c r="A321" s="1078" t="s">
        <v>917</v>
      </c>
      <c r="B321" s="1072" t="s">
        <v>1122</v>
      </c>
      <c r="C321" s="1072">
        <v>1750</v>
      </c>
      <c r="D321" s="1072">
        <v>1690</v>
      </c>
      <c r="E321" s="1072">
        <v>1660</v>
      </c>
      <c r="F321" s="1099"/>
      <c r="H321" s="1063"/>
    </row>
    <row r="322" spans="1:8" s="1066" customFormat="1" ht="14.25" customHeight="1" thickBot="1">
      <c r="A322" s="1078" t="s">
        <v>917</v>
      </c>
      <c r="B322" s="1072" t="s">
        <v>1133</v>
      </c>
      <c r="C322" s="1072">
        <v>1650</v>
      </c>
      <c r="D322" s="1072">
        <v>1610</v>
      </c>
      <c r="E322" s="1072">
        <v>1580</v>
      </c>
      <c r="F322" s="1090">
        <v>500</v>
      </c>
      <c r="H322" s="1063"/>
    </row>
    <row r="323" spans="1:8" s="1066" customFormat="1" ht="14.25" customHeight="1" thickBot="1">
      <c r="A323" s="1078" t="s">
        <v>917</v>
      </c>
      <c r="B323" s="1072" t="s">
        <v>1144</v>
      </c>
      <c r="C323" s="1072">
        <v>1780</v>
      </c>
      <c r="D323" s="1072">
        <v>1740</v>
      </c>
      <c r="E323" s="1072">
        <v>1720</v>
      </c>
      <c r="F323" s="1099"/>
      <c r="H323" s="1063"/>
    </row>
    <row r="324" spans="1:8" s="1066" customFormat="1" ht="14.25" customHeight="1" thickBot="1">
      <c r="A324" s="1078" t="s">
        <v>917</v>
      </c>
      <c r="B324" s="1072" t="s">
        <v>1155</v>
      </c>
      <c r="C324" s="1072">
        <v>1650</v>
      </c>
      <c r="D324" s="1072">
        <v>1610</v>
      </c>
      <c r="E324" s="1072">
        <v>1580</v>
      </c>
      <c r="F324" s="1099"/>
      <c r="H324" s="1063"/>
    </row>
    <row r="325" spans="1:8" s="1066" customFormat="1" ht="14.25" customHeight="1" thickBot="1">
      <c r="A325" s="1078" t="s">
        <v>917</v>
      </c>
      <c r="B325" s="1072" t="s">
        <v>1167</v>
      </c>
      <c r="C325" s="1072">
        <v>1330</v>
      </c>
      <c r="D325" s="1072">
        <v>1270</v>
      </c>
      <c r="E325" s="1072">
        <v>1240</v>
      </c>
      <c r="F325" s="1090">
        <v>430</v>
      </c>
      <c r="H325" s="1063"/>
    </row>
    <row r="326" spans="1:8" s="1066" customFormat="1" ht="14.25" customHeight="1" thickBot="1">
      <c r="A326" s="1078" t="s">
        <v>917</v>
      </c>
      <c r="B326" s="1072" t="s">
        <v>1177</v>
      </c>
      <c r="C326" s="1072">
        <v>1470</v>
      </c>
      <c r="D326" s="1072">
        <v>1430</v>
      </c>
      <c r="E326" s="1072">
        <v>1400</v>
      </c>
      <c r="F326" s="1099"/>
      <c r="H326" s="1063"/>
    </row>
    <row r="327" spans="1:8" s="1066" customFormat="1" ht="14.25" customHeight="1" thickBot="1">
      <c r="A327" s="1078" t="s">
        <v>917</v>
      </c>
      <c r="B327" s="1072" t="s">
        <v>1187</v>
      </c>
      <c r="C327" s="1072">
        <v>1420</v>
      </c>
      <c r="D327" s="1072">
        <v>1380</v>
      </c>
      <c r="E327" s="1072">
        <v>1360</v>
      </c>
      <c r="F327" s="1090">
        <v>420</v>
      </c>
      <c r="H327" s="1063"/>
    </row>
    <row r="328" spans="1:8" s="1066" customFormat="1" ht="14.25" customHeight="1" thickBot="1">
      <c r="A328" s="1078" t="s">
        <v>917</v>
      </c>
      <c r="B328" s="1072" t="s">
        <v>1197</v>
      </c>
      <c r="C328" s="1072">
        <v>1400</v>
      </c>
      <c r="D328" s="1072">
        <v>1360</v>
      </c>
      <c r="E328" s="1072">
        <v>1330</v>
      </c>
      <c r="F328" s="1090">
        <v>460</v>
      </c>
      <c r="H328" s="1063"/>
    </row>
    <row r="329" spans="1:8" s="1066" customFormat="1" ht="14.25" customHeight="1" thickBot="1">
      <c r="A329" s="1078" t="s">
        <v>917</v>
      </c>
      <c r="B329" s="1072" t="s">
        <v>1207</v>
      </c>
      <c r="C329" s="1072">
        <v>1640</v>
      </c>
      <c r="D329" s="1072">
        <v>1610</v>
      </c>
      <c r="E329" s="1072">
        <v>1580</v>
      </c>
      <c r="F329" s="1090">
        <v>410</v>
      </c>
      <c r="H329" s="1063"/>
    </row>
    <row r="330" spans="1:8" s="1066" customFormat="1" ht="14.25" customHeight="1" thickBot="1">
      <c r="A330" s="1078" t="s">
        <v>917</v>
      </c>
      <c r="B330" s="1072" t="s">
        <v>1217</v>
      </c>
      <c r="C330" s="1072">
        <v>1260</v>
      </c>
      <c r="D330" s="1072">
        <v>1220</v>
      </c>
      <c r="E330" s="1072">
        <v>1200</v>
      </c>
      <c r="F330" s="1099"/>
      <c r="H330" s="1063"/>
    </row>
    <row r="331" spans="1:8" s="1066" customFormat="1" ht="14.25" customHeight="1" thickBot="1">
      <c r="A331" s="1078" t="s">
        <v>917</v>
      </c>
      <c r="B331" s="1072" t="s">
        <v>1227</v>
      </c>
      <c r="C331" s="1072">
        <v>1620</v>
      </c>
      <c r="D331" s="1072">
        <v>1560</v>
      </c>
      <c r="E331" s="1072">
        <v>1530</v>
      </c>
      <c r="F331" s="1090">
        <v>490</v>
      </c>
      <c r="H331" s="1063"/>
    </row>
    <row r="332" spans="1:8" s="1066" customFormat="1" ht="14.25" customHeight="1" thickBot="1">
      <c r="A332" s="1078" t="s">
        <v>917</v>
      </c>
      <c r="B332" s="1072" t="s">
        <v>1237</v>
      </c>
      <c r="C332" s="1072">
        <v>1520</v>
      </c>
      <c r="D332" s="1072">
        <v>1470</v>
      </c>
      <c r="E332" s="1072">
        <v>1440</v>
      </c>
      <c r="F332" s="1090">
        <v>440</v>
      </c>
      <c r="H332" s="1063"/>
    </row>
    <row r="333" spans="1:8" s="1066" customFormat="1" ht="14.25" customHeight="1" thickBot="1">
      <c r="A333" s="1078" t="s">
        <v>917</v>
      </c>
      <c r="B333" s="1072" t="s">
        <v>1247</v>
      </c>
      <c r="C333" s="1072">
        <v>1370</v>
      </c>
      <c r="D333" s="1072">
        <v>1320</v>
      </c>
      <c r="E333" s="1072">
        <v>1300</v>
      </c>
      <c r="F333" s="1090">
        <v>460</v>
      </c>
      <c r="H333" s="1063"/>
    </row>
    <row r="334" spans="1:8" s="1066" customFormat="1" ht="14.25" customHeight="1" thickBot="1">
      <c r="A334" s="1078" t="s">
        <v>917</v>
      </c>
      <c r="B334" s="1072" t="s">
        <v>1257</v>
      </c>
      <c r="C334" s="1072">
        <v>1410</v>
      </c>
      <c r="D334" s="1072">
        <v>1340</v>
      </c>
      <c r="E334" s="1072">
        <v>1310</v>
      </c>
      <c r="F334" s="1090">
        <v>410</v>
      </c>
      <c r="H334" s="1063"/>
    </row>
    <row r="335" spans="1:8" s="1066" customFormat="1" ht="14.25" customHeight="1" thickBot="1">
      <c r="A335" s="1078" t="s">
        <v>917</v>
      </c>
      <c r="B335" s="1072" t="s">
        <v>1267</v>
      </c>
      <c r="C335" s="1072">
        <v>1260</v>
      </c>
      <c r="D335" s="1072">
        <v>1220</v>
      </c>
      <c r="E335" s="1072">
        <v>1200</v>
      </c>
      <c r="F335" s="1099"/>
      <c r="H335" s="1063"/>
    </row>
    <row r="336" spans="1:8" s="1066" customFormat="1" ht="14.25" customHeight="1" thickBot="1">
      <c r="A336" s="1078" t="s">
        <v>917</v>
      </c>
      <c r="B336" s="1072" t="s">
        <v>1276</v>
      </c>
      <c r="C336" s="1072">
        <v>1160</v>
      </c>
      <c r="D336" s="1072">
        <v>1140</v>
      </c>
      <c r="E336" s="1072">
        <v>1120</v>
      </c>
      <c r="F336" s="1090">
        <v>430</v>
      </c>
      <c r="H336" s="1063"/>
    </row>
    <row r="337" spans="1:8" s="1066" customFormat="1" ht="14.25" customHeight="1" thickBot="1">
      <c r="A337" s="1078" t="s">
        <v>917</v>
      </c>
      <c r="B337" s="1088" t="s">
        <v>1285</v>
      </c>
      <c r="C337" s="1088"/>
      <c r="D337" s="1088"/>
      <c r="E337" s="1088"/>
      <c r="F337" s="1098">
        <v>380</v>
      </c>
      <c r="H337" s="1063"/>
    </row>
    <row r="338" spans="1:8" s="1066" customFormat="1" ht="14.25" customHeight="1" thickBot="1">
      <c r="A338" s="1078" t="s">
        <v>918</v>
      </c>
      <c r="B338" s="1079" t="s">
        <v>1428</v>
      </c>
      <c r="C338" s="1079">
        <v>880</v>
      </c>
      <c r="D338" s="1079">
        <v>850</v>
      </c>
      <c r="E338" s="1079">
        <v>830</v>
      </c>
      <c r="F338" s="1101"/>
      <c r="H338" s="1063"/>
    </row>
    <row r="339" spans="1:8" s="1066" customFormat="1" ht="14.25" customHeight="1" thickBot="1">
      <c r="A339" s="1078" t="s">
        <v>918</v>
      </c>
      <c r="B339" s="1072" t="s">
        <v>1429</v>
      </c>
      <c r="C339" s="1072">
        <v>830</v>
      </c>
      <c r="D339" s="1072">
        <v>800</v>
      </c>
      <c r="E339" s="1072">
        <v>780</v>
      </c>
      <c r="F339" s="1099"/>
      <c r="H339" s="1063"/>
    </row>
    <row r="340" spans="1:8" s="1066" customFormat="1" ht="14.25" customHeight="1" thickBot="1">
      <c r="A340" s="1078" t="s">
        <v>918</v>
      </c>
      <c r="B340" s="1072" t="s">
        <v>1430</v>
      </c>
      <c r="C340" s="1072">
        <v>980</v>
      </c>
      <c r="D340" s="1072">
        <v>950</v>
      </c>
      <c r="E340" s="1072">
        <v>920</v>
      </c>
      <c r="F340" s="1099"/>
      <c r="H340" s="1063"/>
    </row>
    <row r="341" spans="1:8" s="1066" customFormat="1" ht="14.25" customHeight="1" thickBot="1">
      <c r="A341" s="1078" t="s">
        <v>918</v>
      </c>
      <c r="B341" s="1072" t="s">
        <v>1431</v>
      </c>
      <c r="C341" s="1072">
        <v>760</v>
      </c>
      <c r="D341" s="1072">
        <v>720</v>
      </c>
      <c r="E341" s="1072">
        <v>690</v>
      </c>
      <c r="F341" s="1090">
        <v>350</v>
      </c>
      <c r="H341" s="1063"/>
    </row>
    <row r="342" spans="1:8" s="1066" customFormat="1" ht="14.25" customHeight="1" thickBot="1">
      <c r="A342" s="1078" t="s">
        <v>918</v>
      </c>
      <c r="B342" s="1072" t="s">
        <v>1123</v>
      </c>
      <c r="C342" s="1072">
        <v>910</v>
      </c>
      <c r="D342" s="1072">
        <v>870</v>
      </c>
      <c r="E342" s="1072">
        <v>850</v>
      </c>
      <c r="F342" s="1090">
        <v>370</v>
      </c>
      <c r="H342" s="1063"/>
    </row>
    <row r="343" spans="1:8" s="1066" customFormat="1" ht="14.25" customHeight="1" thickBot="1">
      <c r="A343" s="1078" t="s">
        <v>918</v>
      </c>
      <c r="B343" s="1072" t="s">
        <v>1134</v>
      </c>
      <c r="C343" s="1072">
        <v>800</v>
      </c>
      <c r="D343" s="1072">
        <v>760</v>
      </c>
      <c r="E343" s="1072">
        <v>730</v>
      </c>
      <c r="F343" s="1090">
        <v>340</v>
      </c>
      <c r="H343" s="1063"/>
    </row>
    <row r="344" spans="1:8" s="1066" customFormat="1" ht="14.25" customHeight="1" thickBot="1">
      <c r="A344" s="1078" t="s">
        <v>918</v>
      </c>
      <c r="B344" s="1088" t="s">
        <v>1145</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1905</v>
      </c>
    </row>
    <row r="2" spans="1:4">
      <c r="A2" s="1775"/>
    </row>
    <row r="3" spans="1:4" ht="18.75">
      <c r="A3" s="1793" t="str">
        <f>项目基本情况!B5&amp;"："</f>
        <v>大业信托有限责任公司：</v>
      </c>
    </row>
    <row r="4" spans="1:4" ht="56.25">
      <c r="A4" s="1787" t="str">
        <f>"受贵公司委托，我公司对"&amp;项目基本情况!K2&amp;项目基本情况!B9&amp;"进行了预评估。"</f>
        <v>受贵公司委托，我公司对山东省青岛市高新区火炬路以北、规划中32号线以西370214005030GB00261号一宗住宅、商业用地出让国有建设用地使用权抵押价格进行了预评估。</v>
      </c>
    </row>
    <row r="5" spans="1:4" ht="18.75">
      <c r="A5" s="1790" t="s">
        <v>1906</v>
      </c>
    </row>
    <row r="6" spans="1:4" ht="150">
      <c r="A6" s="17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青岛世茂世悦置业有限公司使用的、位于山东省青岛市高新区火炬路以北、规划中32号线以西370214005030GB00261号一宗住宅、商业用地出让国有建设用地使用权。根据《国有建设用地使用权出让合同》[]及附件、《北京市规划委员会关于同意XX项目的规划设计方案的规划意见复函》[]以及《建设工程规划许可证》[]，估价对象（分摊）出让国有建设用地使用权面积为72846.2平方米。根据《国有建设用地使用权出让合同》[]及附件、《北京市规划委员会关于同意XX项目的规划设计方案的规划意见复函》[]以及《建设工程规划许可证》[]，估价对象规划建筑面积为180792平方米。</v>
      </c>
    </row>
    <row r="7" spans="1:4" ht="56.25">
      <c r="A7" s="1791" t="s">
        <v>2746</v>
      </c>
    </row>
    <row r="8" spans="1:4" ht="18.75">
      <c r="A8" s="1790" t="s">
        <v>1907</v>
      </c>
    </row>
    <row r="9" spans="1:4" ht="112.5">
      <c r="A9" s="1792" t="str">
        <f>IF(项目基本情况!B8="抵押",IF(项目基本情况!B5=项目基本情况!B6,定义!C51,定义!B51),定义!D51)</f>
        <v>青岛世茂世悦置业有限公司拟使用山东省青岛市高新区火炬路以北、规划中32号线以西370214005030GB00261号一宗住宅、商业用地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4" ht="18.75">
      <c r="A10" s="1793" t="s">
        <v>2026</v>
      </c>
    </row>
    <row r="11" spans="1:4" ht="18.75">
      <c r="A11" s="1776" t="str">
        <f>TEXT(项目基本情况!D3,"yyyy年m月d日;;")&amp;IF(项目基本情况!B3=项目基本情况!D3,"（评估专业人员勘察现场之日）","")</f>
        <v>2018年9月3日（评估专业人员勘察现场之日）</v>
      </c>
    </row>
    <row r="12" spans="1:4" ht="18.75">
      <c r="A12" s="1793" t="s">
        <v>2025</v>
      </c>
    </row>
    <row r="13" spans="1:4" ht="18.75">
      <c r="A13" s="1787" t="s">
        <v>2942</v>
      </c>
    </row>
    <row r="14" spans="1:4" ht="37.5">
      <c r="A14" s="1787" t="str">
        <f>"根据"&amp;项目基本情况!F12&amp;"，本次评估估价对象证载（地类）用途为"&amp;项目基本情况!B12&amp;"。"</f>
        <v>根据《国有土地使用证》[]，本次评估估价对象证载（地类）用途为其他普通商品住房、批发零售。</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本次评估设定用途即为证载用途其他普通商品住房、批发零售。</v>
      </c>
      <c r="C15" s="1777"/>
      <c r="D15" s="1778"/>
    </row>
    <row r="16" spans="1:4" ht="18.75">
      <c r="A16" s="1787" t="s">
        <v>2072</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7" t="s">
        <v>2073</v>
      </c>
    </row>
    <row r="20" spans="1:1" ht="112.5">
      <c r="A20" s="25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及附件、《北京市规划委员会关于同意XX项目的规划设计方案的规划意见复函》[]以及《建设工程规划许可证》[]，估价对象（分摊）出让国有建设用地使用权面积为72846.2平方米。根据《国有建设用地使用权出让合同》[]及附件、《北京市规划委员会关于同意XX项目的规划设计方案的规划意见复函》[]以及《建设工程规划许可证》[]，估价对象规划建筑面积为180792平方米。</v>
      </c>
    </row>
    <row r="21" spans="1:1" ht="18.75">
      <c r="A21" s="1787" t="s">
        <v>2074</v>
      </c>
    </row>
    <row r="22" spans="1:1" ht="93.75">
      <c r="A22" s="17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8月14日、商业2058年8月14日车库2068年8月14日。截至估价期日，出让国有建设用地使用权剩余土地使用年限为。</v>
      </c>
    </row>
    <row r="23" spans="1:1" ht="18.75">
      <c r="A23" s="1787" t="str">
        <f>IF(项目基本情况!B16="出让","本次评估设定估价对象剩余土地使用年限为"&amp;项目基本情况!D20&amp;"。","")</f>
        <v>本次评估设定估价对象剩余土地使用年限为。</v>
      </c>
    </row>
    <row r="24" spans="1:1" ht="18.75">
      <c r="A24" s="1787" t="s">
        <v>2075</v>
      </c>
    </row>
    <row r="25" spans="1:1" ht="93.75">
      <c r="A25" s="1787" t="str">
        <f>定义!C53</f>
        <v>本次估价的“出让国有建设用地使用权价格”是指在估价对象土地所有权为国家所有，使用权性质为出让，在公开市场条件下、于估价期日2018年9月3日，在规划利用条件下、设定土地开发程度为红线外“七通”、宗地内场地平整，设定用途为其他普通商品住房、批发零售，剩余土地使用年限为的出让国有建设用地使用权价格。</v>
      </c>
    </row>
    <row r="26" spans="1:1" ht="37.5">
      <c r="A26" s="17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2027</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738" t="s">
        <v>2079</v>
      </c>
      <c r="B1" s="3738"/>
    </row>
    <row r="2" spans="1:6" ht="14.25" thickBot="1">
      <c r="A2" s="1847"/>
      <c r="B2" s="1847"/>
    </row>
    <row r="3" spans="1:6" ht="14.25" thickBot="1">
      <c r="A3" s="1847"/>
      <c r="B3" s="1847"/>
      <c r="C3" s="1848" t="s">
        <v>2080</v>
      </c>
      <c r="D3" s="1848" t="s">
        <v>2081</v>
      </c>
      <c r="E3" s="1848" t="s">
        <v>2082</v>
      </c>
      <c r="F3" s="1848" t="s">
        <v>2083</v>
      </c>
    </row>
    <row r="4" spans="1:6" ht="14.25" thickBot="1">
      <c r="A4" s="1849" t="s">
        <v>2084</v>
      </c>
      <c r="B4" s="1850" t="s">
        <v>2085</v>
      </c>
      <c r="C4" s="1848"/>
      <c r="D4" s="1848"/>
      <c r="E4" s="1848"/>
      <c r="F4" s="1848"/>
    </row>
    <row r="5" spans="1:6" ht="14.25" thickBot="1">
      <c r="A5" s="1851" t="s">
        <v>2086</v>
      </c>
      <c r="B5" s="1852" t="s">
        <v>2087</v>
      </c>
      <c r="C5" s="1853">
        <v>8.8999999999999996E-2</v>
      </c>
      <c r="D5" s="1853">
        <v>7.3999999999999996E-2</v>
      </c>
      <c r="E5" s="1853">
        <v>7.4999999999999997E-2</v>
      </c>
      <c r="F5" s="1854">
        <v>0.1</v>
      </c>
    </row>
    <row r="6" spans="1:6" ht="14.25" thickBot="1">
      <c r="A6" s="1851" t="s">
        <v>1097</v>
      </c>
      <c r="B6" s="1855" t="s">
        <v>2088</v>
      </c>
      <c r="C6" s="1856">
        <v>0.1</v>
      </c>
      <c r="D6" s="1856">
        <v>9.0999999999999998E-2</v>
      </c>
      <c r="E6" s="1856">
        <v>9.0999999999999998E-2</v>
      </c>
      <c r="F6" s="1857">
        <v>0.1</v>
      </c>
    </row>
    <row r="7" spans="1:6" ht="14.25" thickBot="1">
      <c r="A7" s="1851" t="s">
        <v>1097</v>
      </c>
      <c r="B7" s="1858" t="s">
        <v>1085</v>
      </c>
      <c r="C7" s="1856">
        <v>8.5999999999999993E-2</v>
      </c>
      <c r="D7" s="1856">
        <v>9.6000000000000002E-2</v>
      </c>
      <c r="E7" s="1856">
        <v>7.5999999999999998E-2</v>
      </c>
      <c r="F7" s="1857">
        <v>0.1</v>
      </c>
    </row>
    <row r="8" spans="1:6" ht="14.25" thickBot="1">
      <c r="A8" s="1851" t="s">
        <v>1097</v>
      </c>
      <c r="B8" s="1855" t="s">
        <v>1098</v>
      </c>
      <c r="C8" s="1856">
        <v>9.9000000000000005E-2</v>
      </c>
      <c r="D8" s="1856">
        <v>9.8000000000000004E-2</v>
      </c>
      <c r="E8" s="1856">
        <v>9.8000000000000004E-2</v>
      </c>
      <c r="F8" s="1857">
        <v>0.1</v>
      </c>
    </row>
    <row r="9" spans="1:6" ht="14.25" thickBot="1">
      <c r="A9" s="1859" t="s">
        <v>1097</v>
      </c>
      <c r="B9" s="1860" t="s">
        <v>1112</v>
      </c>
      <c r="C9" s="1861">
        <v>0.05</v>
      </c>
      <c r="D9" s="1862"/>
      <c r="E9" s="1862"/>
      <c r="F9" s="1863"/>
    </row>
    <row r="10" spans="1:6" ht="14.25" thickBot="1">
      <c r="A10" s="1851" t="s">
        <v>1156</v>
      </c>
      <c r="B10" s="1852" t="s">
        <v>2089</v>
      </c>
      <c r="C10" s="1853">
        <v>8.8999999999999996E-2</v>
      </c>
      <c r="D10" s="1853">
        <v>7.2999999999999995E-2</v>
      </c>
      <c r="E10" s="1853">
        <v>8.2000000000000003E-2</v>
      </c>
      <c r="F10" s="1854">
        <v>0.1</v>
      </c>
    </row>
    <row r="11" spans="1:6" ht="14.25" thickBot="1">
      <c r="A11" s="1851" t="s">
        <v>1156</v>
      </c>
      <c r="B11" s="1858" t="s">
        <v>1072</v>
      </c>
      <c r="C11" s="1856">
        <v>8.8999999999999996E-2</v>
      </c>
      <c r="D11" s="1856">
        <v>7.2999999999999995E-2</v>
      </c>
      <c r="E11" s="1856">
        <v>8.2000000000000003E-2</v>
      </c>
      <c r="F11" s="1857">
        <v>0.1</v>
      </c>
    </row>
    <row r="12" spans="1:6" ht="14.25" thickBot="1">
      <c r="A12" s="1851" t="s">
        <v>1156</v>
      </c>
      <c r="B12" s="1858" t="s">
        <v>1086</v>
      </c>
      <c r="C12" s="1856">
        <v>6.0999999999999999E-2</v>
      </c>
      <c r="D12" s="1856">
        <v>7.0999999999999994E-2</v>
      </c>
      <c r="E12" s="1856">
        <v>9.6000000000000002E-2</v>
      </c>
      <c r="F12" s="1857">
        <v>0.1</v>
      </c>
    </row>
    <row r="13" spans="1:6" ht="14.25" thickBot="1">
      <c r="A13" s="1851" t="s">
        <v>1156</v>
      </c>
      <c r="B13" s="1858" t="s">
        <v>1099</v>
      </c>
      <c r="C13" s="1856">
        <v>6.9000000000000006E-2</v>
      </c>
      <c r="D13" s="1856">
        <v>6.5000000000000002E-2</v>
      </c>
      <c r="E13" s="1856">
        <v>6.6000000000000003E-2</v>
      </c>
      <c r="F13" s="1857">
        <v>0.1</v>
      </c>
    </row>
    <row r="14" spans="1:6" ht="14.25" thickBot="1">
      <c r="A14" s="1851" t="s">
        <v>1156</v>
      </c>
      <c r="B14" s="1858" t="s">
        <v>1113</v>
      </c>
      <c r="C14" s="1856">
        <v>0.1</v>
      </c>
      <c r="D14" s="1856">
        <v>6.5000000000000002E-2</v>
      </c>
      <c r="E14" s="1856">
        <v>7.0000000000000007E-2</v>
      </c>
      <c r="F14" s="1857">
        <v>0.1</v>
      </c>
    </row>
    <row r="15" spans="1:6" ht="14.25" thickBot="1">
      <c r="A15" s="1851" t="s">
        <v>1156</v>
      </c>
      <c r="B15" s="1858" t="s">
        <v>1124</v>
      </c>
      <c r="C15" s="1856">
        <v>9.8000000000000004E-2</v>
      </c>
      <c r="D15" s="1856">
        <v>8.8999999999999996E-2</v>
      </c>
      <c r="E15" s="1856">
        <v>8.8999999999999996E-2</v>
      </c>
      <c r="F15" s="1857">
        <v>0.1</v>
      </c>
    </row>
    <row r="16" spans="1:6" ht="14.25" thickBot="1">
      <c r="A16" s="1851" t="s">
        <v>1156</v>
      </c>
      <c r="B16" s="1858" t="s">
        <v>1135</v>
      </c>
      <c r="C16" s="1856">
        <v>7.0000000000000007E-2</v>
      </c>
      <c r="D16" s="1856">
        <v>9.2999999999999999E-2</v>
      </c>
      <c r="E16" s="1856">
        <v>9.6000000000000002E-2</v>
      </c>
      <c r="F16" s="1857">
        <v>0.1</v>
      </c>
    </row>
    <row r="17" spans="1:6" ht="14.25" thickBot="1">
      <c r="A17" s="1851" t="s">
        <v>1156</v>
      </c>
      <c r="B17" s="1858" t="s">
        <v>1146</v>
      </c>
      <c r="C17" s="1856">
        <v>9.5000000000000001E-2</v>
      </c>
      <c r="D17" s="1856">
        <v>0.1</v>
      </c>
      <c r="E17" s="1856">
        <v>0.1</v>
      </c>
      <c r="F17" s="1864"/>
    </row>
    <row r="18" spans="1:6" ht="14.25" thickBot="1">
      <c r="A18" s="1851" t="s">
        <v>1156</v>
      </c>
      <c r="B18" s="1858" t="s">
        <v>1158</v>
      </c>
      <c r="C18" s="1856">
        <v>7.3999999999999996E-2</v>
      </c>
      <c r="D18" s="1856">
        <v>9.9000000000000005E-2</v>
      </c>
      <c r="E18" s="1856">
        <v>0.1</v>
      </c>
      <c r="F18" s="1864"/>
    </row>
    <row r="19" spans="1:6" ht="14.25" thickBot="1">
      <c r="A19" s="1851" t="s">
        <v>1156</v>
      </c>
      <c r="B19" s="1858" t="s">
        <v>1168</v>
      </c>
      <c r="C19" s="1856">
        <v>9.9000000000000005E-2</v>
      </c>
      <c r="D19" s="1856">
        <v>7.5999999999999998E-2</v>
      </c>
      <c r="E19" s="1856">
        <v>8.6999999999999994E-2</v>
      </c>
      <c r="F19" s="1864"/>
    </row>
    <row r="20" spans="1:6" ht="14.25" thickBot="1">
      <c r="A20" s="1851" t="s">
        <v>1156</v>
      </c>
      <c r="B20" s="1858" t="s">
        <v>1178</v>
      </c>
      <c r="C20" s="1856">
        <v>9.8000000000000004E-2</v>
      </c>
      <c r="D20" s="1856">
        <v>8.5000000000000006E-2</v>
      </c>
      <c r="E20" s="1856">
        <v>8.2000000000000003E-2</v>
      </c>
      <c r="F20" s="1864"/>
    </row>
    <row r="21" spans="1:6" ht="14.25" thickBot="1">
      <c r="A21" s="1851" t="s">
        <v>1156</v>
      </c>
      <c r="B21" s="1858" t="s">
        <v>1188</v>
      </c>
      <c r="C21" s="1856">
        <v>6.6000000000000003E-2</v>
      </c>
      <c r="D21" s="1856">
        <v>6.4000000000000001E-2</v>
      </c>
      <c r="E21" s="1856">
        <v>6.5000000000000002E-2</v>
      </c>
      <c r="F21" s="1864"/>
    </row>
    <row r="22" spans="1:6" ht="14.25" thickBot="1">
      <c r="A22" s="1851" t="s">
        <v>1156</v>
      </c>
      <c r="B22" s="1858" t="s">
        <v>2090</v>
      </c>
      <c r="C22" s="1856">
        <v>0.08</v>
      </c>
      <c r="D22" s="1856">
        <v>9.8000000000000004E-2</v>
      </c>
      <c r="E22" s="1856">
        <v>9.8000000000000004E-2</v>
      </c>
      <c r="F22" s="1864"/>
    </row>
    <row r="23" spans="1:6" ht="14.25" thickBot="1">
      <c r="A23" s="1851" t="s">
        <v>1156</v>
      </c>
      <c r="B23" s="1858" t="s">
        <v>1208</v>
      </c>
      <c r="C23" s="1856">
        <v>9.9000000000000005E-2</v>
      </c>
      <c r="D23" s="1856">
        <v>9.8000000000000004E-2</v>
      </c>
      <c r="E23" s="1856">
        <v>9.0999999999999998E-2</v>
      </c>
      <c r="F23" s="1864"/>
    </row>
    <row r="24" spans="1:6" ht="14.25" thickBot="1">
      <c r="A24" s="1851" t="s">
        <v>1156</v>
      </c>
      <c r="B24" s="1858" t="s">
        <v>1218</v>
      </c>
      <c r="C24" s="1856">
        <v>8.8999999999999996E-2</v>
      </c>
      <c r="D24" s="1856">
        <v>9.7000000000000003E-2</v>
      </c>
      <c r="E24" s="1856">
        <v>7.0000000000000007E-2</v>
      </c>
      <c r="F24" s="1864"/>
    </row>
    <row r="25" spans="1:6" ht="14.25" thickBot="1">
      <c r="A25" s="1851" t="s">
        <v>1156</v>
      </c>
      <c r="B25" s="1858" t="s">
        <v>1228</v>
      </c>
      <c r="C25" s="1856">
        <v>8.8999999999999996E-2</v>
      </c>
      <c r="D25" s="1856">
        <v>0.1</v>
      </c>
      <c r="E25" s="1856">
        <v>8.1000000000000003E-2</v>
      </c>
      <c r="F25" s="1864"/>
    </row>
    <row r="26" spans="1:6" ht="14.25" thickBot="1">
      <c r="A26" s="1851" t="s">
        <v>1156</v>
      </c>
      <c r="B26" s="1858" t="s">
        <v>1238</v>
      </c>
      <c r="C26" s="1865"/>
      <c r="D26" s="1856">
        <v>9.6000000000000002E-2</v>
      </c>
      <c r="E26" s="1856">
        <v>9.2999999999999999E-2</v>
      </c>
      <c r="F26" s="1864"/>
    </row>
    <row r="27" spans="1:6" ht="14.25" thickBot="1">
      <c r="A27" s="1851" t="s">
        <v>1156</v>
      </c>
      <c r="B27" s="1858" t="s">
        <v>1248</v>
      </c>
      <c r="C27" s="1865"/>
      <c r="D27" s="1856">
        <v>7.5999999999999998E-2</v>
      </c>
      <c r="E27" s="1856">
        <v>9.1999999999999998E-2</v>
      </c>
      <c r="F27" s="1864"/>
    </row>
    <row r="28" spans="1:6" ht="14.25" thickBot="1">
      <c r="A28" s="1859" t="s">
        <v>1156</v>
      </c>
      <c r="B28" s="1860" t="s">
        <v>1258</v>
      </c>
      <c r="C28" s="1862"/>
      <c r="D28" s="1861">
        <v>7.5999999999999998E-2</v>
      </c>
      <c r="E28" s="1861">
        <v>9.1999999999999998E-2</v>
      </c>
      <c r="F28" s="1863"/>
    </row>
    <row r="29" spans="1:6" ht="14.25" thickBot="1">
      <c r="A29" s="1851" t="s">
        <v>1327</v>
      </c>
      <c r="B29" s="1852" t="s">
        <v>2091</v>
      </c>
      <c r="C29" s="1853">
        <v>6.4000000000000001E-2</v>
      </c>
      <c r="D29" s="1853">
        <v>6.5000000000000002E-2</v>
      </c>
      <c r="E29" s="1853">
        <v>6.9000000000000006E-2</v>
      </c>
      <c r="F29" s="1854">
        <v>0.1</v>
      </c>
    </row>
    <row r="30" spans="1:6" ht="14.25" thickBot="1">
      <c r="A30" s="1851" t="s">
        <v>1327</v>
      </c>
      <c r="B30" s="1858" t="s">
        <v>1073</v>
      </c>
      <c r="C30" s="1856">
        <v>6.4000000000000001E-2</v>
      </c>
      <c r="D30" s="1856">
        <v>9.9000000000000005E-2</v>
      </c>
      <c r="E30" s="1856">
        <v>0.1</v>
      </c>
      <c r="F30" s="1857">
        <v>0.1</v>
      </c>
    </row>
    <row r="31" spans="1:6" ht="14.25" thickBot="1">
      <c r="A31" s="1851" t="s">
        <v>1327</v>
      </c>
      <c r="B31" s="1858" t="s">
        <v>1087</v>
      </c>
      <c r="C31" s="1856">
        <v>0.1</v>
      </c>
      <c r="D31" s="1856">
        <v>9.5000000000000001E-2</v>
      </c>
      <c r="E31" s="1856">
        <v>8.8999999999999996E-2</v>
      </c>
      <c r="F31" s="1857">
        <v>0.1</v>
      </c>
    </row>
    <row r="32" spans="1:6" ht="14.25" thickBot="1">
      <c r="A32" s="1851" t="s">
        <v>1327</v>
      </c>
      <c r="B32" s="1858" t="s">
        <v>1100</v>
      </c>
      <c r="C32" s="1856">
        <v>0.05</v>
      </c>
      <c r="D32" s="1856">
        <v>0.05</v>
      </c>
      <c r="E32" s="1856">
        <v>8.7999999999999995E-2</v>
      </c>
      <c r="F32" s="1857">
        <v>0.1</v>
      </c>
    </row>
    <row r="33" spans="1:6" ht="14.25" thickBot="1">
      <c r="A33" s="1851" t="s">
        <v>1327</v>
      </c>
      <c r="B33" s="1858" t="s">
        <v>1114</v>
      </c>
      <c r="C33" s="1856">
        <v>7.4999999999999997E-2</v>
      </c>
      <c r="D33" s="1856">
        <v>9.4E-2</v>
      </c>
      <c r="E33" s="1856">
        <v>9.7000000000000003E-2</v>
      </c>
      <c r="F33" s="1857">
        <v>0.1</v>
      </c>
    </row>
    <row r="34" spans="1:6" ht="14.25" thickBot="1">
      <c r="A34" s="1851" t="s">
        <v>1327</v>
      </c>
      <c r="B34" s="1858" t="s">
        <v>1125</v>
      </c>
      <c r="C34" s="1856">
        <v>9.8000000000000004E-2</v>
      </c>
      <c r="D34" s="1856">
        <v>8.5999999999999993E-2</v>
      </c>
      <c r="E34" s="1856">
        <v>9.7000000000000003E-2</v>
      </c>
      <c r="F34" s="1857">
        <v>0.1</v>
      </c>
    </row>
    <row r="35" spans="1:6" ht="14.25" thickBot="1">
      <c r="A35" s="1851" t="s">
        <v>1327</v>
      </c>
      <c r="B35" s="1858" t="s">
        <v>1136</v>
      </c>
      <c r="C35" s="1856">
        <v>5.8999999999999997E-2</v>
      </c>
      <c r="D35" s="1856">
        <v>6.5000000000000002E-2</v>
      </c>
      <c r="E35" s="1856">
        <v>7.0000000000000007E-2</v>
      </c>
      <c r="F35" s="1857">
        <v>0.1</v>
      </c>
    </row>
    <row r="36" spans="1:6" ht="14.25" thickBot="1">
      <c r="A36" s="1851" t="s">
        <v>1327</v>
      </c>
      <c r="B36" s="1858" t="s">
        <v>1147</v>
      </c>
      <c r="C36" s="1856">
        <v>6.3E-2</v>
      </c>
      <c r="D36" s="1856">
        <v>0.1</v>
      </c>
      <c r="E36" s="1856">
        <v>0.1</v>
      </c>
      <c r="F36" s="1857">
        <v>0.1</v>
      </c>
    </row>
    <row r="37" spans="1:6" ht="14.25" thickBot="1">
      <c r="A37" s="1851" t="s">
        <v>1327</v>
      </c>
      <c r="B37" s="1858" t="s">
        <v>1159</v>
      </c>
      <c r="C37" s="1856">
        <v>7.3999999999999996E-2</v>
      </c>
      <c r="D37" s="1856">
        <v>0.1</v>
      </c>
      <c r="E37" s="1856">
        <v>0.1</v>
      </c>
      <c r="F37" s="1857">
        <v>0.1</v>
      </c>
    </row>
    <row r="38" spans="1:6" ht="14.25" thickBot="1">
      <c r="A38" s="1851" t="s">
        <v>1327</v>
      </c>
      <c r="B38" s="1858" t="s">
        <v>1169</v>
      </c>
      <c r="C38" s="1856">
        <v>0.1</v>
      </c>
      <c r="D38" s="1856">
        <v>9.6000000000000002E-2</v>
      </c>
      <c r="E38" s="1856">
        <v>9.6000000000000002E-2</v>
      </c>
      <c r="F38" s="1864"/>
    </row>
    <row r="39" spans="1:6" ht="14.25" thickBot="1">
      <c r="A39" s="1851" t="s">
        <v>1327</v>
      </c>
      <c r="B39" s="1858" t="s">
        <v>1179</v>
      </c>
      <c r="C39" s="1856">
        <v>0.1</v>
      </c>
      <c r="D39" s="1856">
        <v>9.6000000000000002E-2</v>
      </c>
      <c r="E39" s="1856">
        <v>9.6000000000000002E-2</v>
      </c>
      <c r="F39" s="1864"/>
    </row>
    <row r="40" spans="1:6" ht="14.25" thickBot="1">
      <c r="A40" s="1851" t="s">
        <v>1327</v>
      </c>
      <c r="B40" s="1858" t="s">
        <v>1189</v>
      </c>
      <c r="C40" s="1856">
        <v>9.6000000000000002E-2</v>
      </c>
      <c r="D40" s="1856">
        <v>0.1</v>
      </c>
      <c r="E40" s="1856">
        <v>9.9000000000000005E-2</v>
      </c>
      <c r="F40" s="1864"/>
    </row>
    <row r="41" spans="1:6" ht="14.25" thickBot="1">
      <c r="A41" s="1851" t="s">
        <v>1327</v>
      </c>
      <c r="B41" s="1858" t="s">
        <v>1199</v>
      </c>
      <c r="C41" s="1856">
        <v>9.6000000000000002E-2</v>
      </c>
      <c r="D41" s="1856">
        <v>9.8000000000000004E-2</v>
      </c>
      <c r="E41" s="1856">
        <v>9.8000000000000004E-2</v>
      </c>
      <c r="F41" s="1864"/>
    </row>
    <row r="42" spans="1:6" ht="14.25" thickBot="1">
      <c r="A42" s="1851" t="s">
        <v>1327</v>
      </c>
      <c r="B42" s="1858" t="s">
        <v>1209</v>
      </c>
      <c r="C42" s="1856">
        <v>0.1</v>
      </c>
      <c r="D42" s="1856">
        <v>8.7999999999999995E-2</v>
      </c>
      <c r="E42" s="1856">
        <v>0.1</v>
      </c>
      <c r="F42" s="1864"/>
    </row>
    <row r="43" spans="1:6" ht="14.25" thickBot="1">
      <c r="A43" s="1851" t="s">
        <v>1327</v>
      </c>
      <c r="B43" s="1858" t="s">
        <v>1219</v>
      </c>
      <c r="C43" s="1856">
        <v>9.8000000000000004E-2</v>
      </c>
      <c r="D43" s="1856">
        <v>9.7000000000000003E-2</v>
      </c>
      <c r="E43" s="1856">
        <v>9.6000000000000002E-2</v>
      </c>
      <c r="F43" s="1864"/>
    </row>
    <row r="44" spans="1:6" ht="14.25" thickBot="1">
      <c r="A44" s="1851" t="s">
        <v>1327</v>
      </c>
      <c r="B44" s="1858" t="s">
        <v>1229</v>
      </c>
      <c r="C44" s="1856">
        <v>8.5999999999999993E-2</v>
      </c>
      <c r="D44" s="1856">
        <v>7.9000000000000001E-2</v>
      </c>
      <c r="E44" s="1856">
        <v>7.0999999999999994E-2</v>
      </c>
      <c r="F44" s="1864"/>
    </row>
    <row r="45" spans="1:6" ht="14.25" thickBot="1">
      <c r="A45" s="1851" t="s">
        <v>1327</v>
      </c>
      <c r="B45" s="1858" t="s">
        <v>1239</v>
      </c>
      <c r="C45" s="1856">
        <v>9.8000000000000004E-2</v>
      </c>
      <c r="D45" s="1856">
        <v>9.6000000000000002E-2</v>
      </c>
      <c r="E45" s="1856">
        <v>9.6000000000000002E-2</v>
      </c>
      <c r="F45" s="1864"/>
    </row>
    <row r="46" spans="1:6" ht="14.25" thickBot="1">
      <c r="A46" s="1851" t="s">
        <v>1327</v>
      </c>
      <c r="B46" s="1858" t="s">
        <v>1249</v>
      </c>
      <c r="C46" s="1856">
        <v>8.5999999999999993E-2</v>
      </c>
      <c r="D46" s="1856">
        <v>9.8000000000000004E-2</v>
      </c>
      <c r="E46" s="1856">
        <v>8.7999999999999995E-2</v>
      </c>
      <c r="F46" s="1864"/>
    </row>
    <row r="47" spans="1:6" ht="14.25" thickBot="1">
      <c r="A47" s="1851" t="s">
        <v>1327</v>
      </c>
      <c r="B47" s="1858" t="s">
        <v>1259</v>
      </c>
      <c r="C47" s="1856">
        <v>9.6000000000000002E-2</v>
      </c>
      <c r="D47" s="1865"/>
      <c r="E47" s="1856">
        <v>6.9000000000000006E-2</v>
      </c>
      <c r="F47" s="1864"/>
    </row>
    <row r="48" spans="1:6" ht="14.25" thickBot="1">
      <c r="A48" s="1859" t="s">
        <v>1327</v>
      </c>
      <c r="B48" s="1860" t="s">
        <v>1268</v>
      </c>
      <c r="C48" s="1861">
        <v>9.8000000000000004E-2</v>
      </c>
      <c r="D48" s="1862"/>
      <c r="E48" s="1861">
        <v>9.5000000000000001E-2</v>
      </c>
      <c r="F48" s="1863"/>
    </row>
    <row r="49" spans="1:6" ht="14.25" thickBot="1">
      <c r="A49" s="1851" t="s">
        <v>925</v>
      </c>
      <c r="B49" s="1852" t="s">
        <v>2092</v>
      </c>
      <c r="C49" s="1853">
        <v>9.7000000000000003E-2</v>
      </c>
      <c r="D49" s="1853">
        <v>9.5000000000000001E-2</v>
      </c>
      <c r="E49" s="1853">
        <v>9.7000000000000003E-2</v>
      </c>
      <c r="F49" s="1854">
        <v>0.1</v>
      </c>
    </row>
    <row r="50" spans="1:6" ht="14.25" thickBot="1">
      <c r="A50" s="1851" t="s">
        <v>925</v>
      </c>
      <c r="B50" s="1855" t="s">
        <v>1074</v>
      </c>
      <c r="C50" s="1856">
        <v>7.4999999999999997E-2</v>
      </c>
      <c r="D50" s="1856">
        <v>9.5000000000000001E-2</v>
      </c>
      <c r="E50" s="1856">
        <v>0.1</v>
      </c>
      <c r="F50" s="1857">
        <v>0.1</v>
      </c>
    </row>
    <row r="51" spans="1:6" ht="14.25" thickBot="1">
      <c r="A51" s="1851" t="s">
        <v>925</v>
      </c>
      <c r="B51" s="1855" t="s">
        <v>1088</v>
      </c>
      <c r="C51" s="1856">
        <v>9.8000000000000004E-2</v>
      </c>
      <c r="D51" s="1856">
        <v>8.8999999999999996E-2</v>
      </c>
      <c r="E51" s="1856">
        <v>0.1</v>
      </c>
      <c r="F51" s="1857">
        <v>0.1</v>
      </c>
    </row>
    <row r="52" spans="1:6" ht="14.25" thickBot="1">
      <c r="A52" s="1851" t="s">
        <v>925</v>
      </c>
      <c r="B52" s="1855" t="s">
        <v>1101</v>
      </c>
      <c r="C52" s="1856">
        <v>9.8000000000000004E-2</v>
      </c>
      <c r="D52" s="1856">
        <v>9.7000000000000003E-2</v>
      </c>
      <c r="E52" s="1856">
        <v>8.1000000000000003E-2</v>
      </c>
      <c r="F52" s="1857">
        <v>0.1</v>
      </c>
    </row>
    <row r="53" spans="1:6" ht="14.25" thickBot="1">
      <c r="A53" s="1851" t="s">
        <v>925</v>
      </c>
      <c r="B53" s="1855" t="s">
        <v>1115</v>
      </c>
      <c r="C53" s="1856">
        <v>9.7000000000000003E-2</v>
      </c>
      <c r="D53" s="1856">
        <v>7.5999999999999998E-2</v>
      </c>
      <c r="E53" s="1856">
        <v>7.0999999999999994E-2</v>
      </c>
      <c r="F53" s="1857">
        <v>0.1</v>
      </c>
    </row>
    <row r="54" spans="1:6" ht="14.25" thickBot="1">
      <c r="A54" s="1851" t="s">
        <v>925</v>
      </c>
      <c r="B54" s="1855" t="s">
        <v>1126</v>
      </c>
      <c r="C54" s="1856">
        <v>7.5999999999999998E-2</v>
      </c>
      <c r="D54" s="1856">
        <v>0.1</v>
      </c>
      <c r="E54" s="1856">
        <v>9.9000000000000005E-2</v>
      </c>
      <c r="F54" s="1857">
        <v>0.1</v>
      </c>
    </row>
    <row r="55" spans="1:6" ht="14.25" thickBot="1">
      <c r="A55" s="1851" t="s">
        <v>925</v>
      </c>
      <c r="B55" s="1855" t="s">
        <v>1137</v>
      </c>
      <c r="C55" s="1856">
        <v>0.1</v>
      </c>
      <c r="D55" s="1856">
        <v>0.1</v>
      </c>
      <c r="E55" s="1856">
        <v>9.6000000000000002E-2</v>
      </c>
      <c r="F55" s="1857">
        <v>0.1</v>
      </c>
    </row>
    <row r="56" spans="1:6" ht="14.25" thickBot="1">
      <c r="A56" s="1851" t="s">
        <v>925</v>
      </c>
      <c r="B56" s="1855" t="s">
        <v>1148</v>
      </c>
      <c r="C56" s="1856">
        <v>0.1</v>
      </c>
      <c r="D56" s="1856">
        <v>9.6000000000000002E-2</v>
      </c>
      <c r="E56" s="1856">
        <v>5.1999999999999998E-2</v>
      </c>
      <c r="F56" s="1857">
        <v>0.1</v>
      </c>
    </row>
    <row r="57" spans="1:6" ht="14.25" thickBot="1">
      <c r="A57" s="1851" t="s">
        <v>925</v>
      </c>
      <c r="B57" s="1855" t="s">
        <v>1160</v>
      </c>
      <c r="C57" s="1856">
        <v>9.7000000000000003E-2</v>
      </c>
      <c r="D57" s="1856">
        <v>9.6000000000000002E-2</v>
      </c>
      <c r="E57" s="1856">
        <v>9.6000000000000002E-2</v>
      </c>
      <c r="F57" s="1857">
        <v>0.1</v>
      </c>
    </row>
    <row r="58" spans="1:6" ht="14.25" thickBot="1">
      <c r="A58" s="1851" t="s">
        <v>925</v>
      </c>
      <c r="B58" s="1855" t="s">
        <v>1170</v>
      </c>
      <c r="C58" s="1856">
        <v>9.6000000000000002E-2</v>
      </c>
      <c r="D58" s="1856">
        <v>9.9000000000000005E-2</v>
      </c>
      <c r="E58" s="1856">
        <v>9.6000000000000002E-2</v>
      </c>
      <c r="F58" s="1857">
        <v>0.1</v>
      </c>
    </row>
    <row r="59" spans="1:6" ht="14.25" thickBot="1">
      <c r="A59" s="1851" t="s">
        <v>925</v>
      </c>
      <c r="B59" s="1855" t="s">
        <v>1180</v>
      </c>
      <c r="C59" s="1856">
        <v>7.1999999999999995E-2</v>
      </c>
      <c r="D59" s="1856">
        <v>9.6000000000000002E-2</v>
      </c>
      <c r="E59" s="1856">
        <v>7.0999999999999994E-2</v>
      </c>
      <c r="F59" s="1857">
        <v>0.1</v>
      </c>
    </row>
    <row r="60" spans="1:6" ht="14.25" thickBot="1">
      <c r="A60" s="1851" t="s">
        <v>925</v>
      </c>
      <c r="B60" s="1855" t="s">
        <v>1190</v>
      </c>
      <c r="C60" s="1856">
        <v>9.6000000000000002E-2</v>
      </c>
      <c r="D60" s="1856">
        <v>8.8999999999999996E-2</v>
      </c>
      <c r="E60" s="1856">
        <v>9.6000000000000002E-2</v>
      </c>
      <c r="F60" s="1857">
        <v>0.1</v>
      </c>
    </row>
    <row r="61" spans="1:6" ht="14.25" thickBot="1">
      <c r="A61" s="1851" t="s">
        <v>925</v>
      </c>
      <c r="B61" s="1855" t="s">
        <v>1200</v>
      </c>
      <c r="C61" s="1856">
        <v>8.8999999999999996E-2</v>
      </c>
      <c r="D61" s="1856">
        <v>9.8000000000000004E-2</v>
      </c>
      <c r="E61" s="1856">
        <v>8.7999999999999995E-2</v>
      </c>
      <c r="F61" s="1864"/>
    </row>
    <row r="62" spans="1:6" ht="14.25" thickBot="1">
      <c r="A62" s="1851" t="s">
        <v>925</v>
      </c>
      <c r="B62" s="1855" t="s">
        <v>1210</v>
      </c>
      <c r="C62" s="1856">
        <v>9.8000000000000004E-2</v>
      </c>
      <c r="D62" s="1856">
        <v>9.2999999999999999E-2</v>
      </c>
      <c r="E62" s="1856">
        <v>9.7000000000000003E-2</v>
      </c>
      <c r="F62" s="1864"/>
    </row>
    <row r="63" spans="1:6" ht="14.25" thickBot="1">
      <c r="A63" s="1851" t="s">
        <v>925</v>
      </c>
      <c r="B63" s="1855" t="s">
        <v>1220</v>
      </c>
      <c r="C63" s="1856">
        <v>9.6000000000000002E-2</v>
      </c>
      <c r="D63" s="1856">
        <v>9.8000000000000004E-2</v>
      </c>
      <c r="E63" s="1856">
        <v>0.09</v>
      </c>
      <c r="F63" s="1864"/>
    </row>
    <row r="64" spans="1:6" ht="14.25" thickBot="1">
      <c r="A64" s="1851" t="s">
        <v>925</v>
      </c>
      <c r="B64" s="1855" t="s">
        <v>1230</v>
      </c>
      <c r="C64" s="1856">
        <v>9.9000000000000005E-2</v>
      </c>
      <c r="D64" s="1856">
        <v>9.7000000000000003E-2</v>
      </c>
      <c r="E64" s="1856">
        <v>9.9000000000000005E-2</v>
      </c>
      <c r="F64" s="1864"/>
    </row>
    <row r="65" spans="1:6" ht="14.25" thickBot="1">
      <c r="A65" s="1851" t="s">
        <v>925</v>
      </c>
      <c r="B65" s="1855" t="s">
        <v>1240</v>
      </c>
      <c r="C65" s="1856">
        <v>9.8000000000000004E-2</v>
      </c>
      <c r="D65" s="1856">
        <v>9.6000000000000002E-2</v>
      </c>
      <c r="E65" s="1856">
        <v>9.6000000000000002E-2</v>
      </c>
      <c r="F65" s="1864"/>
    </row>
    <row r="66" spans="1:6" ht="14.25" thickBot="1">
      <c r="A66" s="1851" t="s">
        <v>925</v>
      </c>
      <c r="B66" s="1855" t="s">
        <v>1250</v>
      </c>
      <c r="C66" s="1856">
        <v>9.6000000000000002E-2</v>
      </c>
      <c r="D66" s="1856">
        <v>9.1999999999999998E-2</v>
      </c>
      <c r="E66" s="1856">
        <v>9.6000000000000002E-2</v>
      </c>
      <c r="F66" s="1864"/>
    </row>
    <row r="67" spans="1:6" ht="14.25" thickBot="1">
      <c r="A67" s="1851" t="s">
        <v>925</v>
      </c>
      <c r="B67" s="1855" t="s">
        <v>1260</v>
      </c>
      <c r="C67" s="1856">
        <v>9.4E-2</v>
      </c>
      <c r="D67" s="1856">
        <v>0.1</v>
      </c>
      <c r="E67" s="1856">
        <v>8.7999999999999995E-2</v>
      </c>
      <c r="F67" s="1864"/>
    </row>
    <row r="68" spans="1:6" ht="14.25" thickBot="1">
      <c r="A68" s="1851" t="s">
        <v>925</v>
      </c>
      <c r="B68" s="1855" t="s">
        <v>1269</v>
      </c>
      <c r="C68" s="1856">
        <v>0.1</v>
      </c>
      <c r="D68" s="1856">
        <v>8.7999999999999995E-2</v>
      </c>
      <c r="E68" s="1856">
        <v>9.7000000000000003E-2</v>
      </c>
      <c r="F68" s="1864"/>
    </row>
    <row r="69" spans="1:6" ht="14.25" thickBot="1">
      <c r="A69" s="1851" t="s">
        <v>925</v>
      </c>
      <c r="B69" s="1855" t="s">
        <v>1278</v>
      </c>
      <c r="C69" s="1856">
        <v>6.4000000000000001E-2</v>
      </c>
      <c r="D69" s="1856">
        <v>0.1</v>
      </c>
      <c r="E69" s="1856">
        <v>0.1</v>
      </c>
      <c r="F69" s="1864"/>
    </row>
    <row r="70" spans="1:6" ht="14.25" thickBot="1">
      <c r="A70" s="1851" t="s">
        <v>925</v>
      </c>
      <c r="B70" s="1855" t="s">
        <v>1286</v>
      </c>
      <c r="C70" s="1856">
        <v>9.0999999999999998E-2</v>
      </c>
      <c r="D70" s="1865"/>
      <c r="E70" s="1865"/>
      <c r="F70" s="1864"/>
    </row>
    <row r="71" spans="1:6" ht="14.25" thickBot="1">
      <c r="A71" s="1851" t="s">
        <v>925</v>
      </c>
      <c r="B71" s="1855" t="s">
        <v>1293</v>
      </c>
      <c r="C71" s="1856">
        <v>0.1</v>
      </c>
      <c r="D71" s="1865"/>
      <c r="E71" s="1865"/>
      <c r="F71" s="1864"/>
    </row>
    <row r="72" spans="1:6" ht="14.25" thickBot="1">
      <c r="A72" s="1851" t="s">
        <v>925</v>
      </c>
      <c r="B72" s="1855" t="s">
        <v>2093</v>
      </c>
      <c r="C72" s="1865"/>
      <c r="D72" s="1865"/>
      <c r="E72" s="1865"/>
      <c r="F72" s="1857">
        <v>0.05</v>
      </c>
    </row>
    <row r="73" spans="1:6" ht="14.25" thickBot="1">
      <c r="A73" s="1851" t="s">
        <v>925</v>
      </c>
      <c r="B73" s="1855" t="s">
        <v>2094</v>
      </c>
      <c r="C73" s="1865"/>
      <c r="D73" s="1865"/>
      <c r="E73" s="1865"/>
      <c r="F73" s="1857">
        <v>0.05</v>
      </c>
    </row>
    <row r="74" spans="1:6" ht="14.25" thickBot="1">
      <c r="A74" s="1851" t="s">
        <v>925</v>
      </c>
      <c r="B74" s="1855" t="s">
        <v>2095</v>
      </c>
      <c r="C74" s="1865"/>
      <c r="D74" s="1865"/>
      <c r="E74" s="1865"/>
      <c r="F74" s="1857">
        <v>0.05</v>
      </c>
    </row>
    <row r="75" spans="1:6" ht="14.25" thickBot="1">
      <c r="A75" s="1859" t="s">
        <v>925</v>
      </c>
      <c r="B75" s="1866" t="s">
        <v>2096</v>
      </c>
      <c r="C75" s="1862"/>
      <c r="D75" s="1862"/>
      <c r="E75" s="1862"/>
      <c r="F75" s="1867">
        <v>0.05</v>
      </c>
    </row>
    <row r="76" spans="1:6" ht="14.25" thickBot="1">
      <c r="A76" s="1851" t="s">
        <v>1408</v>
      </c>
      <c r="B76" s="1852" t="s">
        <v>2097</v>
      </c>
      <c r="C76" s="1853">
        <v>0.1</v>
      </c>
      <c r="D76" s="1853">
        <v>0.1</v>
      </c>
      <c r="E76" s="1853">
        <v>0.1</v>
      </c>
      <c r="F76" s="1854">
        <v>0.1</v>
      </c>
    </row>
    <row r="77" spans="1:6" ht="14.25" thickBot="1">
      <c r="A77" s="1851" t="s">
        <v>1408</v>
      </c>
      <c r="B77" s="1855" t="s">
        <v>1075</v>
      </c>
      <c r="C77" s="1856">
        <v>8.7999999999999995E-2</v>
      </c>
      <c r="D77" s="1856">
        <v>8.6999999999999994E-2</v>
      </c>
      <c r="E77" s="1856">
        <v>7.9000000000000001E-2</v>
      </c>
      <c r="F77" s="1857">
        <v>0.1</v>
      </c>
    </row>
    <row r="78" spans="1:6" ht="14.25" thickBot="1">
      <c r="A78" s="1851" t="s">
        <v>1408</v>
      </c>
      <c r="B78" s="1855" t="s">
        <v>1089</v>
      </c>
      <c r="C78" s="1856">
        <v>8.6999999999999994E-2</v>
      </c>
      <c r="D78" s="1856">
        <v>8.4000000000000005E-2</v>
      </c>
      <c r="E78" s="1856">
        <v>9.6000000000000002E-2</v>
      </c>
      <c r="F78" s="1857">
        <v>0.1</v>
      </c>
    </row>
    <row r="79" spans="1:6" ht="14.25" thickBot="1">
      <c r="A79" s="1851" t="s">
        <v>1408</v>
      </c>
      <c r="B79" s="1855" t="s">
        <v>1102</v>
      </c>
      <c r="C79" s="1856">
        <v>9.8000000000000004E-2</v>
      </c>
      <c r="D79" s="1856">
        <v>9.8000000000000004E-2</v>
      </c>
      <c r="E79" s="1856">
        <v>9.0999999999999998E-2</v>
      </c>
      <c r="F79" s="1857">
        <v>0.1</v>
      </c>
    </row>
    <row r="80" spans="1:6" ht="14.25" thickBot="1">
      <c r="A80" s="1851" t="s">
        <v>1408</v>
      </c>
      <c r="B80" s="1855" t="s">
        <v>1116</v>
      </c>
      <c r="C80" s="1856">
        <v>9.6000000000000002E-2</v>
      </c>
      <c r="D80" s="1856">
        <v>9.6000000000000002E-2</v>
      </c>
      <c r="E80" s="1856">
        <v>0.1</v>
      </c>
      <c r="F80" s="1857">
        <v>0.1</v>
      </c>
    </row>
    <row r="81" spans="1:6" ht="14.25" thickBot="1">
      <c r="A81" s="1851" t="s">
        <v>1408</v>
      </c>
      <c r="B81" s="1855" t="s">
        <v>1127</v>
      </c>
      <c r="C81" s="1856">
        <v>9.9000000000000005E-2</v>
      </c>
      <c r="D81" s="1856">
        <v>9.9000000000000005E-2</v>
      </c>
      <c r="E81" s="1856">
        <v>9.8000000000000004E-2</v>
      </c>
      <c r="F81" s="1857">
        <v>0.1</v>
      </c>
    </row>
    <row r="82" spans="1:6" ht="14.25" thickBot="1">
      <c r="A82" s="1851" t="s">
        <v>1408</v>
      </c>
      <c r="B82" s="1855" t="s">
        <v>1138</v>
      </c>
      <c r="C82" s="1856">
        <v>9.9000000000000005E-2</v>
      </c>
      <c r="D82" s="1856">
        <v>9.9000000000000005E-2</v>
      </c>
      <c r="E82" s="1856">
        <v>9.7000000000000003E-2</v>
      </c>
      <c r="F82" s="1857">
        <v>0.1</v>
      </c>
    </row>
    <row r="83" spans="1:6" ht="14.25" thickBot="1">
      <c r="A83" s="1851" t="s">
        <v>1408</v>
      </c>
      <c r="B83" s="1855" t="s">
        <v>1149</v>
      </c>
      <c r="C83" s="1856">
        <v>9.8000000000000004E-2</v>
      </c>
      <c r="D83" s="1856">
        <v>9.8000000000000004E-2</v>
      </c>
      <c r="E83" s="1856">
        <v>9.8000000000000004E-2</v>
      </c>
      <c r="F83" s="1857">
        <v>0.1</v>
      </c>
    </row>
    <row r="84" spans="1:6" ht="14.25" thickBot="1">
      <c r="A84" s="1851" t="s">
        <v>1408</v>
      </c>
      <c r="B84" s="1855" t="s">
        <v>1161</v>
      </c>
      <c r="C84" s="1856">
        <v>9.9000000000000005E-2</v>
      </c>
      <c r="D84" s="1856">
        <v>9.9000000000000005E-2</v>
      </c>
      <c r="E84" s="1856">
        <v>9.9000000000000005E-2</v>
      </c>
      <c r="F84" s="1857">
        <v>0.1</v>
      </c>
    </row>
    <row r="85" spans="1:6" ht="14.25" thickBot="1">
      <c r="A85" s="1851" t="s">
        <v>1408</v>
      </c>
      <c r="B85" s="1855" t="s">
        <v>1171</v>
      </c>
      <c r="C85" s="1856">
        <v>9.9000000000000005E-2</v>
      </c>
      <c r="D85" s="1856">
        <v>9.9000000000000005E-2</v>
      </c>
      <c r="E85" s="1856">
        <v>9.9000000000000005E-2</v>
      </c>
      <c r="F85" s="1857">
        <v>0.1</v>
      </c>
    </row>
    <row r="86" spans="1:6" ht="14.25" thickBot="1">
      <c r="A86" s="1851" t="s">
        <v>1408</v>
      </c>
      <c r="B86" s="1855" t="s">
        <v>1181</v>
      </c>
      <c r="C86" s="1856">
        <v>0.1</v>
      </c>
      <c r="D86" s="1856">
        <v>0.1</v>
      </c>
      <c r="E86" s="1856">
        <v>7.6999999999999999E-2</v>
      </c>
      <c r="F86" s="1857">
        <v>0.1</v>
      </c>
    </row>
    <row r="87" spans="1:6" ht="14.25" thickBot="1">
      <c r="A87" s="1851" t="s">
        <v>1408</v>
      </c>
      <c r="B87" s="1855" t="s">
        <v>1191</v>
      </c>
      <c r="C87" s="1856">
        <v>0.1</v>
      </c>
      <c r="D87" s="1856">
        <v>0.1</v>
      </c>
      <c r="E87" s="1856">
        <v>9.8000000000000004E-2</v>
      </c>
      <c r="F87" s="1864"/>
    </row>
    <row r="88" spans="1:6" ht="14.25" thickBot="1">
      <c r="A88" s="1851" t="s">
        <v>1408</v>
      </c>
      <c r="B88" s="1855" t="s">
        <v>1201</v>
      </c>
      <c r="C88" s="1856">
        <v>9.1999999999999998E-2</v>
      </c>
      <c r="D88" s="1856">
        <v>8.5000000000000006E-2</v>
      </c>
      <c r="E88" s="1856">
        <v>9.6000000000000002E-2</v>
      </c>
      <c r="F88" s="1864"/>
    </row>
    <row r="89" spans="1:6" ht="14.25" thickBot="1">
      <c r="A89" s="1851" t="s">
        <v>1408</v>
      </c>
      <c r="B89" s="1855" t="s">
        <v>1211</v>
      </c>
      <c r="C89" s="1856">
        <v>0.1</v>
      </c>
      <c r="D89" s="1856">
        <v>0.1</v>
      </c>
      <c r="E89" s="1856">
        <v>9.7000000000000003E-2</v>
      </c>
      <c r="F89" s="1864"/>
    </row>
    <row r="90" spans="1:6" ht="14.25" thickBot="1">
      <c r="A90" s="1851" t="s">
        <v>1408</v>
      </c>
      <c r="B90" s="1855" t="s">
        <v>1221</v>
      </c>
      <c r="C90" s="1856">
        <v>9.8000000000000004E-2</v>
      </c>
      <c r="D90" s="1856">
        <v>9.8000000000000004E-2</v>
      </c>
      <c r="E90" s="1856">
        <v>8.7999999999999995E-2</v>
      </c>
      <c r="F90" s="1864"/>
    </row>
    <row r="91" spans="1:6" ht="14.25" thickBot="1">
      <c r="A91" s="1851" t="s">
        <v>1408</v>
      </c>
      <c r="B91" s="1855" t="s">
        <v>1231</v>
      </c>
      <c r="C91" s="1856">
        <v>9.9000000000000005E-2</v>
      </c>
      <c r="D91" s="1856">
        <v>9.9000000000000005E-2</v>
      </c>
      <c r="E91" s="1856">
        <v>9.0999999999999998E-2</v>
      </c>
      <c r="F91" s="1864"/>
    </row>
    <row r="92" spans="1:6" ht="14.25" thickBot="1">
      <c r="A92" s="1851" t="s">
        <v>1408</v>
      </c>
      <c r="B92" s="1855" t="s">
        <v>1241</v>
      </c>
      <c r="C92" s="1856">
        <v>9.6000000000000002E-2</v>
      </c>
      <c r="D92" s="1856">
        <v>9.6000000000000002E-2</v>
      </c>
      <c r="E92" s="1856">
        <v>7.2999999999999995E-2</v>
      </c>
      <c r="F92" s="1864"/>
    </row>
    <row r="93" spans="1:6" ht="14.25" thickBot="1">
      <c r="A93" s="1851" t="s">
        <v>1408</v>
      </c>
      <c r="B93" s="1855" t="s">
        <v>1251</v>
      </c>
      <c r="C93" s="1856">
        <v>9.6000000000000002E-2</v>
      </c>
      <c r="D93" s="1856">
        <v>9.6000000000000002E-2</v>
      </c>
      <c r="E93" s="1856">
        <v>9.9000000000000005E-2</v>
      </c>
      <c r="F93" s="1864"/>
    </row>
    <row r="94" spans="1:6" ht="14.25" thickBot="1">
      <c r="A94" s="1851" t="s">
        <v>1408</v>
      </c>
      <c r="B94" s="1855" t="s">
        <v>1261</v>
      </c>
      <c r="C94" s="1856">
        <v>7.5999999999999998E-2</v>
      </c>
      <c r="D94" s="1856">
        <v>7.3999999999999996E-2</v>
      </c>
      <c r="E94" s="1856">
        <v>9.7000000000000003E-2</v>
      </c>
      <c r="F94" s="1864"/>
    </row>
    <row r="95" spans="1:6" ht="14.25" thickBot="1">
      <c r="A95" s="1851" t="s">
        <v>1408</v>
      </c>
      <c r="B95" s="1855" t="s">
        <v>1270</v>
      </c>
      <c r="C95" s="1856">
        <v>9.9000000000000005E-2</v>
      </c>
      <c r="D95" s="1856">
        <v>9.4E-2</v>
      </c>
      <c r="E95" s="1856">
        <v>9.6000000000000002E-2</v>
      </c>
      <c r="F95" s="1864"/>
    </row>
    <row r="96" spans="1:6" ht="14.25" thickBot="1">
      <c r="A96" s="1851" t="s">
        <v>1408</v>
      </c>
      <c r="B96" s="1855" t="s">
        <v>1279</v>
      </c>
      <c r="C96" s="1856">
        <v>9.9000000000000005E-2</v>
      </c>
      <c r="D96" s="1856">
        <v>9.9000000000000005E-2</v>
      </c>
      <c r="E96" s="1856">
        <v>9.9000000000000005E-2</v>
      </c>
      <c r="F96" s="1864"/>
    </row>
    <row r="97" spans="1:6" ht="14.25" thickBot="1">
      <c r="A97" s="1851" t="s">
        <v>1408</v>
      </c>
      <c r="B97" s="1855" t="s">
        <v>1287</v>
      </c>
      <c r="C97" s="1856">
        <v>9.8000000000000004E-2</v>
      </c>
      <c r="D97" s="1856">
        <v>9.8000000000000004E-2</v>
      </c>
      <c r="E97" s="1856">
        <v>9.7000000000000003E-2</v>
      </c>
      <c r="F97" s="1864"/>
    </row>
    <row r="98" spans="1:6" ht="14.25" thickBot="1">
      <c r="A98" s="1851" t="s">
        <v>1408</v>
      </c>
      <c r="B98" s="1855" t="s">
        <v>1294</v>
      </c>
      <c r="C98" s="1856">
        <v>0.1</v>
      </c>
      <c r="D98" s="1856">
        <v>0.1</v>
      </c>
      <c r="E98" s="1856">
        <v>9.7000000000000003E-2</v>
      </c>
      <c r="F98" s="1864"/>
    </row>
    <row r="99" spans="1:6" ht="14.25" thickBot="1">
      <c r="A99" s="1851" t="s">
        <v>1408</v>
      </c>
      <c r="B99" s="1855" t="s">
        <v>1301</v>
      </c>
      <c r="C99" s="1856">
        <v>0.1</v>
      </c>
      <c r="D99" s="1856">
        <v>0.1</v>
      </c>
      <c r="E99" s="1865"/>
      <c r="F99" s="1864"/>
    </row>
    <row r="100" spans="1:6" ht="14.25" thickBot="1">
      <c r="A100" s="1851" t="s">
        <v>1408</v>
      </c>
      <c r="B100" s="1855" t="s">
        <v>1308</v>
      </c>
      <c r="C100" s="1856">
        <v>0.09</v>
      </c>
      <c r="D100" s="1856">
        <v>8.8999999999999996E-2</v>
      </c>
      <c r="E100" s="1865"/>
      <c r="F100" s="1864"/>
    </row>
    <row r="101" spans="1:6" ht="14.25" thickBot="1">
      <c r="A101" s="1851" t="s">
        <v>1408</v>
      </c>
      <c r="B101" s="1855" t="s">
        <v>1315</v>
      </c>
      <c r="C101" s="1856">
        <v>9.8000000000000004E-2</v>
      </c>
      <c r="D101" s="1856">
        <v>9.7000000000000003E-2</v>
      </c>
      <c r="E101" s="1865"/>
      <c r="F101" s="1864"/>
    </row>
    <row r="102" spans="1:6" ht="14.25" thickBot="1">
      <c r="A102" s="1851" t="s">
        <v>1408</v>
      </c>
      <c r="B102" s="1855" t="s">
        <v>2098</v>
      </c>
      <c r="C102" s="1865"/>
      <c r="D102" s="1865"/>
      <c r="E102" s="1865"/>
      <c r="F102" s="1857">
        <v>0.05</v>
      </c>
    </row>
    <row r="103" spans="1:6" ht="24.75" thickBot="1">
      <c r="A103" s="1851" t="s">
        <v>1408</v>
      </c>
      <c r="B103" s="1855" t="s">
        <v>2099</v>
      </c>
      <c r="C103" s="1865"/>
      <c r="D103" s="1865"/>
      <c r="E103" s="1865"/>
      <c r="F103" s="1857">
        <v>0.05</v>
      </c>
    </row>
    <row r="104" spans="1:6" ht="14.25" thickBot="1">
      <c r="A104" s="1851" t="s">
        <v>1408</v>
      </c>
      <c r="B104" s="1855" t="s">
        <v>2100</v>
      </c>
      <c r="C104" s="1865"/>
      <c r="D104" s="1865"/>
      <c r="E104" s="1865"/>
      <c r="F104" s="1857">
        <v>0.05</v>
      </c>
    </row>
    <row r="105" spans="1:6" ht="14.25" thickBot="1">
      <c r="A105" s="1851" t="s">
        <v>1408</v>
      </c>
      <c r="B105" s="1855" t="s">
        <v>2101</v>
      </c>
      <c r="C105" s="1865"/>
      <c r="D105" s="1865"/>
      <c r="E105" s="1865"/>
      <c r="F105" s="1857">
        <v>0.05</v>
      </c>
    </row>
    <row r="106" spans="1:6" ht="14.25" thickBot="1">
      <c r="A106" s="1851" t="s">
        <v>1408</v>
      </c>
      <c r="B106" s="1855" t="s">
        <v>2102</v>
      </c>
      <c r="C106" s="1865"/>
      <c r="D106" s="1865"/>
      <c r="E106" s="1865"/>
      <c r="F106" s="1857">
        <v>0.05</v>
      </c>
    </row>
    <row r="107" spans="1:6" ht="24.75" thickBot="1">
      <c r="A107" s="1851" t="s">
        <v>1408</v>
      </c>
      <c r="B107" s="1855" t="s">
        <v>2103</v>
      </c>
      <c r="C107" s="1865"/>
      <c r="D107" s="1865"/>
      <c r="E107" s="1865"/>
      <c r="F107" s="1857">
        <v>0.05</v>
      </c>
    </row>
    <row r="108" spans="1:6" ht="24.75" thickBot="1">
      <c r="A108" s="1851" t="s">
        <v>1408</v>
      </c>
      <c r="B108" s="1855" t="s">
        <v>2104</v>
      </c>
      <c r="C108" s="1865"/>
      <c r="D108" s="1865"/>
      <c r="E108" s="1865"/>
      <c r="F108" s="1857">
        <v>0.05</v>
      </c>
    </row>
    <row r="109" spans="1:6" ht="24.75" thickBot="1">
      <c r="A109" s="1859" t="s">
        <v>1408</v>
      </c>
      <c r="B109" s="1866" t="s">
        <v>2105</v>
      </c>
      <c r="C109" s="1862"/>
      <c r="D109" s="1862"/>
      <c r="E109" s="1862"/>
      <c r="F109" s="1867">
        <v>0.05</v>
      </c>
    </row>
    <row r="110" spans="1:6" ht="14.25" thickBot="1">
      <c r="A110" s="1851" t="s">
        <v>1410</v>
      </c>
      <c r="B110" s="1852" t="s">
        <v>2106</v>
      </c>
      <c r="C110" s="1853">
        <v>0.129</v>
      </c>
      <c r="D110" s="1853">
        <v>0.129</v>
      </c>
      <c r="E110" s="1853">
        <v>0.126</v>
      </c>
      <c r="F110" s="1854">
        <v>0.13</v>
      </c>
    </row>
    <row r="111" spans="1:6" ht="14.25" thickBot="1">
      <c r="A111" s="1851" t="s">
        <v>1410</v>
      </c>
      <c r="B111" s="1855" t="s">
        <v>1076</v>
      </c>
      <c r="C111" s="1856">
        <v>0.11</v>
      </c>
      <c r="D111" s="1856">
        <v>0.11</v>
      </c>
      <c r="E111" s="1856">
        <v>9.9000000000000005E-2</v>
      </c>
      <c r="F111" s="1857">
        <v>0.128</v>
      </c>
    </row>
    <row r="112" spans="1:6" ht="14.25" thickBot="1">
      <c r="A112" s="1851" t="s">
        <v>1410</v>
      </c>
      <c r="B112" s="1855" t="s">
        <v>1090</v>
      </c>
      <c r="C112" s="1856">
        <v>0.125</v>
      </c>
      <c r="D112" s="1856">
        <v>0.125</v>
      </c>
      <c r="E112" s="1856">
        <v>0.12</v>
      </c>
      <c r="F112" s="1857">
        <v>0.125</v>
      </c>
    </row>
    <row r="113" spans="1:6" ht="14.25" thickBot="1">
      <c r="A113" s="1851" t="s">
        <v>1410</v>
      </c>
      <c r="B113" s="1855" t="s">
        <v>1103</v>
      </c>
      <c r="C113" s="1856">
        <v>0.13</v>
      </c>
      <c r="D113" s="1856">
        <v>0.13</v>
      </c>
      <c r="E113" s="1856">
        <v>0.13</v>
      </c>
      <c r="F113" s="1857">
        <v>0.13</v>
      </c>
    </row>
    <row r="114" spans="1:6" ht="14.25" thickBot="1">
      <c r="A114" s="1851" t="s">
        <v>1410</v>
      </c>
      <c r="B114" s="1855" t="s">
        <v>1117</v>
      </c>
      <c r="C114" s="1856">
        <v>0.123</v>
      </c>
      <c r="D114" s="1856">
        <v>0.123</v>
      </c>
      <c r="E114" s="1856">
        <v>0.12</v>
      </c>
      <c r="F114" s="1857">
        <v>0.13</v>
      </c>
    </row>
    <row r="115" spans="1:6" ht="14.25" thickBot="1">
      <c r="A115" s="1851" t="s">
        <v>1410</v>
      </c>
      <c r="B115" s="1855" t="s">
        <v>1128</v>
      </c>
      <c r="C115" s="1856">
        <v>0.125</v>
      </c>
      <c r="D115" s="1856">
        <v>0.125</v>
      </c>
      <c r="E115" s="1856">
        <v>0.11700000000000001</v>
      </c>
      <c r="F115" s="1857">
        <v>0.13</v>
      </c>
    </row>
    <row r="116" spans="1:6" ht="14.25" thickBot="1">
      <c r="A116" s="1851" t="s">
        <v>1410</v>
      </c>
      <c r="B116" s="1855" t="s">
        <v>1139</v>
      </c>
      <c r="C116" s="1856">
        <v>0.11700000000000001</v>
      </c>
      <c r="D116" s="1856">
        <v>0.11700000000000001</v>
      </c>
      <c r="E116" s="1856">
        <v>8.7999999999999995E-2</v>
      </c>
      <c r="F116" s="1857">
        <v>0.13</v>
      </c>
    </row>
    <row r="117" spans="1:6" ht="14.25" thickBot="1">
      <c r="A117" s="1851" t="s">
        <v>1410</v>
      </c>
      <c r="B117" s="1855" t="s">
        <v>1150</v>
      </c>
      <c r="C117" s="1856">
        <v>0.13</v>
      </c>
      <c r="D117" s="1856">
        <v>0.13</v>
      </c>
      <c r="E117" s="1856">
        <v>0.129</v>
      </c>
      <c r="F117" s="1857">
        <v>0.13</v>
      </c>
    </row>
    <row r="118" spans="1:6" ht="14.25" thickBot="1">
      <c r="A118" s="1851" t="s">
        <v>1410</v>
      </c>
      <c r="B118" s="1855" t="s">
        <v>1162</v>
      </c>
      <c r="C118" s="1856">
        <v>0.123</v>
      </c>
      <c r="D118" s="1856">
        <v>0.123</v>
      </c>
      <c r="E118" s="1856">
        <v>0.11600000000000001</v>
      </c>
      <c r="F118" s="1857">
        <v>0.13</v>
      </c>
    </row>
    <row r="119" spans="1:6" ht="14.25" thickBot="1">
      <c r="A119" s="1851" t="s">
        <v>1410</v>
      </c>
      <c r="B119" s="1855" t="s">
        <v>1172</v>
      </c>
      <c r="C119" s="1856">
        <v>0.127</v>
      </c>
      <c r="D119" s="1856">
        <v>0.127</v>
      </c>
      <c r="E119" s="1856">
        <v>0.124</v>
      </c>
      <c r="F119" s="1857">
        <v>0.13</v>
      </c>
    </row>
    <row r="120" spans="1:6" ht="14.25" thickBot="1">
      <c r="A120" s="1851" t="s">
        <v>1410</v>
      </c>
      <c r="B120" s="1855" t="s">
        <v>1182</v>
      </c>
      <c r="C120" s="1856">
        <v>0.125</v>
      </c>
      <c r="D120" s="1856">
        <v>0.125</v>
      </c>
      <c r="E120" s="1856">
        <v>0.122</v>
      </c>
      <c r="F120" s="1857">
        <v>0.13</v>
      </c>
    </row>
    <row r="121" spans="1:6" ht="14.25" thickBot="1">
      <c r="A121" s="1851" t="s">
        <v>1410</v>
      </c>
      <c r="B121" s="1855" t="s">
        <v>1192</v>
      </c>
      <c r="C121" s="1856">
        <v>0.13</v>
      </c>
      <c r="D121" s="1856">
        <v>0.13</v>
      </c>
      <c r="E121" s="1856">
        <v>0.13</v>
      </c>
      <c r="F121" s="1857">
        <v>0.13</v>
      </c>
    </row>
    <row r="122" spans="1:6" ht="14.25" thickBot="1">
      <c r="A122" s="1851" t="s">
        <v>1410</v>
      </c>
      <c r="B122" s="1855" t="s">
        <v>1202</v>
      </c>
      <c r="C122" s="1856">
        <v>0.13</v>
      </c>
      <c r="D122" s="1856">
        <v>0.13</v>
      </c>
      <c r="E122" s="1856">
        <v>0.125</v>
      </c>
      <c r="F122" s="1857">
        <v>0.13</v>
      </c>
    </row>
    <row r="123" spans="1:6" ht="14.25" thickBot="1">
      <c r="A123" s="1851" t="s">
        <v>1410</v>
      </c>
      <c r="B123" s="1855" t="s">
        <v>1212</v>
      </c>
      <c r="C123" s="1856">
        <v>0.129</v>
      </c>
      <c r="D123" s="1856">
        <v>0.129</v>
      </c>
      <c r="E123" s="1856">
        <v>0.123</v>
      </c>
      <c r="F123" s="1857">
        <v>0.13</v>
      </c>
    </row>
    <row r="124" spans="1:6" ht="14.25" thickBot="1">
      <c r="A124" s="1851" t="s">
        <v>1410</v>
      </c>
      <c r="B124" s="1855" t="s">
        <v>1222</v>
      </c>
      <c r="C124" s="1856">
        <v>0.10199999999999999</v>
      </c>
      <c r="D124" s="1856">
        <v>0.10100000000000001</v>
      </c>
      <c r="E124" s="1856">
        <v>0.08</v>
      </c>
      <c r="F124" s="1864"/>
    </row>
    <row r="125" spans="1:6" ht="14.25" thickBot="1">
      <c r="A125" s="1851" t="s">
        <v>1410</v>
      </c>
      <c r="B125" s="1855" t="s">
        <v>1232</v>
      </c>
      <c r="C125" s="1856">
        <v>0.13</v>
      </c>
      <c r="D125" s="1856">
        <v>0.13</v>
      </c>
      <c r="E125" s="1856">
        <v>0.129</v>
      </c>
      <c r="F125" s="1864"/>
    </row>
    <row r="126" spans="1:6" ht="14.25" thickBot="1">
      <c r="A126" s="1851" t="s">
        <v>1410</v>
      </c>
      <c r="B126" s="1855" t="s">
        <v>1242</v>
      </c>
      <c r="C126" s="1856">
        <v>0.13</v>
      </c>
      <c r="D126" s="1856">
        <v>0.13</v>
      </c>
      <c r="E126" s="1856">
        <v>0.126</v>
      </c>
      <c r="F126" s="1864"/>
    </row>
    <row r="127" spans="1:6" ht="14.25" thickBot="1">
      <c r="A127" s="1851" t="s">
        <v>1410</v>
      </c>
      <c r="B127" s="1855" t="s">
        <v>1252</v>
      </c>
      <c r="C127" s="1856">
        <v>0.125</v>
      </c>
      <c r="D127" s="1856">
        <v>0.125</v>
      </c>
      <c r="E127" s="1856">
        <v>0.121</v>
      </c>
      <c r="F127" s="1864"/>
    </row>
    <row r="128" spans="1:6" ht="14.25" thickBot="1">
      <c r="A128" s="1851" t="s">
        <v>1410</v>
      </c>
      <c r="B128" s="1855" t="s">
        <v>1262</v>
      </c>
      <c r="C128" s="1856">
        <v>0.12</v>
      </c>
      <c r="D128" s="1856">
        <v>0.12</v>
      </c>
      <c r="E128" s="1856">
        <v>0.105</v>
      </c>
      <c r="F128" s="1864"/>
    </row>
    <row r="129" spans="1:6" ht="14.25" thickBot="1">
      <c r="A129" s="1851" t="s">
        <v>1410</v>
      </c>
      <c r="B129" s="1855" t="s">
        <v>1271</v>
      </c>
      <c r="C129" s="1856">
        <v>0.13</v>
      </c>
      <c r="D129" s="1856">
        <v>0.13</v>
      </c>
      <c r="E129" s="1856">
        <v>0.126</v>
      </c>
      <c r="F129" s="1864"/>
    </row>
    <row r="130" spans="1:6" ht="14.25" thickBot="1">
      <c r="A130" s="1851" t="s">
        <v>1410</v>
      </c>
      <c r="B130" s="1855" t="s">
        <v>1280</v>
      </c>
      <c r="C130" s="1856">
        <v>0.125</v>
      </c>
      <c r="D130" s="1856">
        <v>0.125</v>
      </c>
      <c r="E130" s="1856">
        <v>0.122</v>
      </c>
      <c r="F130" s="1864"/>
    </row>
    <row r="131" spans="1:6" ht="14.25" thickBot="1">
      <c r="A131" s="1851" t="s">
        <v>1410</v>
      </c>
      <c r="B131" s="1855" t="s">
        <v>1288</v>
      </c>
      <c r="C131" s="1856">
        <v>0.127</v>
      </c>
      <c r="D131" s="1856">
        <v>0.126</v>
      </c>
      <c r="E131" s="1856">
        <v>0.123</v>
      </c>
      <c r="F131" s="1864"/>
    </row>
    <row r="132" spans="1:6" ht="14.25" thickBot="1">
      <c r="A132" s="1851" t="s">
        <v>1410</v>
      </c>
      <c r="B132" s="1855" t="s">
        <v>1295</v>
      </c>
      <c r="C132" s="1856">
        <v>9.0999999999999998E-2</v>
      </c>
      <c r="D132" s="1856">
        <v>0.121</v>
      </c>
      <c r="E132" s="1856">
        <v>9.9000000000000005E-2</v>
      </c>
      <c r="F132" s="1864"/>
    </row>
    <row r="133" spans="1:6" ht="14.25" thickBot="1">
      <c r="A133" s="1851" t="s">
        <v>1410</v>
      </c>
      <c r="B133" s="1855" t="s">
        <v>1302</v>
      </c>
      <c r="C133" s="1856">
        <v>0.13</v>
      </c>
      <c r="D133" s="1856">
        <v>0.13</v>
      </c>
      <c r="E133" s="1856">
        <v>0.129</v>
      </c>
      <c r="F133" s="1864"/>
    </row>
    <row r="134" spans="1:6" ht="14.25" thickBot="1">
      <c r="A134" s="1851" t="s">
        <v>1410</v>
      </c>
      <c r="B134" s="1855" t="s">
        <v>2107</v>
      </c>
      <c r="C134" s="1856">
        <v>6.8000000000000005E-2</v>
      </c>
      <c r="D134" s="1856">
        <v>6.5000000000000002E-2</v>
      </c>
      <c r="E134" s="1856">
        <v>6.5000000000000002E-2</v>
      </c>
      <c r="F134" s="1857">
        <v>0.13</v>
      </c>
    </row>
    <row r="135" spans="1:6" ht="14.25" thickBot="1">
      <c r="A135" s="1851" t="s">
        <v>1410</v>
      </c>
      <c r="B135" s="1855" t="s">
        <v>1316</v>
      </c>
      <c r="C135" s="1856">
        <v>0.123</v>
      </c>
      <c r="D135" s="1856">
        <v>0.123</v>
      </c>
      <c r="E135" s="1856">
        <v>0.11</v>
      </c>
      <c r="F135" s="1864"/>
    </row>
    <row r="136" spans="1:6" ht="14.25" thickBot="1">
      <c r="A136" s="1851" t="s">
        <v>1410</v>
      </c>
      <c r="B136" s="1855" t="s">
        <v>1323</v>
      </c>
      <c r="C136" s="1856">
        <v>0.13</v>
      </c>
      <c r="D136" s="1856">
        <v>0.13</v>
      </c>
      <c r="E136" s="1856">
        <v>0.125</v>
      </c>
      <c r="F136" s="1864"/>
    </row>
    <row r="137" spans="1:6" ht="14.25" thickBot="1">
      <c r="A137" s="1851" t="s">
        <v>1410</v>
      </c>
      <c r="B137" s="1855" t="s">
        <v>1330</v>
      </c>
      <c r="C137" s="1856">
        <v>0.121</v>
      </c>
      <c r="D137" s="1856">
        <v>0.122</v>
      </c>
      <c r="E137" s="1856">
        <v>0.115</v>
      </c>
      <c r="F137" s="1864"/>
    </row>
    <row r="138" spans="1:6" ht="14.25" thickBot="1">
      <c r="A138" s="1851" t="s">
        <v>1410</v>
      </c>
      <c r="B138" s="1855" t="s">
        <v>2108</v>
      </c>
      <c r="C138" s="1856">
        <v>0.105</v>
      </c>
      <c r="D138" s="1856">
        <v>0.125</v>
      </c>
      <c r="E138" s="1856">
        <v>0.112</v>
      </c>
      <c r="F138" s="1864"/>
    </row>
    <row r="139" spans="1:6" ht="14.25" thickBot="1">
      <c r="A139" s="1851" t="s">
        <v>1410</v>
      </c>
      <c r="B139" s="1855" t="s">
        <v>2109</v>
      </c>
      <c r="C139" s="1856">
        <v>0.127</v>
      </c>
      <c r="D139" s="1856">
        <v>0.127</v>
      </c>
      <c r="E139" s="1856">
        <v>0.122</v>
      </c>
      <c r="F139" s="1857">
        <v>0.13</v>
      </c>
    </row>
    <row r="140" spans="1:6" ht="14.25" thickBot="1">
      <c r="A140" s="1851" t="s">
        <v>1410</v>
      </c>
      <c r="B140" s="1855" t="s">
        <v>2110</v>
      </c>
      <c r="C140" s="1856">
        <v>0.125</v>
      </c>
      <c r="D140" s="1856">
        <v>0.125</v>
      </c>
      <c r="E140" s="1856">
        <v>0.11899999999999999</v>
      </c>
      <c r="F140" s="1857">
        <v>0.13</v>
      </c>
    </row>
    <row r="141" spans="1:6" ht="14.25" thickBot="1">
      <c r="A141" s="1851" t="s">
        <v>1410</v>
      </c>
      <c r="B141" s="1855" t="s">
        <v>1349</v>
      </c>
      <c r="C141" s="1856">
        <v>0.125</v>
      </c>
      <c r="D141" s="1856">
        <v>0.125</v>
      </c>
      <c r="E141" s="1856">
        <v>0.11700000000000001</v>
      </c>
      <c r="F141" s="1864"/>
    </row>
    <row r="142" spans="1:6" ht="14.25" thickBot="1">
      <c r="A142" s="1851" t="s">
        <v>1410</v>
      </c>
      <c r="B142" s="1855" t="s">
        <v>1354</v>
      </c>
      <c r="C142" s="1856">
        <v>0.125</v>
      </c>
      <c r="D142" s="1856">
        <v>0.125</v>
      </c>
      <c r="E142" s="1856">
        <v>0.115</v>
      </c>
      <c r="F142" s="1864"/>
    </row>
    <row r="143" spans="1:6" ht="14.25" thickBot="1">
      <c r="A143" s="1851" t="s">
        <v>1410</v>
      </c>
      <c r="B143" s="1855" t="s">
        <v>1359</v>
      </c>
      <c r="C143" s="1856">
        <v>0.121</v>
      </c>
      <c r="D143" s="1856">
        <v>0.121</v>
      </c>
      <c r="E143" s="1856">
        <v>0.108</v>
      </c>
      <c r="F143" s="1864"/>
    </row>
    <row r="144" spans="1:6" ht="14.25" thickBot="1">
      <c r="A144" s="1851" t="s">
        <v>1410</v>
      </c>
      <c r="B144" s="1868" t="s">
        <v>2111</v>
      </c>
      <c r="C144" s="1869">
        <v>0.126</v>
      </c>
      <c r="D144" s="1869">
        <v>0.126</v>
      </c>
      <c r="E144" s="1869">
        <v>0.121</v>
      </c>
      <c r="F144" s="1864"/>
    </row>
    <row r="145" spans="1:6" ht="14.25" thickBot="1">
      <c r="A145" s="1859" t="s">
        <v>1410</v>
      </c>
      <c r="B145" s="1870" t="s">
        <v>2112</v>
      </c>
      <c r="C145" s="1871"/>
      <c r="D145" s="1871"/>
      <c r="E145" s="1871"/>
      <c r="F145" s="1872">
        <v>0.05</v>
      </c>
    </row>
    <row r="146" spans="1:6" ht="24.75" thickBot="1">
      <c r="A146" s="1873" t="s">
        <v>1410</v>
      </c>
      <c r="B146" s="1858" t="s">
        <v>2113</v>
      </c>
      <c r="C146" s="1865"/>
      <c r="D146" s="1865"/>
      <c r="E146" s="1865"/>
      <c r="F146" s="1874">
        <v>0.05</v>
      </c>
    </row>
    <row r="147" spans="1:6" ht="24.75" thickBot="1">
      <c r="A147" s="1851" t="s">
        <v>1410</v>
      </c>
      <c r="B147" s="1855" t="s">
        <v>2114</v>
      </c>
      <c r="C147" s="1865"/>
      <c r="D147" s="1865"/>
      <c r="E147" s="1865"/>
      <c r="F147" s="1857">
        <v>0.05</v>
      </c>
    </row>
    <row r="148" spans="1:6" ht="24.75" thickBot="1">
      <c r="A148" s="1851" t="s">
        <v>1410</v>
      </c>
      <c r="B148" s="1855" t="s">
        <v>2115</v>
      </c>
      <c r="C148" s="1865"/>
      <c r="D148" s="1865"/>
      <c r="E148" s="1865"/>
      <c r="F148" s="1857">
        <v>0.05</v>
      </c>
    </row>
    <row r="149" spans="1:6" ht="24.75" thickBot="1">
      <c r="A149" s="1851" t="s">
        <v>1410</v>
      </c>
      <c r="B149" s="1855" t="s">
        <v>2116</v>
      </c>
      <c r="C149" s="1865"/>
      <c r="D149" s="1865"/>
      <c r="E149" s="1865"/>
      <c r="F149" s="1857">
        <v>0.05</v>
      </c>
    </row>
    <row r="150" spans="1:6" ht="24.75" thickBot="1">
      <c r="A150" s="1851" t="s">
        <v>1410</v>
      </c>
      <c r="B150" s="1855" t="s">
        <v>2117</v>
      </c>
      <c r="C150" s="1865"/>
      <c r="D150" s="1865"/>
      <c r="E150" s="1865"/>
      <c r="F150" s="1857">
        <v>0.05</v>
      </c>
    </row>
    <row r="151" spans="1:6" ht="24.75" thickBot="1">
      <c r="A151" s="1851" t="s">
        <v>1410</v>
      </c>
      <c r="B151" s="1855" t="s">
        <v>2118</v>
      </c>
      <c r="C151" s="1865"/>
      <c r="D151" s="1865"/>
      <c r="E151" s="1865"/>
      <c r="F151" s="1857">
        <v>0.05</v>
      </c>
    </row>
    <row r="152" spans="1:6" ht="24.75" thickBot="1">
      <c r="A152" s="1851" t="s">
        <v>1410</v>
      </c>
      <c r="B152" s="1855" t="s">
        <v>1392</v>
      </c>
      <c r="C152" s="1865"/>
      <c r="D152" s="1865"/>
      <c r="E152" s="1865"/>
      <c r="F152" s="1857">
        <v>0.05</v>
      </c>
    </row>
    <row r="153" spans="1:6" ht="14.25" thickBot="1">
      <c r="A153" s="1851" t="s">
        <v>1410</v>
      </c>
      <c r="B153" s="1855" t="s">
        <v>2119</v>
      </c>
      <c r="C153" s="1865"/>
      <c r="D153" s="1865"/>
      <c r="E153" s="1865"/>
      <c r="F153" s="1857">
        <v>0.05</v>
      </c>
    </row>
    <row r="154" spans="1:6" ht="14.25" thickBot="1">
      <c r="A154" s="1851" t="s">
        <v>1410</v>
      </c>
      <c r="B154" s="1855" t="s">
        <v>2120</v>
      </c>
      <c r="C154" s="1865"/>
      <c r="D154" s="1865"/>
      <c r="E154" s="1865"/>
      <c r="F154" s="1857">
        <v>0.05</v>
      </c>
    </row>
    <row r="155" spans="1:6" ht="24.75" thickBot="1">
      <c r="A155" s="1851" t="s">
        <v>1410</v>
      </c>
      <c r="B155" s="1855" t="s">
        <v>2121</v>
      </c>
      <c r="C155" s="1865"/>
      <c r="D155" s="1865"/>
      <c r="E155" s="1865"/>
      <c r="F155" s="1857">
        <v>0.05</v>
      </c>
    </row>
    <row r="156" spans="1:6" ht="24.75" thickBot="1">
      <c r="A156" s="1851" t="s">
        <v>1410</v>
      </c>
      <c r="B156" s="1855" t="s">
        <v>2122</v>
      </c>
      <c r="C156" s="1865"/>
      <c r="D156" s="1865"/>
      <c r="E156" s="1865"/>
      <c r="F156" s="1857">
        <v>0.05</v>
      </c>
    </row>
    <row r="157" spans="1:6" ht="14.25" thickBot="1">
      <c r="A157" s="1859" t="s">
        <v>1410</v>
      </c>
      <c r="B157" s="1866" t="s">
        <v>2123</v>
      </c>
      <c r="C157" s="1862"/>
      <c r="D157" s="1862"/>
      <c r="E157" s="1862"/>
      <c r="F157" s="1867">
        <v>0.05</v>
      </c>
    </row>
    <row r="158" spans="1:6" ht="14.25" thickBot="1">
      <c r="A158" s="1851" t="s">
        <v>1412</v>
      </c>
      <c r="B158" s="1852" t="s">
        <v>2124</v>
      </c>
      <c r="C158" s="1853">
        <v>0.13</v>
      </c>
      <c r="D158" s="1853">
        <v>0.13</v>
      </c>
      <c r="E158" s="1853">
        <v>0.13</v>
      </c>
      <c r="F158" s="1854">
        <v>0.13</v>
      </c>
    </row>
    <row r="159" spans="1:6" ht="14.25" thickBot="1">
      <c r="A159" s="1851" t="s">
        <v>1412</v>
      </c>
      <c r="B159" s="1855" t="s">
        <v>1077</v>
      </c>
      <c r="C159" s="1856">
        <v>0.13</v>
      </c>
      <c r="D159" s="1856">
        <v>0.13</v>
      </c>
      <c r="E159" s="1856">
        <v>0.13</v>
      </c>
      <c r="F159" s="1857">
        <v>0.13</v>
      </c>
    </row>
    <row r="160" spans="1:6" ht="14.25" thickBot="1">
      <c r="A160" s="1851" t="s">
        <v>1412</v>
      </c>
      <c r="B160" s="1855" t="s">
        <v>1091</v>
      </c>
      <c r="C160" s="1856">
        <v>0.13</v>
      </c>
      <c r="D160" s="1856">
        <v>0.13</v>
      </c>
      <c r="E160" s="1856">
        <v>0.129</v>
      </c>
      <c r="F160" s="1857">
        <v>0.13</v>
      </c>
    </row>
    <row r="161" spans="1:6" ht="14.25" thickBot="1">
      <c r="A161" s="1851" t="s">
        <v>1412</v>
      </c>
      <c r="B161" s="1855" t="s">
        <v>1104</v>
      </c>
      <c r="C161" s="1856">
        <v>0.128</v>
      </c>
      <c r="D161" s="1856">
        <v>0.128</v>
      </c>
      <c r="E161" s="1856">
        <v>0.125</v>
      </c>
      <c r="F161" s="1857">
        <v>0.13</v>
      </c>
    </row>
    <row r="162" spans="1:6" ht="14.25" thickBot="1">
      <c r="A162" s="1851" t="s">
        <v>1412</v>
      </c>
      <c r="B162" s="1855" t="s">
        <v>1118</v>
      </c>
      <c r="C162" s="1856">
        <v>0.122</v>
      </c>
      <c r="D162" s="1856">
        <v>0.122</v>
      </c>
      <c r="E162" s="1856">
        <v>0.126</v>
      </c>
      <c r="F162" s="1857">
        <v>0.122</v>
      </c>
    </row>
    <row r="163" spans="1:6" ht="14.25" thickBot="1">
      <c r="A163" s="1851" t="s">
        <v>1412</v>
      </c>
      <c r="B163" s="1855" t="s">
        <v>1129</v>
      </c>
      <c r="C163" s="1856">
        <v>0.13</v>
      </c>
      <c r="D163" s="1856">
        <v>0.13</v>
      </c>
      <c r="E163" s="1856">
        <v>0.125</v>
      </c>
      <c r="F163" s="1857">
        <v>0.13</v>
      </c>
    </row>
    <row r="164" spans="1:6" ht="14.25" thickBot="1">
      <c r="A164" s="1851" t="s">
        <v>1412</v>
      </c>
      <c r="B164" s="1855" t="s">
        <v>1140</v>
      </c>
      <c r="C164" s="1856">
        <v>0.13</v>
      </c>
      <c r="D164" s="1856">
        <v>0.13</v>
      </c>
      <c r="E164" s="1856">
        <v>0.13</v>
      </c>
      <c r="F164" s="1857">
        <v>0.13</v>
      </c>
    </row>
    <row r="165" spans="1:6" ht="14.25" thickBot="1">
      <c r="A165" s="1851" t="s">
        <v>1412</v>
      </c>
      <c r="B165" s="1855" t="s">
        <v>1151</v>
      </c>
      <c r="C165" s="1856">
        <v>0.13</v>
      </c>
      <c r="D165" s="1856">
        <v>0.13</v>
      </c>
      <c r="E165" s="1856">
        <v>0.124</v>
      </c>
      <c r="F165" s="1857">
        <v>0.13</v>
      </c>
    </row>
    <row r="166" spans="1:6" ht="14.25" thickBot="1">
      <c r="A166" s="1851" t="s">
        <v>1412</v>
      </c>
      <c r="B166" s="1855" t="s">
        <v>1163</v>
      </c>
      <c r="C166" s="1856">
        <v>0.13</v>
      </c>
      <c r="D166" s="1856">
        <v>0.13</v>
      </c>
      <c r="E166" s="1856">
        <v>0.13</v>
      </c>
      <c r="F166" s="1857">
        <v>0.13</v>
      </c>
    </row>
    <row r="167" spans="1:6" ht="14.25" thickBot="1">
      <c r="A167" s="1851" t="s">
        <v>1412</v>
      </c>
      <c r="B167" s="1855" t="s">
        <v>1173</v>
      </c>
      <c r="C167" s="1856">
        <v>0.125</v>
      </c>
      <c r="D167" s="1856">
        <v>0.125</v>
      </c>
      <c r="E167" s="1856">
        <v>0.121</v>
      </c>
      <c r="F167" s="1864"/>
    </row>
    <row r="168" spans="1:6" ht="14.25" thickBot="1">
      <c r="A168" s="1851" t="s">
        <v>1412</v>
      </c>
      <c r="B168" s="1855" t="s">
        <v>1183</v>
      </c>
      <c r="C168" s="1856">
        <v>0.13</v>
      </c>
      <c r="D168" s="1856">
        <v>0.13</v>
      </c>
      <c r="E168" s="1856">
        <v>0.126</v>
      </c>
      <c r="F168" s="1864"/>
    </row>
    <row r="169" spans="1:6" ht="14.25" thickBot="1">
      <c r="A169" s="1851" t="s">
        <v>1412</v>
      </c>
      <c r="B169" s="1855" t="s">
        <v>1193</v>
      </c>
      <c r="C169" s="1856">
        <v>0.128</v>
      </c>
      <c r="D169" s="1856">
        <v>0.129</v>
      </c>
      <c r="E169" s="1856">
        <v>0.13</v>
      </c>
      <c r="F169" s="1864"/>
    </row>
    <row r="170" spans="1:6" ht="14.25" thickBot="1">
      <c r="A170" s="1851" t="s">
        <v>1412</v>
      </c>
      <c r="B170" s="1855" t="s">
        <v>1203</v>
      </c>
      <c r="C170" s="1856">
        <v>0.14099999999999999</v>
      </c>
      <c r="D170" s="1856">
        <v>0.13</v>
      </c>
      <c r="E170" s="1856">
        <v>0.125</v>
      </c>
      <c r="F170" s="1864"/>
    </row>
    <row r="171" spans="1:6" ht="14.25" thickBot="1">
      <c r="A171" s="1851" t="s">
        <v>1412</v>
      </c>
      <c r="B171" s="1855" t="s">
        <v>2125</v>
      </c>
      <c r="C171" s="1856">
        <v>0.127</v>
      </c>
      <c r="D171" s="1856">
        <v>0.126</v>
      </c>
      <c r="E171" s="1856">
        <v>0.126</v>
      </c>
      <c r="F171" s="1857">
        <v>0.11799999999999999</v>
      </c>
    </row>
    <row r="172" spans="1:6" ht="14.25" thickBot="1">
      <c r="A172" s="1851" t="s">
        <v>1412</v>
      </c>
      <c r="B172" s="1855" t="s">
        <v>2126</v>
      </c>
      <c r="C172" s="1856">
        <v>0.13</v>
      </c>
      <c r="D172" s="1856">
        <v>0.13</v>
      </c>
      <c r="E172" s="1856">
        <v>0.13</v>
      </c>
      <c r="F172" s="1864"/>
    </row>
    <row r="173" spans="1:6" ht="14.25" thickBot="1">
      <c r="A173" s="1851" t="s">
        <v>1412</v>
      </c>
      <c r="B173" s="1855" t="s">
        <v>1233</v>
      </c>
      <c r="C173" s="1856">
        <v>0.13</v>
      </c>
      <c r="D173" s="1856">
        <v>0.13</v>
      </c>
      <c r="E173" s="1856">
        <v>0.13</v>
      </c>
      <c r="F173" s="1864"/>
    </row>
    <row r="174" spans="1:6" ht="14.25" thickBot="1">
      <c r="A174" s="1851" t="s">
        <v>1412</v>
      </c>
      <c r="B174" s="1855" t="s">
        <v>2127</v>
      </c>
      <c r="C174" s="1856">
        <v>0.13</v>
      </c>
      <c r="D174" s="1856">
        <v>0.13</v>
      </c>
      <c r="E174" s="1856">
        <v>0.13</v>
      </c>
      <c r="F174" s="1857">
        <v>0.13</v>
      </c>
    </row>
    <row r="175" spans="1:6" ht="14.25" thickBot="1">
      <c r="A175" s="1851" t="s">
        <v>1412</v>
      </c>
      <c r="B175" s="1855" t="s">
        <v>2128</v>
      </c>
      <c r="C175" s="1856">
        <v>0.13</v>
      </c>
      <c r="D175" s="1856">
        <v>0.13</v>
      </c>
      <c r="E175" s="1856">
        <v>0.13</v>
      </c>
      <c r="F175" s="1857">
        <v>0.13</v>
      </c>
    </row>
    <row r="176" spans="1:6" ht="14.25" thickBot="1">
      <c r="A176" s="1851" t="s">
        <v>1412</v>
      </c>
      <c r="B176" s="1855" t="s">
        <v>1263</v>
      </c>
      <c r="C176" s="1856">
        <v>0.13</v>
      </c>
      <c r="D176" s="1856">
        <v>0.13</v>
      </c>
      <c r="E176" s="1856">
        <v>0.13</v>
      </c>
      <c r="F176" s="1857">
        <v>0.13</v>
      </c>
    </row>
    <row r="177" spans="1:6" ht="14.25" thickBot="1">
      <c r="A177" s="1851" t="s">
        <v>1412</v>
      </c>
      <c r="B177" s="1855" t="s">
        <v>2129</v>
      </c>
      <c r="C177" s="1856">
        <v>0.13</v>
      </c>
      <c r="D177" s="1856">
        <v>0.13</v>
      </c>
      <c r="E177" s="1856">
        <v>0.13</v>
      </c>
      <c r="F177" s="1857">
        <v>0.13</v>
      </c>
    </row>
    <row r="178" spans="1:6" ht="14.25" thickBot="1">
      <c r="A178" s="1851" t="s">
        <v>1412</v>
      </c>
      <c r="B178" s="1855" t="s">
        <v>1281</v>
      </c>
      <c r="C178" s="1856">
        <v>0.13</v>
      </c>
      <c r="D178" s="1856">
        <v>0.13</v>
      </c>
      <c r="E178" s="1856">
        <v>0.13</v>
      </c>
      <c r="F178" s="1857">
        <v>0.127</v>
      </c>
    </row>
    <row r="179" spans="1:6" ht="14.25" thickBot="1">
      <c r="A179" s="1851" t="s">
        <v>1412</v>
      </c>
      <c r="B179" s="1855" t="s">
        <v>1289</v>
      </c>
      <c r="C179" s="1856">
        <v>0.13</v>
      </c>
      <c r="D179" s="1856">
        <v>0.13</v>
      </c>
      <c r="E179" s="1856">
        <v>0.13</v>
      </c>
      <c r="F179" s="1864"/>
    </row>
    <row r="180" spans="1:6" ht="14.25" thickBot="1">
      <c r="A180" s="1851" t="s">
        <v>1412</v>
      </c>
      <c r="B180" s="1855" t="s">
        <v>2130</v>
      </c>
      <c r="C180" s="1856">
        <v>0.13</v>
      </c>
      <c r="D180" s="1856">
        <v>0.13</v>
      </c>
      <c r="E180" s="1856">
        <v>0.125</v>
      </c>
      <c r="F180" s="1857">
        <v>0.13</v>
      </c>
    </row>
    <row r="181" spans="1:6" ht="14.25" thickBot="1">
      <c r="A181" s="1851" t="s">
        <v>1412</v>
      </c>
      <c r="B181" s="1855" t="s">
        <v>1303</v>
      </c>
      <c r="C181" s="1856">
        <v>0.122</v>
      </c>
      <c r="D181" s="1856">
        <v>0.123</v>
      </c>
      <c r="E181" s="1856">
        <v>0.126</v>
      </c>
      <c r="F181" s="1857">
        <v>0.121</v>
      </c>
    </row>
    <row r="182" spans="1:6" ht="14.25" thickBot="1">
      <c r="A182" s="1851" t="s">
        <v>1412</v>
      </c>
      <c r="B182" s="1855" t="s">
        <v>1310</v>
      </c>
      <c r="C182" s="1856">
        <v>0.125</v>
      </c>
      <c r="D182" s="1856">
        <v>0.125</v>
      </c>
      <c r="E182" s="1856">
        <v>0.11700000000000001</v>
      </c>
      <c r="F182" s="1857">
        <v>0.13</v>
      </c>
    </row>
    <row r="183" spans="1:6" ht="14.25" thickBot="1">
      <c r="A183" s="1851" t="s">
        <v>1412</v>
      </c>
      <c r="B183" s="1855" t="s">
        <v>1317</v>
      </c>
      <c r="C183" s="1856">
        <v>0.127</v>
      </c>
      <c r="D183" s="1856">
        <v>0.127</v>
      </c>
      <c r="E183" s="1856">
        <v>0.128</v>
      </c>
      <c r="F183" s="1864"/>
    </row>
    <row r="184" spans="1:6" ht="14.25" thickBot="1">
      <c r="A184" s="1851" t="s">
        <v>1412</v>
      </c>
      <c r="B184" s="1855" t="s">
        <v>1324</v>
      </c>
      <c r="C184" s="1856">
        <v>0.125</v>
      </c>
      <c r="D184" s="1856">
        <v>0.125</v>
      </c>
      <c r="E184" s="1856">
        <v>0.127</v>
      </c>
      <c r="F184" s="1864"/>
    </row>
    <row r="185" spans="1:6" ht="14.25" thickBot="1">
      <c r="A185" s="1851" t="s">
        <v>1412</v>
      </c>
      <c r="B185" s="1855" t="s">
        <v>2131</v>
      </c>
      <c r="C185" s="1856">
        <v>0.127</v>
      </c>
      <c r="D185" s="1856">
        <v>0.127</v>
      </c>
      <c r="E185" s="1856">
        <v>0.128</v>
      </c>
      <c r="F185" s="1857">
        <v>0.13</v>
      </c>
    </row>
    <row r="186" spans="1:6" ht="24.75" thickBot="1">
      <c r="A186" s="1851" t="s">
        <v>1412</v>
      </c>
      <c r="B186" s="1855" t="s">
        <v>2132</v>
      </c>
      <c r="C186" s="1865"/>
      <c r="D186" s="1865"/>
      <c r="E186" s="1865"/>
      <c r="F186" s="1857">
        <v>0.05</v>
      </c>
    </row>
    <row r="187" spans="1:6" ht="14.25" thickBot="1">
      <c r="A187" s="1851" t="s">
        <v>1412</v>
      </c>
      <c r="B187" s="1855" t="s">
        <v>2133</v>
      </c>
      <c r="C187" s="1865"/>
      <c r="D187" s="1865"/>
      <c r="E187" s="1865"/>
      <c r="F187" s="1857">
        <v>0.05</v>
      </c>
    </row>
    <row r="188" spans="1:6" ht="14.25" thickBot="1">
      <c r="A188" s="1851" t="s">
        <v>1412</v>
      </c>
      <c r="B188" s="1855" t="s">
        <v>2134</v>
      </c>
      <c r="C188" s="1865"/>
      <c r="D188" s="1865"/>
      <c r="E188" s="1865"/>
      <c r="F188" s="1857">
        <v>0.05</v>
      </c>
    </row>
    <row r="189" spans="1:6" ht="24.75" thickBot="1">
      <c r="A189" s="1851" t="s">
        <v>1412</v>
      </c>
      <c r="B189" s="1855" t="s">
        <v>2135</v>
      </c>
      <c r="C189" s="1865"/>
      <c r="D189" s="1865"/>
      <c r="E189" s="1865"/>
      <c r="F189" s="1857">
        <v>0.05</v>
      </c>
    </row>
    <row r="190" spans="1:6" ht="24.75" thickBot="1">
      <c r="A190" s="1851" t="s">
        <v>1412</v>
      </c>
      <c r="B190" s="1855" t="s">
        <v>2136</v>
      </c>
      <c r="C190" s="1865"/>
      <c r="D190" s="1865"/>
      <c r="E190" s="1865"/>
      <c r="F190" s="1857">
        <v>0.05</v>
      </c>
    </row>
    <row r="191" spans="1:6" ht="24.75" thickBot="1">
      <c r="A191" s="1851" t="s">
        <v>1412</v>
      </c>
      <c r="B191" s="1855" t="s">
        <v>2137</v>
      </c>
      <c r="C191" s="1865"/>
      <c r="D191" s="1865"/>
      <c r="E191" s="1865"/>
      <c r="F191" s="1857">
        <v>0.05</v>
      </c>
    </row>
    <row r="192" spans="1:6" ht="24.75" thickBot="1">
      <c r="A192" s="1851" t="s">
        <v>1412</v>
      </c>
      <c r="B192" s="1855" t="s">
        <v>2138</v>
      </c>
      <c r="C192" s="1865"/>
      <c r="D192" s="1865"/>
      <c r="E192" s="1865"/>
      <c r="F192" s="1857">
        <v>0.05</v>
      </c>
    </row>
    <row r="193" spans="1:6" ht="24.75" thickBot="1">
      <c r="A193" s="1851" t="s">
        <v>1412</v>
      </c>
      <c r="B193" s="1855" t="s">
        <v>2139</v>
      </c>
      <c r="C193" s="1865"/>
      <c r="D193" s="1865"/>
      <c r="E193" s="1865"/>
      <c r="F193" s="1857">
        <v>0.05</v>
      </c>
    </row>
    <row r="194" spans="1:6" ht="24.75" thickBot="1">
      <c r="A194" s="1851" t="s">
        <v>1412</v>
      </c>
      <c r="B194" s="1855" t="s">
        <v>2140</v>
      </c>
      <c r="C194" s="1865"/>
      <c r="D194" s="1865"/>
      <c r="E194" s="1865"/>
      <c r="F194" s="1857">
        <v>0.05</v>
      </c>
    </row>
    <row r="195" spans="1:6" ht="14.25" thickBot="1">
      <c r="A195" s="1851" t="s">
        <v>1412</v>
      </c>
      <c r="B195" s="1855" t="s">
        <v>2141</v>
      </c>
      <c r="C195" s="1865"/>
      <c r="D195" s="1865"/>
      <c r="E195" s="1865"/>
      <c r="F195" s="1857">
        <v>0.05</v>
      </c>
    </row>
    <row r="196" spans="1:6" ht="24.75" thickBot="1">
      <c r="A196" s="1851" t="s">
        <v>1412</v>
      </c>
      <c r="B196" s="1855" t="s">
        <v>2142</v>
      </c>
      <c r="C196" s="1865"/>
      <c r="D196" s="1865"/>
      <c r="E196" s="1865"/>
      <c r="F196" s="1857">
        <v>0.05</v>
      </c>
    </row>
    <row r="197" spans="1:6" ht="24.75" thickBot="1">
      <c r="A197" s="1851" t="s">
        <v>1412</v>
      </c>
      <c r="B197" s="1855" t="s">
        <v>2143</v>
      </c>
      <c r="C197" s="1865"/>
      <c r="D197" s="1865"/>
      <c r="E197" s="1865"/>
      <c r="F197" s="1857">
        <v>0.05</v>
      </c>
    </row>
    <row r="198" spans="1:6" ht="24.75" thickBot="1">
      <c r="A198" s="1851" t="s">
        <v>1412</v>
      </c>
      <c r="B198" s="1855" t="s">
        <v>2144</v>
      </c>
      <c r="C198" s="1865"/>
      <c r="D198" s="1865"/>
      <c r="E198" s="1865"/>
      <c r="F198" s="1857">
        <v>0.05</v>
      </c>
    </row>
    <row r="199" spans="1:6" ht="24.75" thickBot="1">
      <c r="A199" s="1851" t="s">
        <v>1412</v>
      </c>
      <c r="B199" s="1855" t="s">
        <v>2145</v>
      </c>
      <c r="C199" s="1865"/>
      <c r="D199" s="1865"/>
      <c r="E199" s="1865"/>
      <c r="F199" s="1857">
        <v>0.05</v>
      </c>
    </row>
    <row r="200" spans="1:6" ht="24.75" thickBot="1">
      <c r="A200" s="1851" t="s">
        <v>1412</v>
      </c>
      <c r="B200" s="1855" t="s">
        <v>2146</v>
      </c>
      <c r="C200" s="1865"/>
      <c r="D200" s="1865"/>
      <c r="E200" s="1865"/>
      <c r="F200" s="1857">
        <v>0.05</v>
      </c>
    </row>
    <row r="201" spans="1:6" ht="24.75" thickBot="1">
      <c r="A201" s="1851" t="s">
        <v>1412</v>
      </c>
      <c r="B201" s="1855" t="s">
        <v>2147</v>
      </c>
      <c r="C201" s="1865"/>
      <c r="D201" s="1865"/>
      <c r="E201" s="1865"/>
      <c r="F201" s="1857">
        <v>0.05</v>
      </c>
    </row>
    <row r="202" spans="1:6" ht="24.75" thickBot="1">
      <c r="A202" s="1851" t="s">
        <v>1412</v>
      </c>
      <c r="B202" s="1855" t="s">
        <v>2148</v>
      </c>
      <c r="C202" s="1865"/>
      <c r="D202" s="1865"/>
      <c r="E202" s="1865"/>
      <c r="F202" s="1857">
        <v>0.05</v>
      </c>
    </row>
    <row r="203" spans="1:6" ht="24.75" thickBot="1">
      <c r="A203" s="1851" t="s">
        <v>1412</v>
      </c>
      <c r="B203" s="1855" t="s">
        <v>2149</v>
      </c>
      <c r="C203" s="1865"/>
      <c r="D203" s="1865"/>
      <c r="E203" s="1865"/>
      <c r="F203" s="1857">
        <v>0.05</v>
      </c>
    </row>
    <row r="204" spans="1:6" ht="14.25" thickBot="1">
      <c r="A204" s="1851" t="s">
        <v>1412</v>
      </c>
      <c r="B204" s="1855" t="s">
        <v>2150</v>
      </c>
      <c r="C204" s="1865"/>
      <c r="D204" s="1865"/>
      <c r="E204" s="1865"/>
      <c r="F204" s="1857">
        <v>0.05</v>
      </c>
    </row>
    <row r="205" spans="1:6" ht="14.25" thickBot="1">
      <c r="A205" s="1859" t="s">
        <v>1412</v>
      </c>
      <c r="B205" s="1866" t="s">
        <v>2151</v>
      </c>
      <c r="C205" s="1862"/>
      <c r="D205" s="1862"/>
      <c r="E205" s="1862"/>
      <c r="F205" s="1867">
        <v>0.05</v>
      </c>
    </row>
    <row r="206" spans="1:6" ht="14.25" thickBot="1">
      <c r="A206" s="1851" t="s">
        <v>1414</v>
      </c>
      <c r="B206" s="1852" t="s">
        <v>2152</v>
      </c>
      <c r="C206" s="1853">
        <v>0.15</v>
      </c>
      <c r="D206" s="1853">
        <v>0.15</v>
      </c>
      <c r="E206" s="1853">
        <v>0.15</v>
      </c>
      <c r="F206" s="1854">
        <v>0.15</v>
      </c>
    </row>
    <row r="207" spans="1:6" ht="14.25" thickBot="1">
      <c r="A207" s="1851" t="s">
        <v>1414</v>
      </c>
      <c r="B207" s="1855" t="s">
        <v>1078</v>
      </c>
      <c r="C207" s="1856">
        <v>0.15</v>
      </c>
      <c r="D207" s="1856">
        <v>0.15</v>
      </c>
      <c r="E207" s="1856">
        <v>0.15</v>
      </c>
      <c r="F207" s="1857">
        <v>0.14399999999999999</v>
      </c>
    </row>
    <row r="208" spans="1:6" ht="14.25" thickBot="1">
      <c r="A208" s="1851" t="s">
        <v>1414</v>
      </c>
      <c r="B208" s="1855" t="s">
        <v>1092</v>
      </c>
      <c r="C208" s="1856">
        <v>0.15</v>
      </c>
      <c r="D208" s="1856">
        <v>0.15</v>
      </c>
      <c r="E208" s="1856">
        <v>0.15</v>
      </c>
      <c r="F208" s="1857">
        <v>0.15</v>
      </c>
    </row>
    <row r="209" spans="1:6" ht="14.25" thickBot="1">
      <c r="A209" s="1851" t="s">
        <v>1414</v>
      </c>
      <c r="B209" s="1855" t="s">
        <v>1105</v>
      </c>
      <c r="C209" s="1856">
        <v>0.13700000000000001</v>
      </c>
      <c r="D209" s="1856">
        <v>0.13700000000000001</v>
      </c>
      <c r="E209" s="1856">
        <v>0.14000000000000001</v>
      </c>
      <c r="F209" s="1857">
        <v>0.11700000000000001</v>
      </c>
    </row>
    <row r="210" spans="1:6" ht="14.25" thickBot="1">
      <c r="A210" s="1851" t="s">
        <v>1414</v>
      </c>
      <c r="B210" s="1855" t="s">
        <v>2153</v>
      </c>
      <c r="C210" s="1856">
        <v>0.15</v>
      </c>
      <c r="D210" s="1856">
        <v>0.15</v>
      </c>
      <c r="E210" s="1856">
        <v>0.15</v>
      </c>
      <c r="F210" s="1857">
        <v>0.13800000000000001</v>
      </c>
    </row>
    <row r="211" spans="1:6" ht="14.25" thickBot="1">
      <c r="A211" s="1851" t="s">
        <v>1414</v>
      </c>
      <c r="B211" s="1855" t="s">
        <v>2154</v>
      </c>
      <c r="C211" s="1856">
        <v>0.13700000000000001</v>
      </c>
      <c r="D211" s="1856">
        <v>0.13500000000000001</v>
      </c>
      <c r="E211" s="1856">
        <v>0.13600000000000001</v>
      </c>
      <c r="F211" s="1857">
        <v>0.1</v>
      </c>
    </row>
    <row r="212" spans="1:6" ht="14.25" thickBot="1">
      <c r="A212" s="1851" t="s">
        <v>1414</v>
      </c>
      <c r="B212" s="1855" t="s">
        <v>2155</v>
      </c>
      <c r="C212" s="1856">
        <v>0.15</v>
      </c>
      <c r="D212" s="1856">
        <v>0.15</v>
      </c>
      <c r="E212" s="1856">
        <v>0.14799999999999999</v>
      </c>
      <c r="F212" s="1857">
        <v>0.13600000000000001</v>
      </c>
    </row>
    <row r="213" spans="1:6" ht="14.25" thickBot="1">
      <c r="A213" s="1851" t="s">
        <v>1414</v>
      </c>
      <c r="B213" s="1855" t="s">
        <v>1152</v>
      </c>
      <c r="C213" s="1856">
        <v>0.15</v>
      </c>
      <c r="D213" s="1856">
        <v>0.15</v>
      </c>
      <c r="E213" s="1856">
        <v>0.15</v>
      </c>
      <c r="F213" s="1857">
        <v>0.13800000000000001</v>
      </c>
    </row>
    <row r="214" spans="1:6" ht="14.25" thickBot="1">
      <c r="A214" s="1851" t="s">
        <v>1414</v>
      </c>
      <c r="B214" s="1855" t="s">
        <v>1164</v>
      </c>
      <c r="C214" s="1856">
        <v>9.0999999999999998E-2</v>
      </c>
      <c r="D214" s="1856">
        <v>0.09</v>
      </c>
      <c r="E214" s="1856">
        <v>9.1999999999999998E-2</v>
      </c>
      <c r="F214" s="1864"/>
    </row>
    <row r="215" spans="1:6" ht="14.25" thickBot="1">
      <c r="A215" s="1851" t="s">
        <v>1414</v>
      </c>
      <c r="B215" s="1855" t="s">
        <v>2156</v>
      </c>
      <c r="C215" s="1856">
        <v>0.15</v>
      </c>
      <c r="D215" s="1856">
        <v>0.15</v>
      </c>
      <c r="E215" s="1856">
        <v>0.15</v>
      </c>
      <c r="F215" s="1857">
        <v>0.15</v>
      </c>
    </row>
    <row r="216" spans="1:6" ht="14.25" thickBot="1">
      <c r="A216" s="1851" t="s">
        <v>1414</v>
      </c>
      <c r="B216" s="1855" t="s">
        <v>1184</v>
      </c>
      <c r="C216" s="1856">
        <v>0.14699999999999999</v>
      </c>
      <c r="D216" s="1856">
        <v>0.14699999999999999</v>
      </c>
      <c r="E216" s="1856">
        <v>0.15</v>
      </c>
      <c r="F216" s="1857">
        <v>0.14000000000000001</v>
      </c>
    </row>
    <row r="217" spans="1:6" ht="14.25" thickBot="1">
      <c r="A217" s="1851" t="s">
        <v>1414</v>
      </c>
      <c r="B217" s="1855" t="s">
        <v>1194</v>
      </c>
      <c r="C217" s="1856">
        <v>0.15</v>
      </c>
      <c r="D217" s="1856">
        <v>0.15</v>
      </c>
      <c r="E217" s="1856">
        <v>0.15</v>
      </c>
      <c r="F217" s="1857">
        <v>0.15</v>
      </c>
    </row>
    <row r="218" spans="1:6" ht="14.25" thickBot="1">
      <c r="A218" s="1851" t="s">
        <v>1414</v>
      </c>
      <c r="B218" s="1855" t="s">
        <v>2157</v>
      </c>
      <c r="C218" s="1856">
        <v>0.15</v>
      </c>
      <c r="D218" s="1856">
        <v>0.15</v>
      </c>
      <c r="E218" s="1856">
        <v>0.15</v>
      </c>
      <c r="F218" s="1857">
        <v>0.15</v>
      </c>
    </row>
    <row r="219" spans="1:6" ht="14.25" thickBot="1">
      <c r="A219" s="1851" t="s">
        <v>1414</v>
      </c>
      <c r="B219" s="1855" t="s">
        <v>1214</v>
      </c>
      <c r="C219" s="1856">
        <v>0.15</v>
      </c>
      <c r="D219" s="1856">
        <v>0.15</v>
      </c>
      <c r="E219" s="1856">
        <v>0.15</v>
      </c>
      <c r="F219" s="1857">
        <v>0.14799999999999999</v>
      </c>
    </row>
    <row r="220" spans="1:6" ht="14.25" thickBot="1">
      <c r="A220" s="1851" t="s">
        <v>1414</v>
      </c>
      <c r="B220" s="1855" t="s">
        <v>2158</v>
      </c>
      <c r="C220" s="1856">
        <v>0.15</v>
      </c>
      <c r="D220" s="1856">
        <v>0.15</v>
      </c>
      <c r="E220" s="1856">
        <v>0.15</v>
      </c>
      <c r="F220" s="1857">
        <v>0.15</v>
      </c>
    </row>
    <row r="221" spans="1:6" ht="14.25" thickBot="1">
      <c r="A221" s="1851" t="s">
        <v>1414</v>
      </c>
      <c r="B221" s="1855" t="s">
        <v>1234</v>
      </c>
      <c r="C221" s="1856"/>
      <c r="D221" s="1865"/>
      <c r="E221" s="1865"/>
      <c r="F221" s="1857">
        <v>0.14799999999999999</v>
      </c>
    </row>
    <row r="222" spans="1:6" ht="14.25" thickBot="1">
      <c r="A222" s="1851" t="s">
        <v>1414</v>
      </c>
      <c r="B222" s="1855" t="s">
        <v>1244</v>
      </c>
      <c r="C222" s="1856"/>
      <c r="D222" s="1865"/>
      <c r="E222" s="1865"/>
      <c r="F222" s="1857">
        <v>0.1</v>
      </c>
    </row>
    <row r="223" spans="1:6" ht="14.25" thickBot="1">
      <c r="A223" s="1851" t="s">
        <v>1414</v>
      </c>
      <c r="B223" s="1855" t="s">
        <v>1254</v>
      </c>
      <c r="C223" s="1856"/>
      <c r="D223" s="1865"/>
      <c r="E223" s="1865"/>
      <c r="F223" s="1857">
        <v>0.15</v>
      </c>
    </row>
    <row r="224" spans="1:6" ht="14.25" thickBot="1">
      <c r="A224" s="1851" t="s">
        <v>1414</v>
      </c>
      <c r="B224" s="1855" t="s">
        <v>1264</v>
      </c>
      <c r="C224" s="1856"/>
      <c r="D224" s="1865"/>
      <c r="E224" s="1865"/>
      <c r="F224" s="1857">
        <v>0.15</v>
      </c>
    </row>
    <row r="225" spans="1:6" ht="14.25" thickBot="1">
      <c r="A225" s="1851" t="s">
        <v>1414</v>
      </c>
      <c r="B225" s="1855" t="s">
        <v>2159</v>
      </c>
      <c r="C225" s="1856">
        <v>0.15</v>
      </c>
      <c r="D225" s="1856">
        <v>0.15</v>
      </c>
      <c r="E225" s="1856">
        <v>0.15</v>
      </c>
      <c r="F225" s="1857">
        <v>0.15</v>
      </c>
    </row>
    <row r="226" spans="1:6" ht="14.25" thickBot="1">
      <c r="A226" s="1851" t="s">
        <v>1414</v>
      </c>
      <c r="B226" s="1855" t="s">
        <v>1282</v>
      </c>
      <c r="C226" s="1856">
        <v>0.15</v>
      </c>
      <c r="D226" s="1856">
        <v>0.15</v>
      </c>
      <c r="E226" s="1856">
        <v>0.15</v>
      </c>
      <c r="F226" s="1857">
        <v>0.14799999999999999</v>
      </c>
    </row>
    <row r="227" spans="1:6" ht="14.25" thickBot="1">
      <c r="A227" s="1851" t="s">
        <v>1414</v>
      </c>
      <c r="B227" s="1855" t="s">
        <v>2160</v>
      </c>
      <c r="C227" s="1856">
        <v>0.15</v>
      </c>
      <c r="D227" s="1856">
        <v>0.15</v>
      </c>
      <c r="E227" s="1856">
        <v>0.15</v>
      </c>
      <c r="F227" s="1857">
        <v>0.15</v>
      </c>
    </row>
    <row r="228" spans="1:6" ht="14.25" thickBot="1">
      <c r="A228" s="1851" t="s">
        <v>1414</v>
      </c>
      <c r="B228" s="1855" t="s">
        <v>1297</v>
      </c>
      <c r="C228" s="1856">
        <v>0.15</v>
      </c>
      <c r="D228" s="1856">
        <v>0.15</v>
      </c>
      <c r="E228" s="1856">
        <v>0.15</v>
      </c>
      <c r="F228" s="1857">
        <v>0.15</v>
      </c>
    </row>
    <row r="229" spans="1:6" ht="14.25" thickBot="1">
      <c r="A229" s="1851" t="s">
        <v>1414</v>
      </c>
      <c r="B229" s="1855" t="s">
        <v>1304</v>
      </c>
      <c r="C229" s="1856">
        <v>0.15</v>
      </c>
      <c r="D229" s="1856">
        <v>0.15</v>
      </c>
      <c r="E229" s="1856">
        <v>0.15</v>
      </c>
      <c r="F229" s="1864"/>
    </row>
    <row r="230" spans="1:6" ht="14.25" thickBot="1">
      <c r="A230" s="1851" t="s">
        <v>1414</v>
      </c>
      <c r="B230" s="1855" t="s">
        <v>1311</v>
      </c>
      <c r="C230" s="1856">
        <v>0.14499999999999999</v>
      </c>
      <c r="D230" s="1856">
        <v>0.14499999999999999</v>
      </c>
      <c r="E230" s="1856">
        <v>0.14399999999999999</v>
      </c>
      <c r="F230" s="1864"/>
    </row>
    <row r="231" spans="1:6" ht="14.25" thickBot="1">
      <c r="A231" s="1851" t="s">
        <v>1414</v>
      </c>
      <c r="B231" s="1855" t="s">
        <v>2161</v>
      </c>
      <c r="C231" s="1856">
        <v>0.128</v>
      </c>
      <c r="D231" s="1856">
        <v>0.125</v>
      </c>
      <c r="E231" s="1856">
        <v>0.13200000000000001</v>
      </c>
      <c r="F231" s="1864"/>
    </row>
    <row r="232" spans="1:6" ht="14.25" thickBot="1">
      <c r="A232" s="1851" t="s">
        <v>1414</v>
      </c>
      <c r="B232" s="1855" t="s">
        <v>2162</v>
      </c>
      <c r="C232" s="1856">
        <v>0.14499999999999999</v>
      </c>
      <c r="D232" s="1856">
        <v>0.14399999999999999</v>
      </c>
      <c r="E232" s="1856">
        <v>0.14599999999999999</v>
      </c>
      <c r="F232" s="1857">
        <v>0.13800000000000001</v>
      </c>
    </row>
    <row r="233" spans="1:6" ht="14.25" thickBot="1">
      <c r="A233" s="1851" t="s">
        <v>1414</v>
      </c>
      <c r="B233" s="1855" t="s">
        <v>2163</v>
      </c>
      <c r="C233" s="1856">
        <v>0.14499999999999999</v>
      </c>
      <c r="D233" s="1856">
        <v>0.14299999999999999</v>
      </c>
      <c r="E233" s="1856">
        <v>0.14199999999999999</v>
      </c>
      <c r="F233" s="1864"/>
    </row>
    <row r="234" spans="1:6" ht="14.25" thickBot="1">
      <c r="A234" s="1851" t="s">
        <v>1414</v>
      </c>
      <c r="B234" s="1855" t="s">
        <v>2164</v>
      </c>
      <c r="C234" s="1856">
        <v>0.14000000000000001</v>
      </c>
      <c r="D234" s="1856">
        <v>0.14000000000000001</v>
      </c>
      <c r="E234" s="1856">
        <v>0.14399999999999999</v>
      </c>
      <c r="F234" s="1864"/>
    </row>
    <row r="235" spans="1:6" ht="14.25" thickBot="1">
      <c r="A235" s="1851" t="s">
        <v>1414</v>
      </c>
      <c r="B235" s="1855" t="s">
        <v>2165</v>
      </c>
      <c r="C235" s="1856">
        <v>0.14099999999999999</v>
      </c>
      <c r="D235" s="1856">
        <v>0.14199999999999999</v>
      </c>
      <c r="E235" s="1856">
        <v>0.14499999999999999</v>
      </c>
      <c r="F235" s="1857">
        <v>0.15</v>
      </c>
    </row>
    <row r="236" spans="1:6" ht="14.25" thickBot="1">
      <c r="A236" s="1851" t="s">
        <v>1414</v>
      </c>
      <c r="B236" s="1855" t="s">
        <v>1346</v>
      </c>
      <c r="C236" s="1865"/>
      <c r="D236" s="1865"/>
      <c r="E236" s="1865"/>
      <c r="F236" s="1857">
        <v>0.14299999999999999</v>
      </c>
    </row>
    <row r="237" spans="1:6" ht="24.75" thickBot="1">
      <c r="A237" s="1851" t="s">
        <v>1414</v>
      </c>
      <c r="B237" s="1855" t="s">
        <v>2166</v>
      </c>
      <c r="C237" s="1865"/>
      <c r="D237" s="1865"/>
      <c r="E237" s="1865"/>
      <c r="F237" s="1857">
        <v>0.05</v>
      </c>
    </row>
    <row r="238" spans="1:6" ht="24.75" thickBot="1">
      <c r="A238" s="1851" t="s">
        <v>1414</v>
      </c>
      <c r="B238" s="1855" t="s">
        <v>2167</v>
      </c>
      <c r="C238" s="1865"/>
      <c r="D238" s="1865"/>
      <c r="E238" s="1865"/>
      <c r="F238" s="1857">
        <v>0.05</v>
      </c>
    </row>
    <row r="239" spans="1:6" ht="24.75" thickBot="1">
      <c r="A239" s="1851" t="s">
        <v>1414</v>
      </c>
      <c r="B239" s="1855" t="s">
        <v>2168</v>
      </c>
      <c r="C239" s="1865"/>
      <c r="D239" s="1865"/>
      <c r="E239" s="1865"/>
      <c r="F239" s="1857">
        <v>0.05</v>
      </c>
    </row>
    <row r="240" spans="1:6" ht="24.75" thickBot="1">
      <c r="A240" s="1851" t="s">
        <v>1414</v>
      </c>
      <c r="B240" s="1855" t="s">
        <v>2169</v>
      </c>
      <c r="C240" s="1865"/>
      <c r="D240" s="1865"/>
      <c r="E240" s="1865"/>
      <c r="F240" s="1857">
        <v>0.05</v>
      </c>
    </row>
    <row r="241" spans="1:6" ht="24.75" thickBot="1">
      <c r="A241" s="1851" t="s">
        <v>1414</v>
      </c>
      <c r="B241" s="1855" t="s">
        <v>2170</v>
      </c>
      <c r="C241" s="1865"/>
      <c r="D241" s="1865"/>
      <c r="E241" s="1865"/>
      <c r="F241" s="1857">
        <v>0.05</v>
      </c>
    </row>
    <row r="242" spans="1:6" ht="24.75" thickBot="1">
      <c r="A242" s="1851" t="s">
        <v>1414</v>
      </c>
      <c r="B242" s="1855" t="s">
        <v>2171</v>
      </c>
      <c r="C242" s="1865"/>
      <c r="D242" s="1865"/>
      <c r="E242" s="1865"/>
      <c r="F242" s="1857">
        <v>0.05</v>
      </c>
    </row>
    <row r="243" spans="1:6" ht="24.75" thickBot="1">
      <c r="A243" s="1851" t="s">
        <v>1414</v>
      </c>
      <c r="B243" s="1855" t="s">
        <v>2172</v>
      </c>
      <c r="C243" s="1865"/>
      <c r="D243" s="1865"/>
      <c r="E243" s="1865"/>
      <c r="F243" s="1857">
        <v>0.05</v>
      </c>
    </row>
    <row r="244" spans="1:6" ht="24.75" thickBot="1">
      <c r="A244" s="1859" t="s">
        <v>1414</v>
      </c>
      <c r="B244" s="1866" t="s">
        <v>2173</v>
      </c>
      <c r="C244" s="1862"/>
      <c r="D244" s="1862"/>
      <c r="E244" s="1862"/>
      <c r="F244" s="1867">
        <v>0.05</v>
      </c>
    </row>
    <row r="245" spans="1:6" ht="14.25" thickBot="1">
      <c r="A245" s="1851" t="s">
        <v>1416</v>
      </c>
      <c r="B245" s="1852" t="s">
        <v>2174</v>
      </c>
      <c r="C245" s="1853">
        <v>0.15</v>
      </c>
      <c r="D245" s="1853">
        <v>0.15</v>
      </c>
      <c r="E245" s="1853">
        <v>0.15</v>
      </c>
      <c r="F245" s="1854">
        <v>0.14299999999999999</v>
      </c>
    </row>
    <row r="246" spans="1:6" ht="14.25" thickBot="1">
      <c r="A246" s="1851" t="s">
        <v>1416</v>
      </c>
      <c r="B246" s="1855" t="s">
        <v>1079</v>
      </c>
      <c r="C246" s="1856">
        <v>0.15</v>
      </c>
      <c r="D246" s="1856">
        <v>0.15</v>
      </c>
      <c r="E246" s="1856">
        <v>0.15</v>
      </c>
      <c r="F246" s="1857">
        <v>0.114</v>
      </c>
    </row>
    <row r="247" spans="1:6" ht="14.25" thickBot="1">
      <c r="A247" s="1851" t="s">
        <v>1416</v>
      </c>
      <c r="B247" s="1855" t="s">
        <v>2175</v>
      </c>
      <c r="C247" s="1856">
        <v>0.15</v>
      </c>
      <c r="D247" s="1856">
        <v>0.15</v>
      </c>
      <c r="E247" s="1856">
        <v>0.15</v>
      </c>
      <c r="F247" s="1857">
        <v>0.15</v>
      </c>
    </row>
    <row r="248" spans="1:6" ht="14.25" thickBot="1">
      <c r="A248" s="1851" t="s">
        <v>1416</v>
      </c>
      <c r="B248" s="1855" t="s">
        <v>2176</v>
      </c>
      <c r="C248" s="1856">
        <v>0.15</v>
      </c>
      <c r="D248" s="1856">
        <v>0.15</v>
      </c>
      <c r="E248" s="1856">
        <v>0.15</v>
      </c>
      <c r="F248" s="1857">
        <v>0.14000000000000001</v>
      </c>
    </row>
    <row r="249" spans="1:6" ht="14.25" thickBot="1">
      <c r="A249" s="1851" t="s">
        <v>1416</v>
      </c>
      <c r="B249" s="1855" t="s">
        <v>2177</v>
      </c>
      <c r="C249" s="1856">
        <v>0.15</v>
      </c>
      <c r="D249" s="1856">
        <v>0.14899999999999999</v>
      </c>
      <c r="E249" s="1856">
        <v>0.15</v>
      </c>
      <c r="F249" s="1857">
        <v>0.1</v>
      </c>
    </row>
    <row r="250" spans="1:6" ht="14.25" thickBot="1">
      <c r="A250" s="1851" t="s">
        <v>1416</v>
      </c>
      <c r="B250" s="1855" t="s">
        <v>2178</v>
      </c>
      <c r="C250" s="1856">
        <v>0.15</v>
      </c>
      <c r="D250" s="1856">
        <v>0.15</v>
      </c>
      <c r="E250" s="1856">
        <v>0.15</v>
      </c>
      <c r="F250" s="1857">
        <v>0.14399999999999999</v>
      </c>
    </row>
    <row r="251" spans="1:6" ht="14.25" thickBot="1">
      <c r="A251" s="1851" t="s">
        <v>1416</v>
      </c>
      <c r="B251" s="1855" t="s">
        <v>1142</v>
      </c>
      <c r="C251" s="1856">
        <v>0.15</v>
      </c>
      <c r="D251" s="1856">
        <v>0.15</v>
      </c>
      <c r="E251" s="1856">
        <v>0.15</v>
      </c>
      <c r="F251" s="1857">
        <v>0.14299999999999999</v>
      </c>
    </row>
    <row r="252" spans="1:6" ht="14.25" thickBot="1">
      <c r="A252" s="1851" t="s">
        <v>1416</v>
      </c>
      <c r="B252" s="1855" t="s">
        <v>1153</v>
      </c>
      <c r="C252" s="1856">
        <v>0.15</v>
      </c>
      <c r="D252" s="1856">
        <v>0.15</v>
      </c>
      <c r="E252" s="1856">
        <v>0.15</v>
      </c>
      <c r="F252" s="1857">
        <v>0.1</v>
      </c>
    </row>
    <row r="253" spans="1:6" ht="14.25" thickBot="1">
      <c r="A253" s="1851" t="s">
        <v>1416</v>
      </c>
      <c r="B253" s="1855" t="s">
        <v>1165</v>
      </c>
      <c r="C253" s="1856">
        <v>0.15</v>
      </c>
      <c r="D253" s="1856">
        <v>0.15</v>
      </c>
      <c r="E253" s="1856">
        <v>0.15</v>
      </c>
      <c r="F253" s="1857">
        <v>0.1</v>
      </c>
    </row>
    <row r="254" spans="1:6" ht="14.25" thickBot="1">
      <c r="A254" s="1851" t="s">
        <v>1416</v>
      </c>
      <c r="B254" s="1855" t="s">
        <v>1175</v>
      </c>
      <c r="C254" s="1865"/>
      <c r="D254" s="1865"/>
      <c r="E254" s="1865"/>
      <c r="F254" s="1857">
        <v>0.15</v>
      </c>
    </row>
    <row r="255" spans="1:6" ht="14.25" thickBot="1">
      <c r="A255" s="1851" t="s">
        <v>1416</v>
      </c>
      <c r="B255" s="1855" t="s">
        <v>1185</v>
      </c>
      <c r="C255" s="1865"/>
      <c r="D255" s="1865"/>
      <c r="E255" s="1865"/>
      <c r="F255" s="1857">
        <v>0.14299999999999999</v>
      </c>
    </row>
    <row r="256" spans="1:6" ht="14.25" thickBot="1">
      <c r="A256" s="1851" t="s">
        <v>1416</v>
      </c>
      <c r="B256" s="1855" t="s">
        <v>2179</v>
      </c>
      <c r="C256" s="1856">
        <v>0.14599999999999999</v>
      </c>
      <c r="D256" s="1856">
        <v>0.14699999999999999</v>
      </c>
      <c r="E256" s="1856">
        <v>0.15</v>
      </c>
      <c r="F256" s="1857">
        <v>0.13200000000000001</v>
      </c>
    </row>
    <row r="257" spans="1:6" ht="14.25" thickBot="1">
      <c r="A257" s="1851" t="s">
        <v>1416</v>
      </c>
      <c r="B257" s="1855" t="s">
        <v>1205</v>
      </c>
      <c r="C257" s="1856">
        <v>0.15</v>
      </c>
      <c r="D257" s="1856">
        <v>0.15</v>
      </c>
      <c r="E257" s="1856">
        <v>0.15</v>
      </c>
      <c r="F257" s="1857">
        <v>0.13900000000000001</v>
      </c>
    </row>
    <row r="258" spans="1:6" ht="14.25" thickBot="1">
      <c r="A258" s="1851" t="s">
        <v>1416</v>
      </c>
      <c r="B258" s="1855" t="s">
        <v>1215</v>
      </c>
      <c r="C258" s="1856">
        <v>0.15</v>
      </c>
      <c r="D258" s="1856">
        <v>0.15</v>
      </c>
      <c r="E258" s="1856">
        <v>0.15</v>
      </c>
      <c r="F258" s="1857">
        <v>0.13</v>
      </c>
    </row>
    <row r="259" spans="1:6" ht="14.25" thickBot="1">
      <c r="A259" s="1851" t="s">
        <v>1416</v>
      </c>
      <c r="B259" s="1855" t="s">
        <v>2180</v>
      </c>
      <c r="C259" s="1856">
        <v>0.14799999999999999</v>
      </c>
      <c r="D259" s="1856">
        <v>0.14899999999999999</v>
      </c>
      <c r="E259" s="1856">
        <v>0.15</v>
      </c>
      <c r="F259" s="1857">
        <v>0.13700000000000001</v>
      </c>
    </row>
    <row r="260" spans="1:6" ht="14.25" thickBot="1">
      <c r="A260" s="1851" t="s">
        <v>1416</v>
      </c>
      <c r="B260" s="1855" t="s">
        <v>1235</v>
      </c>
      <c r="C260" s="1856">
        <v>0.15</v>
      </c>
      <c r="D260" s="1856">
        <v>0.15</v>
      </c>
      <c r="E260" s="1856">
        <v>0.15</v>
      </c>
      <c r="F260" s="1857">
        <v>0.14199999999999999</v>
      </c>
    </row>
    <row r="261" spans="1:6" ht="14.25" thickBot="1">
      <c r="A261" s="1851" t="s">
        <v>1416</v>
      </c>
      <c r="B261" s="1855" t="s">
        <v>1245</v>
      </c>
      <c r="C261" s="1856">
        <v>0.15</v>
      </c>
      <c r="D261" s="1856">
        <v>0.15</v>
      </c>
      <c r="E261" s="1856">
        <v>0.14899999999999999</v>
      </c>
      <c r="F261" s="1857">
        <v>0.14799999999999999</v>
      </c>
    </row>
    <row r="262" spans="1:6" ht="14.25" thickBot="1">
      <c r="A262" s="1851" t="s">
        <v>1416</v>
      </c>
      <c r="B262" s="1855" t="s">
        <v>1255</v>
      </c>
      <c r="C262" s="1856">
        <v>0.15</v>
      </c>
      <c r="D262" s="1856">
        <v>0.15</v>
      </c>
      <c r="E262" s="1856">
        <v>0.15</v>
      </c>
      <c r="F262" s="1864"/>
    </row>
    <row r="263" spans="1:6" ht="14.25" thickBot="1">
      <c r="A263" s="1851" t="s">
        <v>1416</v>
      </c>
      <c r="B263" s="1855" t="s">
        <v>2181</v>
      </c>
      <c r="C263" s="1856">
        <v>0.14899999999999999</v>
      </c>
      <c r="D263" s="1856">
        <v>0.14899999999999999</v>
      </c>
      <c r="E263" s="1856">
        <v>0.15</v>
      </c>
      <c r="F263" s="1857">
        <v>0.13</v>
      </c>
    </row>
    <row r="264" spans="1:6" ht="14.25" thickBot="1">
      <c r="A264" s="1851" t="s">
        <v>1416</v>
      </c>
      <c r="B264" s="1855" t="s">
        <v>1274</v>
      </c>
      <c r="C264" s="1856">
        <v>0.14799999999999999</v>
      </c>
      <c r="D264" s="1856">
        <v>0.14699999999999999</v>
      </c>
      <c r="E264" s="1856">
        <v>0.15</v>
      </c>
      <c r="F264" s="1857">
        <v>7.8E-2</v>
      </c>
    </row>
    <row r="265" spans="1:6" ht="14.25" thickBot="1">
      <c r="A265" s="1851" t="s">
        <v>1416</v>
      </c>
      <c r="B265" s="1855" t="s">
        <v>1283</v>
      </c>
      <c r="C265" s="1856">
        <v>0.15</v>
      </c>
      <c r="D265" s="1856">
        <v>0.15</v>
      </c>
      <c r="E265" s="1856">
        <v>0.15</v>
      </c>
      <c r="F265" s="1857">
        <v>7.3999999999999996E-2</v>
      </c>
    </row>
    <row r="266" spans="1:6" ht="14.25" thickBot="1">
      <c r="A266" s="1851" t="s">
        <v>1416</v>
      </c>
      <c r="B266" s="1855" t="s">
        <v>1291</v>
      </c>
      <c r="C266" s="1856">
        <v>0.14699999999999999</v>
      </c>
      <c r="D266" s="1856">
        <v>0.14699999999999999</v>
      </c>
      <c r="E266" s="1856">
        <v>0.15</v>
      </c>
      <c r="F266" s="1857">
        <v>0.14299999999999999</v>
      </c>
    </row>
    <row r="267" spans="1:6" ht="14.25" thickBot="1">
      <c r="A267" s="1851" t="s">
        <v>1416</v>
      </c>
      <c r="B267" s="1855" t="s">
        <v>1298</v>
      </c>
      <c r="C267" s="1856">
        <v>0.14199999999999999</v>
      </c>
      <c r="D267" s="1856">
        <v>0.14299999999999999</v>
      </c>
      <c r="E267" s="1856">
        <v>0.15</v>
      </c>
      <c r="F267" s="1864"/>
    </row>
    <row r="268" spans="1:6" ht="14.25" thickBot="1">
      <c r="A268" s="1851" t="s">
        <v>1416</v>
      </c>
      <c r="B268" s="1855" t="s">
        <v>2182</v>
      </c>
      <c r="C268" s="1856">
        <v>0.15</v>
      </c>
      <c r="D268" s="1856">
        <v>0.15</v>
      </c>
      <c r="E268" s="1856">
        <v>0.15</v>
      </c>
      <c r="F268" s="1857">
        <v>0.13</v>
      </c>
    </row>
    <row r="269" spans="1:6" ht="14.25" thickBot="1">
      <c r="A269" s="1851" t="s">
        <v>1416</v>
      </c>
      <c r="B269" s="1855" t="s">
        <v>1312</v>
      </c>
      <c r="C269" s="1856">
        <v>0.15</v>
      </c>
      <c r="D269" s="1856">
        <v>0.15</v>
      </c>
      <c r="E269" s="1856">
        <v>0.15</v>
      </c>
      <c r="F269" s="1857">
        <v>0.14299999999999999</v>
      </c>
    </row>
    <row r="270" spans="1:6" ht="14.25" thickBot="1">
      <c r="A270" s="1851" t="s">
        <v>1416</v>
      </c>
      <c r="B270" s="1855" t="s">
        <v>1319</v>
      </c>
      <c r="C270" s="1856">
        <v>0.14499999999999999</v>
      </c>
      <c r="D270" s="1856">
        <v>0.14499999999999999</v>
      </c>
      <c r="E270" s="1856">
        <v>0.15</v>
      </c>
      <c r="F270" s="1857">
        <v>0.14699999999999999</v>
      </c>
    </row>
    <row r="271" spans="1:6" ht="14.25" thickBot="1">
      <c r="A271" s="1851" t="s">
        <v>1416</v>
      </c>
      <c r="B271" s="1855" t="s">
        <v>1326</v>
      </c>
      <c r="C271" s="1856">
        <v>0.15</v>
      </c>
      <c r="D271" s="1856">
        <v>0.15</v>
      </c>
      <c r="E271" s="1856">
        <v>0.15</v>
      </c>
      <c r="F271" s="1857">
        <v>0.13800000000000001</v>
      </c>
    </row>
    <row r="272" spans="1:6" ht="14.25" thickBot="1">
      <c r="A272" s="1851" t="s">
        <v>1416</v>
      </c>
      <c r="B272" s="1855" t="s">
        <v>1333</v>
      </c>
      <c r="C272" s="1865"/>
      <c r="D272" s="1865"/>
      <c r="E272" s="1865"/>
      <c r="F272" s="1857">
        <v>0.14000000000000001</v>
      </c>
    </row>
    <row r="273" spans="1:6" ht="14.25" thickBot="1">
      <c r="A273" s="1851" t="s">
        <v>1416</v>
      </c>
      <c r="B273" s="1855" t="s">
        <v>2183</v>
      </c>
      <c r="C273" s="1856">
        <v>0.14199999999999999</v>
      </c>
      <c r="D273" s="1856">
        <v>0.14299999999999999</v>
      </c>
      <c r="E273" s="1856">
        <v>0.15</v>
      </c>
      <c r="F273" s="1857">
        <v>0.1</v>
      </c>
    </row>
    <row r="274" spans="1:6" ht="14.25" thickBot="1">
      <c r="A274" s="1851" t="s">
        <v>1416</v>
      </c>
      <c r="B274" s="1855" t="s">
        <v>2184</v>
      </c>
      <c r="C274" s="1856">
        <v>0.14799999999999999</v>
      </c>
      <c r="D274" s="1856">
        <v>0.14799999999999999</v>
      </c>
      <c r="E274" s="1856">
        <v>0.15</v>
      </c>
      <c r="F274" s="1857">
        <v>6.7000000000000004E-2</v>
      </c>
    </row>
    <row r="275" spans="1:6" ht="14.25" thickBot="1">
      <c r="A275" s="1851" t="s">
        <v>1416</v>
      </c>
      <c r="B275" s="1855" t="s">
        <v>2185</v>
      </c>
      <c r="C275" s="1856">
        <v>0.15</v>
      </c>
      <c r="D275" s="1856">
        <v>0.15</v>
      </c>
      <c r="E275" s="1856">
        <v>0.15</v>
      </c>
      <c r="F275" s="1857">
        <v>0.15</v>
      </c>
    </row>
    <row r="276" spans="1:6" ht="14.25" thickBot="1">
      <c r="A276" s="1851" t="s">
        <v>1416</v>
      </c>
      <c r="B276" s="1855" t="s">
        <v>2186</v>
      </c>
      <c r="C276" s="1856">
        <v>0.14499999999999999</v>
      </c>
      <c r="D276" s="1856">
        <v>0.14299999999999999</v>
      </c>
      <c r="E276" s="1856">
        <v>0.15</v>
      </c>
      <c r="F276" s="1857">
        <v>5.8999999999999997E-2</v>
      </c>
    </row>
    <row r="277" spans="1:6" ht="14.25" thickBot="1">
      <c r="A277" s="1851" t="s">
        <v>1416</v>
      </c>
      <c r="B277" s="1855" t="s">
        <v>2187</v>
      </c>
      <c r="C277" s="1856">
        <v>0.15</v>
      </c>
      <c r="D277" s="1856">
        <v>0.15</v>
      </c>
      <c r="E277" s="1856">
        <v>0.15</v>
      </c>
      <c r="F277" s="1857">
        <v>0.121</v>
      </c>
    </row>
    <row r="278" spans="1:6" ht="14.25" thickBot="1">
      <c r="A278" s="1851" t="s">
        <v>1416</v>
      </c>
      <c r="B278" s="1855" t="s">
        <v>2188</v>
      </c>
      <c r="C278" s="1856">
        <v>0.15</v>
      </c>
      <c r="D278" s="1856">
        <v>0.15</v>
      </c>
      <c r="E278" s="1856">
        <v>0.15</v>
      </c>
      <c r="F278" s="1857">
        <v>0.13800000000000001</v>
      </c>
    </row>
    <row r="279" spans="1:6" ht="24.75" thickBot="1">
      <c r="A279" s="1851" t="s">
        <v>1416</v>
      </c>
      <c r="B279" s="1855" t="s">
        <v>2189</v>
      </c>
      <c r="C279" s="1865"/>
      <c r="D279" s="1865"/>
      <c r="E279" s="1865"/>
      <c r="F279" s="1857">
        <v>0.05</v>
      </c>
    </row>
    <row r="280" spans="1:6" ht="24.75" thickBot="1">
      <c r="A280" s="1851" t="s">
        <v>1416</v>
      </c>
      <c r="B280" s="1855" t="s">
        <v>2190</v>
      </c>
      <c r="C280" s="1865"/>
      <c r="D280" s="1865"/>
      <c r="E280" s="1865"/>
      <c r="F280" s="1857">
        <v>0.05</v>
      </c>
    </row>
    <row r="281" spans="1:6" ht="24.75" thickBot="1">
      <c r="A281" s="1851" t="s">
        <v>1416</v>
      </c>
      <c r="B281" s="1855" t="s">
        <v>2191</v>
      </c>
      <c r="C281" s="1865"/>
      <c r="D281" s="1865"/>
      <c r="E281" s="1865"/>
      <c r="F281" s="1857">
        <v>0.05</v>
      </c>
    </row>
    <row r="282" spans="1:6" ht="24.75" thickBot="1">
      <c r="A282" s="1851" t="s">
        <v>1416</v>
      </c>
      <c r="B282" s="1855" t="s">
        <v>2192</v>
      </c>
      <c r="C282" s="1865"/>
      <c r="D282" s="1865"/>
      <c r="E282" s="1865"/>
      <c r="F282" s="1857">
        <v>0.05</v>
      </c>
    </row>
    <row r="283" spans="1:6" ht="24.75" thickBot="1">
      <c r="A283" s="1851" t="s">
        <v>1416</v>
      </c>
      <c r="B283" s="1855" t="s">
        <v>2193</v>
      </c>
      <c r="C283" s="1865"/>
      <c r="D283" s="1865"/>
      <c r="E283" s="1865"/>
      <c r="F283" s="1857">
        <v>0.05</v>
      </c>
    </row>
    <row r="284" spans="1:6" ht="24.75" thickBot="1">
      <c r="A284" s="1851" t="s">
        <v>1416</v>
      </c>
      <c r="B284" s="1855" t="s">
        <v>2194</v>
      </c>
      <c r="C284" s="1865"/>
      <c r="D284" s="1865"/>
      <c r="E284" s="1865"/>
      <c r="F284" s="1857">
        <v>0.05</v>
      </c>
    </row>
    <row r="285" spans="1:6" ht="24.75" thickBot="1">
      <c r="A285" s="1851" t="s">
        <v>1416</v>
      </c>
      <c r="B285" s="1855" t="s">
        <v>2195</v>
      </c>
      <c r="C285" s="1865"/>
      <c r="D285" s="1865"/>
      <c r="E285" s="1865"/>
      <c r="F285" s="1857">
        <v>0.05</v>
      </c>
    </row>
    <row r="286" spans="1:6" ht="24.75" thickBot="1">
      <c r="A286" s="1851" t="s">
        <v>1416</v>
      </c>
      <c r="B286" s="1855" t="s">
        <v>2196</v>
      </c>
      <c r="C286" s="1865"/>
      <c r="D286" s="1865"/>
      <c r="E286" s="1865"/>
      <c r="F286" s="1857">
        <v>0.05</v>
      </c>
    </row>
    <row r="287" spans="1:6" ht="24.75" thickBot="1">
      <c r="A287" s="1851" t="s">
        <v>1416</v>
      </c>
      <c r="B287" s="1855" t="s">
        <v>2197</v>
      </c>
      <c r="C287" s="1865"/>
      <c r="D287" s="1865"/>
      <c r="E287" s="1865"/>
      <c r="F287" s="1857">
        <v>0.05</v>
      </c>
    </row>
    <row r="288" spans="1:6" ht="24.75" thickBot="1">
      <c r="A288" s="1851" t="s">
        <v>1416</v>
      </c>
      <c r="B288" s="1855" t="s">
        <v>2198</v>
      </c>
      <c r="C288" s="1865"/>
      <c r="D288" s="1865"/>
      <c r="E288" s="1865"/>
      <c r="F288" s="1857">
        <v>0.05</v>
      </c>
    </row>
    <row r="289" spans="1:6" ht="24.75" thickBot="1">
      <c r="A289" s="1859" t="s">
        <v>1416</v>
      </c>
      <c r="B289" s="1866" t="s">
        <v>2199</v>
      </c>
      <c r="C289" s="1862"/>
      <c r="D289" s="1862"/>
      <c r="E289" s="1862"/>
      <c r="F289" s="1867">
        <v>0.05</v>
      </c>
    </row>
    <row r="290" spans="1:6" ht="14.25" thickBot="1">
      <c r="A290" s="1851" t="s">
        <v>1420</v>
      </c>
      <c r="B290" s="1852" t="s">
        <v>2200</v>
      </c>
      <c r="C290" s="1853">
        <v>0.15</v>
      </c>
      <c r="D290" s="1853">
        <v>0.15</v>
      </c>
      <c r="E290" s="1853">
        <v>0.15</v>
      </c>
      <c r="F290" s="1875"/>
    </row>
    <row r="291" spans="1:6" ht="14.25" thickBot="1">
      <c r="A291" s="1851" t="s">
        <v>1420</v>
      </c>
      <c r="B291" s="1855" t="s">
        <v>1080</v>
      </c>
      <c r="C291" s="1856">
        <v>0.15</v>
      </c>
      <c r="D291" s="1856">
        <v>0.15</v>
      </c>
      <c r="E291" s="1856">
        <v>0.15</v>
      </c>
      <c r="F291" s="1864"/>
    </row>
    <row r="292" spans="1:6" ht="14.25" thickBot="1">
      <c r="A292" s="1851" t="s">
        <v>1420</v>
      </c>
      <c r="B292" s="1855" t="s">
        <v>2201</v>
      </c>
      <c r="C292" s="1856">
        <v>0.15</v>
      </c>
      <c r="D292" s="1856">
        <v>0.15</v>
      </c>
      <c r="E292" s="1856">
        <v>0.15</v>
      </c>
      <c r="F292" s="1857">
        <v>0.14699999999999999</v>
      </c>
    </row>
    <row r="293" spans="1:6" ht="14.25" thickBot="1">
      <c r="A293" s="1851" t="s">
        <v>1420</v>
      </c>
      <c r="B293" s="1855" t="s">
        <v>2202</v>
      </c>
      <c r="C293" s="1865"/>
      <c r="D293" s="1865"/>
      <c r="E293" s="1865"/>
      <c r="F293" s="1857">
        <v>0.1</v>
      </c>
    </row>
    <row r="294" spans="1:6" ht="14.25" thickBot="1">
      <c r="A294" s="1851" t="s">
        <v>1420</v>
      </c>
      <c r="B294" s="1855" t="s">
        <v>2203</v>
      </c>
      <c r="C294" s="1856">
        <v>0.15</v>
      </c>
      <c r="D294" s="1856">
        <v>0.15</v>
      </c>
      <c r="E294" s="1856">
        <v>0.15</v>
      </c>
      <c r="F294" s="1857">
        <v>0.15</v>
      </c>
    </row>
    <row r="295" spans="1:6" ht="14.25" thickBot="1">
      <c r="A295" s="1851" t="s">
        <v>1420</v>
      </c>
      <c r="B295" s="1855" t="s">
        <v>1121</v>
      </c>
      <c r="C295" s="1856">
        <v>0.15</v>
      </c>
      <c r="D295" s="1856">
        <v>0.15</v>
      </c>
      <c r="E295" s="1856">
        <v>0.15</v>
      </c>
      <c r="F295" s="1857">
        <v>0.15</v>
      </c>
    </row>
    <row r="296" spans="1:6" ht="14.25" thickBot="1">
      <c r="A296" s="1851" t="s">
        <v>1420</v>
      </c>
      <c r="B296" s="1855" t="s">
        <v>2204</v>
      </c>
      <c r="C296" s="1856">
        <v>0.15</v>
      </c>
      <c r="D296" s="1856">
        <v>0.15</v>
      </c>
      <c r="E296" s="1856">
        <v>0.15</v>
      </c>
      <c r="F296" s="1857">
        <v>0.15</v>
      </c>
    </row>
    <row r="297" spans="1:6" ht="14.25" thickBot="1">
      <c r="A297" s="1851" t="s">
        <v>1420</v>
      </c>
      <c r="B297" s="1855" t="s">
        <v>2205</v>
      </c>
      <c r="C297" s="1856">
        <v>0.14799999999999999</v>
      </c>
      <c r="D297" s="1856">
        <v>0.14899999999999999</v>
      </c>
      <c r="E297" s="1856">
        <v>0.15</v>
      </c>
      <c r="F297" s="1857">
        <v>0.13700000000000001</v>
      </c>
    </row>
    <row r="298" spans="1:6" ht="14.25" thickBot="1">
      <c r="A298" s="1851" t="s">
        <v>1420</v>
      </c>
      <c r="B298" s="1855" t="s">
        <v>1154</v>
      </c>
      <c r="C298" s="1856">
        <v>0.13400000000000001</v>
      </c>
      <c r="D298" s="1856">
        <v>0.13400000000000001</v>
      </c>
      <c r="E298" s="1856">
        <v>0.14499999999999999</v>
      </c>
      <c r="F298" s="1857">
        <v>0.14799999999999999</v>
      </c>
    </row>
    <row r="299" spans="1:6" ht="14.25" thickBot="1">
      <c r="A299" s="1851" t="s">
        <v>1420</v>
      </c>
      <c r="B299" s="1855" t="s">
        <v>1166</v>
      </c>
      <c r="C299" s="1856">
        <v>0.15</v>
      </c>
      <c r="D299" s="1856">
        <v>0.15</v>
      </c>
      <c r="E299" s="1856">
        <v>0.15</v>
      </c>
      <c r="F299" s="1864"/>
    </row>
    <row r="300" spans="1:6" ht="14.25" thickBot="1">
      <c r="A300" s="1851" t="s">
        <v>1420</v>
      </c>
      <c r="B300" s="1855" t="s">
        <v>2206</v>
      </c>
      <c r="C300" s="1856">
        <v>0.15</v>
      </c>
      <c r="D300" s="1856">
        <v>0.15</v>
      </c>
      <c r="E300" s="1856">
        <v>0.15</v>
      </c>
      <c r="F300" s="1857">
        <v>0.15</v>
      </c>
    </row>
    <row r="301" spans="1:6" ht="14.25" thickBot="1">
      <c r="A301" s="1851" t="s">
        <v>1420</v>
      </c>
      <c r="B301" s="1855" t="s">
        <v>1186</v>
      </c>
      <c r="C301" s="1856">
        <v>0.15</v>
      </c>
      <c r="D301" s="1856">
        <v>0.15</v>
      </c>
      <c r="E301" s="1856">
        <v>0.15</v>
      </c>
      <c r="F301" s="1864"/>
    </row>
    <row r="302" spans="1:6" ht="14.25" thickBot="1">
      <c r="A302" s="1851" t="s">
        <v>1420</v>
      </c>
      <c r="B302" s="1855" t="s">
        <v>2207</v>
      </c>
      <c r="C302" s="1856">
        <v>0.15</v>
      </c>
      <c r="D302" s="1856">
        <v>0.15</v>
      </c>
      <c r="E302" s="1856">
        <v>0.15</v>
      </c>
      <c r="F302" s="1857">
        <v>0.15</v>
      </c>
    </row>
    <row r="303" spans="1:6" ht="14.25" thickBot="1">
      <c r="A303" s="1851" t="s">
        <v>1420</v>
      </c>
      <c r="B303" s="1855" t="s">
        <v>1206</v>
      </c>
      <c r="C303" s="1856">
        <v>0.15</v>
      </c>
      <c r="D303" s="1856">
        <v>0.15</v>
      </c>
      <c r="E303" s="1856">
        <v>0.15</v>
      </c>
      <c r="F303" s="1857">
        <v>0.15</v>
      </c>
    </row>
    <row r="304" spans="1:6" ht="14.25" thickBot="1">
      <c r="A304" s="1851" t="s">
        <v>1420</v>
      </c>
      <c r="B304" s="1855" t="s">
        <v>1216</v>
      </c>
      <c r="C304" s="1856">
        <v>0.15</v>
      </c>
      <c r="D304" s="1856">
        <v>0.15</v>
      </c>
      <c r="E304" s="1856">
        <v>0.15</v>
      </c>
      <c r="F304" s="1864"/>
    </row>
    <row r="305" spans="1:6" ht="14.25" thickBot="1">
      <c r="A305" s="1851" t="s">
        <v>1420</v>
      </c>
      <c r="B305" s="1855" t="s">
        <v>2208</v>
      </c>
      <c r="C305" s="1856">
        <v>0.15</v>
      </c>
      <c r="D305" s="1856">
        <v>0.15</v>
      </c>
      <c r="E305" s="1856">
        <v>0.15</v>
      </c>
      <c r="F305" s="1857">
        <v>0.14000000000000001</v>
      </c>
    </row>
    <row r="306" spans="1:6" ht="14.25" thickBot="1">
      <c r="A306" s="1851" t="s">
        <v>1420</v>
      </c>
      <c r="B306" s="1855" t="s">
        <v>1236</v>
      </c>
      <c r="C306" s="1856">
        <v>0.15</v>
      </c>
      <c r="D306" s="1856">
        <v>0.15</v>
      </c>
      <c r="E306" s="1856">
        <v>0.15</v>
      </c>
      <c r="F306" s="1864"/>
    </row>
    <row r="307" spans="1:6" ht="14.25" thickBot="1">
      <c r="A307" s="1851" t="s">
        <v>1420</v>
      </c>
      <c r="B307" s="1855" t="s">
        <v>2209</v>
      </c>
      <c r="C307" s="1856">
        <v>0.15</v>
      </c>
      <c r="D307" s="1856">
        <v>0.15</v>
      </c>
      <c r="E307" s="1856">
        <v>0.15</v>
      </c>
      <c r="F307" s="1857">
        <v>0.14299999999999999</v>
      </c>
    </row>
    <row r="308" spans="1:6" ht="14.25" thickBot="1">
      <c r="A308" s="1851" t="s">
        <v>1420</v>
      </c>
      <c r="B308" s="1855" t="s">
        <v>1256</v>
      </c>
      <c r="C308" s="1856">
        <v>0.15</v>
      </c>
      <c r="D308" s="1856">
        <v>0.15</v>
      </c>
      <c r="E308" s="1856">
        <v>0.15</v>
      </c>
      <c r="F308" s="1857">
        <v>0.15</v>
      </c>
    </row>
    <row r="309" spans="1:6" ht="14.25" thickBot="1">
      <c r="A309" s="1851" t="s">
        <v>1420</v>
      </c>
      <c r="B309" s="1855" t="s">
        <v>1266</v>
      </c>
      <c r="C309" s="1856">
        <v>0.15</v>
      </c>
      <c r="D309" s="1856">
        <v>0.15</v>
      </c>
      <c r="E309" s="1856">
        <v>0.15</v>
      </c>
      <c r="F309" s="1864"/>
    </row>
    <row r="310" spans="1:6" ht="14.25" thickBot="1">
      <c r="A310" s="1851" t="s">
        <v>1420</v>
      </c>
      <c r="B310" s="1855" t="s">
        <v>2210</v>
      </c>
      <c r="C310" s="1856">
        <v>0.15</v>
      </c>
      <c r="D310" s="1856">
        <v>0.15</v>
      </c>
      <c r="E310" s="1856">
        <v>0.15</v>
      </c>
      <c r="F310" s="1857">
        <v>0.13700000000000001</v>
      </c>
    </row>
    <row r="311" spans="1:6" ht="14.25" thickBot="1">
      <c r="A311" s="1851" t="s">
        <v>1420</v>
      </c>
      <c r="B311" s="1855" t="s">
        <v>2211</v>
      </c>
      <c r="C311" s="1856">
        <v>0.15</v>
      </c>
      <c r="D311" s="1856">
        <v>0.15</v>
      </c>
      <c r="E311" s="1856">
        <v>0.15</v>
      </c>
      <c r="F311" s="1857">
        <v>0.15</v>
      </c>
    </row>
    <row r="312" spans="1:6" ht="14.25" thickBot="1">
      <c r="A312" s="1851" t="s">
        <v>1420</v>
      </c>
      <c r="B312" s="1855" t="s">
        <v>1292</v>
      </c>
      <c r="C312" s="1856">
        <v>0.15</v>
      </c>
      <c r="D312" s="1856">
        <v>0.15</v>
      </c>
      <c r="E312" s="1856">
        <v>0.15</v>
      </c>
      <c r="F312" s="1857">
        <v>0.1</v>
      </c>
    </row>
    <row r="313" spans="1:6" ht="14.25" thickBot="1">
      <c r="A313" s="1851" t="s">
        <v>1420</v>
      </c>
      <c r="B313" s="1855" t="s">
        <v>2212</v>
      </c>
      <c r="C313" s="1856">
        <v>0.15</v>
      </c>
      <c r="D313" s="1856">
        <v>0.15</v>
      </c>
      <c r="E313" s="1856">
        <v>0.15</v>
      </c>
      <c r="F313" s="1857">
        <v>0.15</v>
      </c>
    </row>
    <row r="314" spans="1:6" ht="24.75" thickBot="1">
      <c r="A314" s="1851" t="s">
        <v>1420</v>
      </c>
      <c r="B314" s="1855" t="s">
        <v>2213</v>
      </c>
      <c r="C314" s="1865"/>
      <c r="D314" s="1865"/>
      <c r="E314" s="1865"/>
      <c r="F314" s="1857">
        <v>0.05</v>
      </c>
    </row>
    <row r="315" spans="1:6" ht="24.75" thickBot="1">
      <c r="A315" s="1851" t="s">
        <v>1420</v>
      </c>
      <c r="B315" s="1855" t="s">
        <v>2214</v>
      </c>
      <c r="C315" s="1865"/>
      <c r="D315" s="1865"/>
      <c r="E315" s="1865"/>
      <c r="F315" s="1857">
        <v>0.05</v>
      </c>
    </row>
    <row r="316" spans="1:6" ht="24.75" thickBot="1">
      <c r="A316" s="1859" t="s">
        <v>1420</v>
      </c>
      <c r="B316" s="1866" t="s">
        <v>2215</v>
      </c>
      <c r="C316" s="1862"/>
      <c r="D316" s="1862"/>
      <c r="E316" s="1862"/>
      <c r="F316" s="1867">
        <v>0.05</v>
      </c>
    </row>
    <row r="317" spans="1:6" ht="14.25" thickBot="1">
      <c r="A317" s="1851" t="s">
        <v>2216</v>
      </c>
      <c r="B317" s="1852" t="s">
        <v>2217</v>
      </c>
      <c r="C317" s="1853">
        <v>0.15</v>
      </c>
      <c r="D317" s="1853">
        <v>0.15</v>
      </c>
      <c r="E317" s="1853">
        <v>0.15</v>
      </c>
      <c r="F317" s="1854">
        <v>0.15</v>
      </c>
    </row>
    <row r="318" spans="1:6" ht="14.25" thickBot="1">
      <c r="A318" s="1851" t="s">
        <v>2216</v>
      </c>
      <c r="B318" s="1855" t="s">
        <v>2218</v>
      </c>
      <c r="C318" s="1856">
        <v>0.107</v>
      </c>
      <c r="D318" s="1856">
        <v>0.11</v>
      </c>
      <c r="E318" s="1856">
        <v>0.112</v>
      </c>
      <c r="F318" s="1864"/>
    </row>
    <row r="319" spans="1:6" ht="14.25" thickBot="1">
      <c r="A319" s="1851" t="s">
        <v>2216</v>
      </c>
      <c r="B319" s="1855" t="s">
        <v>2219</v>
      </c>
      <c r="C319" s="1856">
        <v>0.15</v>
      </c>
      <c r="D319" s="1856">
        <v>0.15</v>
      </c>
      <c r="E319" s="1856">
        <v>0.15</v>
      </c>
      <c r="F319" s="1857">
        <v>0.15</v>
      </c>
    </row>
    <row r="320" spans="1:6" ht="14.25" thickBot="1">
      <c r="A320" s="1851" t="s">
        <v>2216</v>
      </c>
      <c r="B320" s="1855" t="s">
        <v>1108</v>
      </c>
      <c r="C320" s="1856">
        <v>0.15</v>
      </c>
      <c r="D320" s="1856">
        <v>0.15</v>
      </c>
      <c r="E320" s="1856">
        <v>0.15</v>
      </c>
      <c r="F320" s="1864"/>
    </row>
    <row r="321" spans="1:6" ht="14.25" thickBot="1">
      <c r="A321" s="1851" t="s">
        <v>2216</v>
      </c>
      <c r="B321" s="1855" t="s">
        <v>2220</v>
      </c>
      <c r="C321" s="1856">
        <v>0.15</v>
      </c>
      <c r="D321" s="1856">
        <v>0.15</v>
      </c>
      <c r="E321" s="1856">
        <v>0.15</v>
      </c>
      <c r="F321" s="1864"/>
    </row>
    <row r="322" spans="1:6" ht="14.25" thickBot="1">
      <c r="A322" s="1851" t="s">
        <v>2216</v>
      </c>
      <c r="B322" s="1855" t="s">
        <v>2221</v>
      </c>
      <c r="C322" s="1856">
        <v>0.15</v>
      </c>
      <c r="D322" s="1856">
        <v>0.15</v>
      </c>
      <c r="E322" s="1856">
        <v>0.15</v>
      </c>
      <c r="F322" s="1857">
        <v>0.15</v>
      </c>
    </row>
    <row r="323" spans="1:6" ht="14.25" thickBot="1">
      <c r="A323" s="1851" t="s">
        <v>2216</v>
      </c>
      <c r="B323" s="1855" t="s">
        <v>2222</v>
      </c>
      <c r="C323" s="1856">
        <v>0.15</v>
      </c>
      <c r="D323" s="1856">
        <v>0.15</v>
      </c>
      <c r="E323" s="1856">
        <v>0.15</v>
      </c>
      <c r="F323" s="1864"/>
    </row>
    <row r="324" spans="1:6" ht="14.25" thickBot="1">
      <c r="A324" s="1851" t="s">
        <v>2216</v>
      </c>
      <c r="B324" s="1855" t="s">
        <v>2223</v>
      </c>
      <c r="C324" s="1856">
        <v>0.15</v>
      </c>
      <c r="D324" s="1856">
        <v>0.15</v>
      </c>
      <c r="E324" s="1856">
        <v>0.15</v>
      </c>
      <c r="F324" s="1864"/>
    </row>
    <row r="325" spans="1:6" ht="14.25" thickBot="1">
      <c r="A325" s="1851" t="s">
        <v>2216</v>
      </c>
      <c r="B325" s="1855" t="s">
        <v>2224</v>
      </c>
      <c r="C325" s="1856">
        <v>0.15</v>
      </c>
      <c r="D325" s="1856">
        <v>0.15</v>
      </c>
      <c r="E325" s="1856">
        <v>0.15</v>
      </c>
      <c r="F325" s="1857">
        <v>0.14699999999999999</v>
      </c>
    </row>
    <row r="326" spans="1:6" ht="14.25" thickBot="1">
      <c r="A326" s="1851" t="s">
        <v>2216</v>
      </c>
      <c r="B326" s="1855" t="s">
        <v>1177</v>
      </c>
      <c r="C326" s="1856">
        <v>0.15</v>
      </c>
      <c r="D326" s="1856">
        <v>0.15</v>
      </c>
      <c r="E326" s="1856">
        <v>0.15</v>
      </c>
      <c r="F326" s="1864"/>
    </row>
    <row r="327" spans="1:6" ht="14.25" thickBot="1">
      <c r="A327" s="1851" t="s">
        <v>2216</v>
      </c>
      <c r="B327" s="1855" t="s">
        <v>2225</v>
      </c>
      <c r="C327" s="1856">
        <v>0.15</v>
      </c>
      <c r="D327" s="1856">
        <v>0.15</v>
      </c>
      <c r="E327" s="1856">
        <v>0.15</v>
      </c>
      <c r="F327" s="1857">
        <v>0.15</v>
      </c>
    </row>
    <row r="328" spans="1:6" ht="14.25" thickBot="1">
      <c r="A328" s="1851" t="s">
        <v>2216</v>
      </c>
      <c r="B328" s="1855" t="s">
        <v>1197</v>
      </c>
      <c r="C328" s="1856">
        <v>0.15</v>
      </c>
      <c r="D328" s="1856">
        <v>0.15</v>
      </c>
      <c r="E328" s="1856">
        <v>0.15</v>
      </c>
      <c r="F328" s="1857">
        <v>0.14099999999999999</v>
      </c>
    </row>
    <row r="329" spans="1:6" ht="14.25" thickBot="1">
      <c r="A329" s="1851" t="s">
        <v>2216</v>
      </c>
      <c r="B329" s="1855" t="s">
        <v>1207</v>
      </c>
      <c r="C329" s="1856">
        <v>0.15</v>
      </c>
      <c r="D329" s="1856">
        <v>0.15</v>
      </c>
      <c r="E329" s="1856">
        <v>0.15</v>
      </c>
      <c r="F329" s="1857">
        <v>0.15</v>
      </c>
    </row>
    <row r="330" spans="1:6" ht="14.25" thickBot="1">
      <c r="A330" s="1851" t="s">
        <v>2216</v>
      </c>
      <c r="B330" s="1855" t="s">
        <v>1217</v>
      </c>
      <c r="C330" s="1856">
        <v>0.15</v>
      </c>
      <c r="D330" s="1856">
        <v>0.15</v>
      </c>
      <c r="E330" s="1856">
        <v>0.15</v>
      </c>
      <c r="F330" s="1864"/>
    </row>
    <row r="331" spans="1:6" ht="14.25" thickBot="1">
      <c r="A331" s="1851" t="s">
        <v>2216</v>
      </c>
      <c r="B331" s="1855" t="s">
        <v>2226</v>
      </c>
      <c r="C331" s="1856">
        <v>0.15</v>
      </c>
      <c r="D331" s="1856">
        <v>0.15</v>
      </c>
      <c r="E331" s="1856">
        <v>0.15</v>
      </c>
      <c r="F331" s="1857">
        <v>0.15</v>
      </c>
    </row>
    <row r="332" spans="1:6" ht="14.25" thickBot="1">
      <c r="A332" s="1851" t="s">
        <v>2216</v>
      </c>
      <c r="B332" s="1855" t="s">
        <v>1237</v>
      </c>
      <c r="C332" s="1856">
        <v>0.15</v>
      </c>
      <c r="D332" s="1856">
        <v>0.15</v>
      </c>
      <c r="E332" s="1856">
        <v>0.15</v>
      </c>
      <c r="F332" s="1857">
        <v>0.15</v>
      </c>
    </row>
    <row r="333" spans="1:6" ht="14.25" thickBot="1">
      <c r="A333" s="1851" t="s">
        <v>2216</v>
      </c>
      <c r="B333" s="1855" t="s">
        <v>2227</v>
      </c>
      <c r="C333" s="1856">
        <v>0.15</v>
      </c>
      <c r="D333" s="1856">
        <v>0.15</v>
      </c>
      <c r="E333" s="1856">
        <v>0.15</v>
      </c>
      <c r="F333" s="1857">
        <v>0.14099999999999999</v>
      </c>
    </row>
    <row r="334" spans="1:6" ht="14.25" thickBot="1">
      <c r="A334" s="1851" t="s">
        <v>2216</v>
      </c>
      <c r="B334" s="1855" t="s">
        <v>1257</v>
      </c>
      <c r="C334" s="1856">
        <v>0.15</v>
      </c>
      <c r="D334" s="1856">
        <v>0.15</v>
      </c>
      <c r="E334" s="1856">
        <v>0.15</v>
      </c>
      <c r="F334" s="1857">
        <v>0.15</v>
      </c>
    </row>
    <row r="335" spans="1:6" ht="14.25" thickBot="1">
      <c r="A335" s="1851" t="s">
        <v>2216</v>
      </c>
      <c r="B335" s="1855" t="s">
        <v>1267</v>
      </c>
      <c r="C335" s="1856">
        <v>0.15</v>
      </c>
      <c r="D335" s="1856">
        <v>0.15</v>
      </c>
      <c r="E335" s="1856">
        <v>0.15</v>
      </c>
      <c r="F335" s="1864"/>
    </row>
    <row r="336" spans="1:6" ht="14.25" thickBot="1">
      <c r="A336" s="1851" t="s">
        <v>2216</v>
      </c>
      <c r="B336" s="1855" t="s">
        <v>2228</v>
      </c>
      <c r="C336" s="1856">
        <v>0.15</v>
      </c>
      <c r="D336" s="1856">
        <v>0.15</v>
      </c>
      <c r="E336" s="1856">
        <v>0.15</v>
      </c>
      <c r="F336" s="1857">
        <v>0.11799999999999999</v>
      </c>
    </row>
    <row r="337" spans="1:6" ht="14.25" thickBot="1">
      <c r="A337" s="1859" t="s">
        <v>2216</v>
      </c>
      <c r="B337" s="1866" t="s">
        <v>1285</v>
      </c>
      <c r="C337" s="1862"/>
      <c r="D337" s="1862"/>
      <c r="E337" s="1862"/>
      <c r="F337" s="1867">
        <v>0.14299999999999999</v>
      </c>
    </row>
    <row r="338" spans="1:6" ht="14.25" thickBot="1">
      <c r="A338" s="1851" t="s">
        <v>2229</v>
      </c>
      <c r="B338" s="1852" t="s">
        <v>2230</v>
      </c>
      <c r="C338" s="1853">
        <v>0.15</v>
      </c>
      <c r="D338" s="1853">
        <v>0.15</v>
      </c>
      <c r="E338" s="1853">
        <v>0.15</v>
      </c>
      <c r="F338" s="1875"/>
    </row>
    <row r="339" spans="1:6" ht="14.25" thickBot="1">
      <c r="A339" s="1851" t="s">
        <v>2229</v>
      </c>
      <c r="B339" s="1855" t="s">
        <v>2231</v>
      </c>
      <c r="C339" s="1856">
        <v>0.15</v>
      </c>
      <c r="D339" s="1856">
        <v>0.15</v>
      </c>
      <c r="E339" s="1856">
        <v>0.15</v>
      </c>
      <c r="F339" s="1864"/>
    </row>
    <row r="340" spans="1:6" ht="14.25" thickBot="1">
      <c r="A340" s="1851" t="s">
        <v>2229</v>
      </c>
      <c r="B340" s="1855" t="s">
        <v>2232</v>
      </c>
      <c r="C340" s="1856">
        <v>0.15</v>
      </c>
      <c r="D340" s="1856">
        <v>0.15</v>
      </c>
      <c r="E340" s="1856">
        <v>0.15</v>
      </c>
      <c r="F340" s="1864"/>
    </row>
    <row r="341" spans="1:6" ht="14.25" thickBot="1">
      <c r="A341" s="1851" t="s">
        <v>2233</v>
      </c>
      <c r="B341" s="1855" t="s">
        <v>2234</v>
      </c>
      <c r="C341" s="1856">
        <v>0.15</v>
      </c>
      <c r="D341" s="1856">
        <v>0.15</v>
      </c>
      <c r="E341" s="1856">
        <v>0.15</v>
      </c>
      <c r="F341" s="1857">
        <v>0.15</v>
      </c>
    </row>
    <row r="342" spans="1:6" ht="14.25" thickBot="1">
      <c r="A342" s="1851" t="s">
        <v>2229</v>
      </c>
      <c r="B342" s="1855" t="s">
        <v>2235</v>
      </c>
      <c r="C342" s="1856">
        <v>0.15</v>
      </c>
      <c r="D342" s="1856">
        <v>0.15</v>
      </c>
      <c r="E342" s="1856">
        <v>0.15</v>
      </c>
      <c r="F342" s="1857">
        <v>0.15</v>
      </c>
    </row>
    <row r="343" spans="1:6" ht="14.25" thickBot="1">
      <c r="A343" s="1851" t="s">
        <v>2229</v>
      </c>
      <c r="B343" s="1855" t="s">
        <v>2236</v>
      </c>
      <c r="C343" s="1856">
        <v>0.15</v>
      </c>
      <c r="D343" s="1856">
        <v>0.15</v>
      </c>
      <c r="E343" s="1856">
        <v>0.15</v>
      </c>
      <c r="F343" s="1857">
        <v>0.15</v>
      </c>
    </row>
    <row r="344" spans="1:6" ht="14.25" thickBot="1">
      <c r="A344" s="1859" t="s">
        <v>2229</v>
      </c>
      <c r="B344" s="1866" t="s">
        <v>2237</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12" sqref="I1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9" t="s">
        <v>2950</v>
      </c>
      <c r="B1" s="3101"/>
      <c r="C1" s="3101"/>
      <c r="D1" s="3101"/>
      <c r="E1" s="3101"/>
      <c r="F1" s="3101"/>
    </row>
    <row r="2" spans="1:6" ht="14.25">
      <c r="A2" s="3102" t="s">
        <v>2945</v>
      </c>
      <c r="B2" s="3103" t="e">
        <f ca="1">SUMIF(B7:B14,"&lt;&gt;#ref!",B7:B14)</f>
        <v>#DIV/0!</v>
      </c>
      <c r="C2" s="3102" t="s">
        <v>2946</v>
      </c>
      <c r="D2" s="3101"/>
      <c r="E2" s="3101"/>
      <c r="F2" s="3101"/>
    </row>
    <row r="3" spans="1:6" ht="14.25">
      <c r="A3" s="3102" t="s">
        <v>2979</v>
      </c>
      <c r="B3" s="3103" t="e">
        <f ca="1">ROUND(B2*10000/E3,0)</f>
        <v>#DIV/0!</v>
      </c>
      <c r="C3" s="3102" t="s">
        <v>2078</v>
      </c>
      <c r="D3" s="3102" t="s">
        <v>2947</v>
      </c>
      <c r="E3" s="3103">
        <f ca="1">SUMIF(E7:E14,"&lt;&gt;#ref!",E7:E14)</f>
        <v>0</v>
      </c>
      <c r="F3" s="3101"/>
    </row>
    <row r="4" spans="1:6" ht="14.25">
      <c r="A4" s="3102" t="s">
        <v>2954</v>
      </c>
      <c r="B4" s="3103" t="e">
        <f ca="1">ROUND(B2*10000/E4,0)</f>
        <v>#DIV/0!</v>
      </c>
      <c r="C4" s="3102" t="s">
        <v>2078</v>
      </c>
      <c r="D4" s="3102" t="s">
        <v>2955</v>
      </c>
      <c r="E4" s="3103">
        <f ca="1">SUMIF(F7:F14,"&lt;&gt;#ref!",F7:F14)</f>
        <v>0</v>
      </c>
      <c r="F4" s="3101"/>
    </row>
    <row r="5" spans="1:6" ht="14.25">
      <c r="A5" s="3104"/>
      <c r="B5" s="1877"/>
      <c r="C5" s="1877"/>
      <c r="D5" s="1877"/>
      <c r="E5" s="1877"/>
      <c r="F5" s="3101"/>
    </row>
    <row r="6" spans="1:6" ht="28.5">
      <c r="A6" s="3105" t="s">
        <v>2951</v>
      </c>
      <c r="B6" s="3102" t="s">
        <v>2948</v>
      </c>
      <c r="C6" s="3103"/>
      <c r="D6" s="1877"/>
      <c r="E6" s="3102" t="s">
        <v>2949</v>
      </c>
      <c r="F6" s="3102" t="s">
        <v>2953</v>
      </c>
    </row>
    <row r="7" spans="1:6" ht="14.25">
      <c r="A7" s="258" t="s">
        <v>2952</v>
      </c>
      <c r="B7" s="3106" t="e">
        <f ca="1">SUMIF(INDIRECT("'"&amp;A7&amp;"'"&amp;"!A:A"),"总价",INDIRECT("'"&amp;A7&amp;"'"&amp;"!B:B"))</f>
        <v>#DIV/0!</v>
      </c>
      <c r="C7" s="3102" t="s">
        <v>2946</v>
      </c>
      <c r="D7" s="1877"/>
      <c r="E7" s="3107">
        <f ca="1">SUMIF(INDIRECT("'"&amp;A7&amp;"'"&amp;"!C:C"),"建筑面积",INDIRECT("'"&amp;A7&amp;"'"&amp;"!D:D"))</f>
        <v>0</v>
      </c>
      <c r="F7" s="3107">
        <f ca="1">SUMIF(INDIRECT("'"&amp;A7&amp;"'"&amp;"!E:E"),"土地面积",INDIRECT("'"&amp;A7&amp;"'"&amp;"!F:F"))</f>
        <v>0</v>
      </c>
    </row>
    <row r="8" spans="1:6" ht="14.25">
      <c r="A8" s="258"/>
      <c r="B8" s="3106" t="e">
        <f t="shared" ref="B8:B14" ca="1" si="0">SUMIF(INDIRECT("'"&amp;A8&amp;"'"&amp;"!A:A"),"总价",INDIRECT("'"&amp;A8&amp;"'"&amp;"!B:B"))</f>
        <v>#REF!</v>
      </c>
      <c r="C8" s="3102" t="s">
        <v>2946</v>
      </c>
      <c r="D8" s="1877"/>
      <c r="E8" s="3107" t="e">
        <f t="shared" ref="E8:E14" ca="1" si="1">SUMIF(INDIRECT("'"&amp;A8&amp;"'"&amp;"!C:C"),"建筑面积",INDIRECT("'"&amp;A8&amp;"'"&amp;"!D:D"))</f>
        <v>#REF!</v>
      </c>
      <c r="F8" s="3107" t="e">
        <f t="shared" ref="F8:F14" ca="1" si="2">SUMIF(INDIRECT("'"&amp;A8&amp;"'"&amp;"!E:E"),"土地面积",INDIRECT("'"&amp;A8&amp;"'"&amp;"!F:F"))</f>
        <v>#REF!</v>
      </c>
    </row>
    <row r="9" spans="1:6" ht="14.25">
      <c r="A9" s="258"/>
      <c r="B9" s="3106" t="e">
        <f t="shared" ca="1" si="0"/>
        <v>#REF!</v>
      </c>
      <c r="C9" s="3102" t="s">
        <v>2946</v>
      </c>
      <c r="D9" s="1877"/>
      <c r="E9" s="3107" t="e">
        <f t="shared" ca="1" si="1"/>
        <v>#REF!</v>
      </c>
      <c r="F9" s="3107" t="e">
        <f t="shared" ca="1" si="2"/>
        <v>#REF!</v>
      </c>
    </row>
    <row r="10" spans="1:6" ht="14.25">
      <c r="A10" s="258"/>
      <c r="B10" s="3106" t="e">
        <f t="shared" ca="1" si="0"/>
        <v>#REF!</v>
      </c>
      <c r="C10" s="3102" t="s">
        <v>2946</v>
      </c>
      <c r="D10" s="1877"/>
      <c r="E10" s="3107" t="e">
        <f t="shared" ca="1" si="1"/>
        <v>#REF!</v>
      </c>
      <c r="F10" s="3107" t="e">
        <f t="shared" ca="1" si="2"/>
        <v>#REF!</v>
      </c>
    </row>
    <row r="11" spans="1:6" ht="14.25">
      <c r="A11" s="258"/>
      <c r="B11" s="3106" t="e">
        <f t="shared" ca="1" si="0"/>
        <v>#REF!</v>
      </c>
      <c r="C11" s="3102" t="s">
        <v>2946</v>
      </c>
      <c r="D11" s="1877"/>
      <c r="E11" s="3107" t="e">
        <f t="shared" ca="1" si="1"/>
        <v>#REF!</v>
      </c>
      <c r="F11" s="3107" t="e">
        <f t="shared" ca="1" si="2"/>
        <v>#REF!</v>
      </c>
    </row>
    <row r="12" spans="1:6" ht="14.25">
      <c r="A12" s="258"/>
      <c r="B12" s="3106" t="e">
        <f t="shared" ca="1" si="0"/>
        <v>#REF!</v>
      </c>
      <c r="C12" s="3102" t="s">
        <v>2946</v>
      </c>
      <c r="D12" s="1877"/>
      <c r="E12" s="3107" t="e">
        <f t="shared" ca="1" si="1"/>
        <v>#REF!</v>
      </c>
      <c r="F12" s="3107" t="e">
        <f t="shared" ca="1" si="2"/>
        <v>#REF!</v>
      </c>
    </row>
    <row r="13" spans="1:6" ht="14.25">
      <c r="A13" s="258"/>
      <c r="B13" s="3106" t="e">
        <f t="shared" ca="1" si="0"/>
        <v>#REF!</v>
      </c>
      <c r="C13" s="3102" t="s">
        <v>2946</v>
      </c>
      <c r="D13" s="1877"/>
      <c r="E13" s="3107" t="e">
        <f t="shared" ca="1" si="1"/>
        <v>#REF!</v>
      </c>
      <c r="F13" s="3107" t="e">
        <f t="shared" ca="1" si="2"/>
        <v>#REF!</v>
      </c>
    </row>
    <row r="14" spans="1:6" ht="14.25">
      <c r="A14" s="3100"/>
      <c r="B14" s="3106" t="e">
        <f t="shared" ca="1" si="0"/>
        <v>#REF!</v>
      </c>
      <c r="C14" s="3102" t="s">
        <v>2946</v>
      </c>
      <c r="D14" s="1877"/>
      <c r="E14" s="3107" t="e">
        <f t="shared" ca="1" si="1"/>
        <v>#REF!</v>
      </c>
      <c r="F14" s="310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12" sqref="I12"/>
    </sheetView>
  </sheetViews>
  <sheetFormatPr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70" t="s">
        <v>628</v>
      </c>
      <c r="B1" s="736"/>
      <c r="C1" s="771"/>
      <c r="D1" s="2046"/>
      <c r="E1" s="2383" t="s">
        <v>2374</v>
      </c>
      <c r="F1" s="2384">
        <f ca="1">J54</f>
        <v>-1.5</v>
      </c>
      <c r="G1" s="772">
        <f>MATCH(C1,'数据-取费表'!A6:A16,0)+5</f>
        <v>11</v>
      </c>
      <c r="H1" s="1347"/>
      <c r="I1" s="2047"/>
      <c r="J1" s="2047"/>
      <c r="K1" s="2048"/>
      <c r="L1" s="2047"/>
      <c r="M1" s="2047"/>
      <c r="N1" s="2049"/>
      <c r="O1" s="2049"/>
      <c r="P1" s="2049"/>
      <c r="Q1" s="2049"/>
      <c r="R1" s="2049"/>
      <c r="S1" s="2049"/>
      <c r="T1" s="2049"/>
      <c r="U1" s="2049"/>
      <c r="V1" s="2049"/>
      <c r="W1" s="2049"/>
      <c r="X1" s="2049"/>
      <c r="Y1" s="2049"/>
    </row>
    <row r="2" spans="1:25" ht="18" customHeight="1">
      <c r="A2" s="1639" t="s">
        <v>629</v>
      </c>
      <c r="B2" s="773">
        <f ca="1">IF(ISERROR(C45+J31),0,C45+J31)</f>
        <v>0</v>
      </c>
      <c r="C2" s="1348"/>
      <c r="D2" s="2051"/>
      <c r="E2" s="2052"/>
      <c r="F2" s="2052"/>
      <c r="G2" s="1585"/>
      <c r="H2" s="1360"/>
      <c r="I2" s="2053"/>
      <c r="J2" s="2053"/>
      <c r="K2" s="2054"/>
      <c r="L2" s="2053"/>
      <c r="M2" s="2053"/>
    </row>
    <row r="3" spans="1:25" ht="18" customHeight="1">
      <c r="A3" s="1640" t="s">
        <v>1687</v>
      </c>
      <c r="B3" s="1386">
        <f ca="1">ROUND(B2*10000/'数据-汇总表'!E3,0)</f>
        <v>0</v>
      </c>
      <c r="C3" s="1348"/>
      <c r="D3" s="2051"/>
      <c r="E3" s="2052"/>
      <c r="F3" s="2052"/>
      <c r="G3" s="1585"/>
      <c r="H3" s="774" t="s">
        <v>695</v>
      </c>
      <c r="I3" s="2053"/>
      <c r="J3" s="2053"/>
      <c r="K3" s="2054"/>
      <c r="L3" s="2053"/>
      <c r="M3" s="2053"/>
    </row>
    <row r="4" spans="1:25" ht="18" customHeight="1">
      <c r="A4" s="1641" t="s">
        <v>696</v>
      </c>
      <c r="B4" s="1349">
        <f ca="1">ROUND(B2*10000/'数据-汇总表'!D3,0)</f>
        <v>0</v>
      </c>
      <c r="C4" s="426"/>
      <c r="D4" s="2051"/>
      <c r="E4" s="2052"/>
      <c r="F4" s="2052"/>
      <c r="G4" s="1585"/>
      <c r="H4" s="774"/>
      <c r="I4" s="2053"/>
      <c r="J4" s="2053"/>
      <c r="K4" s="2054"/>
      <c r="L4" s="2053"/>
      <c r="M4" s="2053"/>
    </row>
    <row r="5" spans="1:25" ht="18" customHeight="1" thickBot="1">
      <c r="A5" s="1642"/>
      <c r="B5" s="428">
        <f ca="1">ROUND(B2/('数据-汇总表'!D3/666.67),0)</f>
        <v>0</v>
      </c>
      <c r="C5" s="429" t="s">
        <v>697</v>
      </c>
      <c r="D5" s="2051"/>
      <c r="E5" s="2052"/>
      <c r="F5" s="2052"/>
      <c r="G5" s="1585"/>
      <c r="H5" s="774"/>
      <c r="I5" s="2053"/>
      <c r="J5" s="2053"/>
      <c r="K5" s="2054"/>
      <c r="L5" s="2053"/>
      <c r="M5" s="2053"/>
    </row>
    <row r="6" spans="1:25" ht="18" customHeight="1">
      <c r="A6" s="1824" t="s">
        <v>698</v>
      </c>
      <c r="B6" s="1816" t="s">
        <v>699</v>
      </c>
      <c r="C6" s="1816" t="s">
        <v>632</v>
      </c>
      <c r="D6" s="1816" t="s">
        <v>633</v>
      </c>
      <c r="E6" s="777" t="s">
        <v>634</v>
      </c>
      <c r="F6" s="778"/>
      <c r="G6" s="1587"/>
      <c r="H6" s="1824" t="s">
        <v>630</v>
      </c>
      <c r="I6" s="1816" t="s">
        <v>631</v>
      </c>
      <c r="J6" s="1816" t="s">
        <v>632</v>
      </c>
      <c r="K6" s="1816" t="s">
        <v>633</v>
      </c>
      <c r="L6" s="777" t="s">
        <v>634</v>
      </c>
      <c r="M6" s="778"/>
    </row>
    <row r="7" spans="1:25" ht="18" customHeight="1">
      <c r="A7" s="779">
        <v>1</v>
      </c>
      <c r="B7" s="780" t="s">
        <v>2458</v>
      </c>
      <c r="C7" s="53">
        <f ca="1">C8+C12+C14</f>
        <v>0</v>
      </c>
      <c r="D7" s="2492" t="s">
        <v>2461</v>
      </c>
      <c r="E7" s="2486"/>
      <c r="F7" s="2487"/>
      <c r="G7" s="1587"/>
      <c r="H7" s="779">
        <v>1</v>
      </c>
      <c r="I7" s="780" t="s">
        <v>2458</v>
      </c>
      <c r="J7" s="53">
        <f ca="1">J8+J12+J14</f>
        <v>0</v>
      </c>
      <c r="K7" s="2492" t="s">
        <v>2461</v>
      </c>
      <c r="L7" s="2486"/>
      <c r="M7" s="2487"/>
    </row>
    <row r="8" spans="1:25" ht="18" customHeight="1">
      <c r="A8" s="1826" t="s">
        <v>1825</v>
      </c>
      <c r="B8" s="3740" t="s">
        <v>2463</v>
      </c>
      <c r="C8" s="1821">
        <f ca="1">ROUND(F8*F10*F9*(1-F11)/10000,0)</f>
        <v>0</v>
      </c>
      <c r="D8" s="1818" t="s">
        <v>2534</v>
      </c>
      <c r="E8" s="61" t="s">
        <v>637</v>
      </c>
      <c r="F8" s="783">
        <f ca="1">INDIRECT("'数据-取费表'!u"&amp;$G$1)</f>
        <v>0</v>
      </c>
      <c r="G8" s="1587"/>
      <c r="H8" s="2500" t="s">
        <v>1825</v>
      </c>
      <c r="I8" s="3740" t="s">
        <v>2463</v>
      </c>
      <c r="J8" s="781">
        <f ca="1">ROUND(M8*M10*M9*(1-M11)/10000,0)</f>
        <v>0</v>
      </c>
      <c r="K8" s="339" t="s">
        <v>2534</v>
      </c>
      <c r="L8" s="782" t="s">
        <v>1739</v>
      </c>
      <c r="M8" s="783">
        <f ca="1">INDIRECT("'数据-取费表'!z"&amp;$G$1)</f>
        <v>0</v>
      </c>
    </row>
    <row r="9" spans="1:25" ht="18" customHeight="1">
      <c r="A9" s="2496"/>
      <c r="B9" s="3741"/>
      <c r="C9" s="1822"/>
      <c r="D9" s="1819"/>
      <c r="E9" s="61" t="s">
        <v>638</v>
      </c>
      <c r="F9" s="783">
        <f ca="1">IF(INDIRECT("'数据-取费表'!ah"&amp;$G$1)="",INDIRECT("'数据-取费表'!k"&amp;$G$1),INDIRECT("'数据-取费表'!ah"&amp;$G$1))</f>
        <v>0</v>
      </c>
      <c r="G9" s="1587"/>
      <c r="H9" s="2485"/>
      <c r="I9" s="3741"/>
      <c r="J9" s="786"/>
      <c r="K9" s="787"/>
      <c r="L9" s="782" t="s">
        <v>1740</v>
      </c>
      <c r="M9" s="783">
        <f ca="1">F9</f>
        <v>0</v>
      </c>
    </row>
    <row r="10" spans="1:25" ht="18" customHeight="1">
      <c r="A10" s="2489"/>
      <c r="B10" s="3742"/>
      <c r="C10" s="1822"/>
      <c r="D10" s="1819"/>
      <c r="E10" s="61" t="s">
        <v>639</v>
      </c>
      <c r="F10" s="783">
        <f ca="1">INDIRECT("'数据-取费表'!ai"&amp;$G$1)</f>
        <v>0</v>
      </c>
      <c r="G10" s="1587"/>
      <c r="H10" s="2485"/>
      <c r="I10" s="3742"/>
      <c r="J10" s="786"/>
      <c r="K10" s="787"/>
      <c r="L10" s="782" t="s">
        <v>1741</v>
      </c>
      <c r="M10" s="783">
        <f ca="1">INDIRECT("'数据-取费表'!ai"&amp;$G$1)</f>
        <v>0</v>
      </c>
    </row>
    <row r="11" spans="1:25" ht="18" customHeight="1">
      <c r="A11" s="784"/>
      <c r="B11" s="3743"/>
      <c r="C11" s="1822"/>
      <c r="D11" s="1819"/>
      <c r="E11" s="61" t="s">
        <v>640</v>
      </c>
      <c r="F11" s="792">
        <f ca="1">INDIRECT("'数据-取费表'!w"&amp;$G$1)</f>
        <v>0</v>
      </c>
      <c r="G11" s="1587"/>
      <c r="H11" s="2501"/>
      <c r="I11" s="3742"/>
      <c r="J11" s="786"/>
      <c r="K11" s="787"/>
      <c r="L11" s="793" t="s">
        <v>1742</v>
      </c>
      <c r="M11" s="794">
        <f ca="1">INDIRECT("'数据-取费表'!ab"&amp;$G$1)</f>
        <v>0</v>
      </c>
    </row>
    <row r="12" spans="1:25" ht="18" customHeight="1">
      <c r="A12" s="1826" t="s">
        <v>1826</v>
      </c>
      <c r="B12" s="2490" t="s">
        <v>2459</v>
      </c>
      <c r="C12" s="797">
        <f ca="1">ROUND(IF(F12="押一",C8/12*F13,IF(F12="押二",C8/12*2*F13,IF(F12="押三",C8/12*3*F13,C13*F13))),0)</f>
        <v>0</v>
      </c>
      <c r="D12" s="2497" t="s">
        <v>2975</v>
      </c>
      <c r="E12" s="2494" t="s">
        <v>2464</v>
      </c>
      <c r="F12" s="2617"/>
      <c r="G12" s="1587"/>
      <c r="H12" s="2557" t="s">
        <v>1826</v>
      </c>
      <c r="I12" s="2562" t="s">
        <v>2459</v>
      </c>
      <c r="J12" s="781">
        <f ca="1">ROUND(IF(M12="押一",J8/12*M13,IF(M12="押二",J8/12*2*M13,IF(M12="押三",J8/12*3*M13,J13*M13))),0)</f>
        <v>0</v>
      </c>
      <c r="K12" s="2497" t="s">
        <v>2975</v>
      </c>
      <c r="L12" s="2494" t="s">
        <v>2464</v>
      </c>
      <c r="M12" s="2617"/>
    </row>
    <row r="13" spans="1:25" ht="18" customHeight="1">
      <c r="A13" s="788"/>
      <c r="B13" s="2491" t="s">
        <v>2573</v>
      </c>
      <c r="C13" s="2495"/>
      <c r="D13" s="787"/>
      <c r="E13" s="2494" t="s">
        <v>2456</v>
      </c>
      <c r="F13" s="794">
        <f ca="1">'数据-取费表'!B39</f>
        <v>1.4999999999999999E-2</v>
      </c>
      <c r="G13" s="1587"/>
      <c r="H13" s="2558"/>
      <c r="I13" s="2491" t="s">
        <v>2573</v>
      </c>
      <c r="J13" s="2495"/>
      <c r="K13" s="2559"/>
      <c r="L13" s="2494" t="s">
        <v>2456</v>
      </c>
      <c r="M13" s="2488">
        <f ca="1">'数据-取费表'!B39</f>
        <v>1.4999999999999999E-2</v>
      </c>
    </row>
    <row r="14" spans="1:25" ht="18" customHeight="1" thickBot="1">
      <c r="A14" s="2533" t="s">
        <v>2467</v>
      </c>
      <c r="B14" s="2534" t="s">
        <v>2460</v>
      </c>
      <c r="C14" s="2535"/>
      <c r="D14" s="2536"/>
      <c r="E14" s="2537"/>
      <c r="F14" s="2538"/>
      <c r="G14" s="1587"/>
      <c r="H14" s="2547" t="s">
        <v>2467</v>
      </c>
      <c r="I14" s="2560" t="s">
        <v>2460</v>
      </c>
      <c r="J14" s="2561"/>
      <c r="K14" s="2536"/>
      <c r="L14" s="2537"/>
      <c r="M14" s="2550"/>
    </row>
    <row r="15" spans="1:25" ht="18" customHeight="1" thickTop="1">
      <c r="A15" s="1825" t="s">
        <v>1875</v>
      </c>
      <c r="B15" s="1823" t="s">
        <v>641</v>
      </c>
      <c r="C15" s="790">
        <f ca="1">ROUND(C31*F15,0)</f>
        <v>0</v>
      </c>
      <c r="D15" s="1830" t="s">
        <v>642</v>
      </c>
      <c r="E15" s="793" t="s">
        <v>643</v>
      </c>
      <c r="F15" s="798">
        <f ca="1">INDIRECT("'数据-取费表'!y"&amp;$G$1)</f>
        <v>0</v>
      </c>
      <c r="G15" s="1587"/>
      <c r="H15" s="1825" t="s">
        <v>1827</v>
      </c>
      <c r="I15" s="1823" t="s">
        <v>644</v>
      </c>
      <c r="J15" s="1815">
        <f ca="1">ROUND(J16*J17,0)</f>
        <v>0</v>
      </c>
      <c r="K15" s="1817" t="s">
        <v>642</v>
      </c>
      <c r="L15" s="799"/>
      <c r="M15" s="800"/>
    </row>
    <row r="16" spans="1:25" ht="18" customHeight="1">
      <c r="A16" s="801" t="s">
        <v>1876</v>
      </c>
      <c r="B16" s="782" t="s">
        <v>645</v>
      </c>
      <c r="C16" s="802">
        <f ca="1">INDIRECT("'数据-取费表'!m"&amp;$G$1)+INDIRECT("'数据-取费表'!t"&amp;$G$1)</f>
        <v>0</v>
      </c>
      <c r="D16" s="1975" t="s">
        <v>646</v>
      </c>
      <c r="E16" s="1976"/>
      <c r="F16" s="803"/>
      <c r="G16" s="1587"/>
      <c r="H16" s="801" t="s">
        <v>2069</v>
      </c>
      <c r="I16" s="2227" t="s">
        <v>2824</v>
      </c>
      <c r="J16" s="53">
        <f ca="1">C31</f>
        <v>0</v>
      </c>
      <c r="K16" s="26"/>
      <c r="L16" s="799"/>
      <c r="M16" s="800"/>
    </row>
    <row r="17" spans="1:25" s="2060" customFormat="1" ht="18" customHeight="1">
      <c r="A17" s="801" t="s">
        <v>1850</v>
      </c>
      <c r="B17" s="782" t="s">
        <v>647</v>
      </c>
      <c r="C17" s="53">
        <f ca="1">ROUND(C16*F17,0)</f>
        <v>0</v>
      </c>
      <c r="D17" s="804" t="s">
        <v>648</v>
      </c>
      <c r="E17" s="804" t="s">
        <v>649</v>
      </c>
      <c r="F17" s="805">
        <f>'数据-取费表'!B33</f>
        <v>0.03</v>
      </c>
      <c r="G17" s="1588"/>
      <c r="H17" s="801" t="s">
        <v>2070</v>
      </c>
      <c r="I17" s="782" t="s">
        <v>643</v>
      </c>
      <c r="J17" s="806">
        <f ca="1">INDIRECT("'数据-取费表'!ad"&amp;$G$1)</f>
        <v>0</v>
      </c>
      <c r="K17" s="26"/>
      <c r="L17" s="799"/>
      <c r="M17" s="800"/>
      <c r="N17" s="2059"/>
      <c r="O17" s="2059"/>
      <c r="P17" s="2059"/>
      <c r="Q17" s="2059"/>
      <c r="R17" s="2059"/>
      <c r="S17" s="2059"/>
      <c r="T17" s="2059"/>
      <c r="U17" s="2059"/>
      <c r="V17" s="2059"/>
      <c r="W17" s="2059"/>
      <c r="X17" s="2059"/>
      <c r="Y17" s="2059"/>
    </row>
    <row r="18" spans="1:25" ht="18" customHeight="1">
      <c r="A18" s="801" t="s">
        <v>1851</v>
      </c>
      <c r="B18" s="782" t="s">
        <v>650</v>
      </c>
      <c r="C18" s="53">
        <f ca="1">ROUND(INDIRECT("'数据-取费表'!m"&amp;$G$1)*F18,0)</f>
        <v>0</v>
      </c>
      <c r="D18" s="782" t="s">
        <v>648</v>
      </c>
      <c r="E18" s="782" t="s">
        <v>649</v>
      </c>
      <c r="F18" s="807">
        <f ca="1">IF(INDIRECT("'数据-取费表'!c"&amp;$G$1)="住宅",'数据-取费表'!B34,0)</f>
        <v>0</v>
      </c>
      <c r="G18" s="1587"/>
      <c r="H18" s="795" t="s">
        <v>1828</v>
      </c>
      <c r="I18" s="796" t="s">
        <v>651</v>
      </c>
      <c r="J18" s="797">
        <f ca="1">ROUND(J19+J24+J25+J26,0)</f>
        <v>0</v>
      </c>
      <c r="K18" s="26" t="s">
        <v>652</v>
      </c>
      <c r="L18" s="1978"/>
      <c r="M18" s="56"/>
    </row>
    <row r="19" spans="1:25" s="2060" customFormat="1" ht="18" customHeight="1">
      <c r="A19" s="801" t="s">
        <v>1852</v>
      </c>
      <c r="B19" s="782" t="s">
        <v>653</v>
      </c>
      <c r="C19" s="53">
        <f ca="1">ROUND(F19*(INDIRECT("'数据-取费表'!k"&amp;$G$1)+INDIRECT("'数据-取费表'!S"&amp;$G$1))/10000,0)</f>
        <v>0</v>
      </c>
      <c r="D19" s="782" t="s">
        <v>654</v>
      </c>
      <c r="E19" s="782" t="s">
        <v>655</v>
      </c>
      <c r="F19" s="56">
        <f>'数据-取费表'!B35</f>
        <v>200</v>
      </c>
      <c r="G19" s="1588"/>
      <c r="H19" s="801" t="s">
        <v>2069</v>
      </c>
      <c r="I19" s="782" t="s">
        <v>656</v>
      </c>
      <c r="J19" s="53">
        <f ca="1">ROUND(IF(项目基本情况!B11="自然人",J7*M19,J20+J21+J22),0)</f>
        <v>0</v>
      </c>
      <c r="K19" s="1975" t="s">
        <v>657</v>
      </c>
      <c r="L19" s="1973" t="s">
        <v>658</v>
      </c>
      <c r="M19" s="808"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1" t="s">
        <v>1853</v>
      </c>
      <c r="B20" s="782" t="s">
        <v>659</v>
      </c>
      <c r="C20" s="53">
        <f ca="1">ROUND(C16*F20,0)</f>
        <v>0</v>
      </c>
      <c r="D20" s="782" t="s">
        <v>648</v>
      </c>
      <c r="E20" s="782" t="s">
        <v>649</v>
      </c>
      <c r="F20" s="807">
        <f>'数据-取费表'!B36</f>
        <v>1.4999999999999999E-2</v>
      </c>
      <c r="G20" s="1588"/>
      <c r="H20" s="801" t="s">
        <v>1832</v>
      </c>
      <c r="I20" s="782" t="s">
        <v>660</v>
      </c>
      <c r="J20" s="53">
        <f ca="1">ROUND(J7*M20/1.05,1)</f>
        <v>0</v>
      </c>
      <c r="K20" s="1973" t="s">
        <v>661</v>
      </c>
      <c r="L20" s="782" t="s">
        <v>649</v>
      </c>
      <c r="M20" s="807">
        <f>'数据-取费表'!B41</f>
        <v>5.6000000000000001E-2</v>
      </c>
      <c r="N20" s="2059"/>
      <c r="O20" s="2059"/>
      <c r="P20" s="2059"/>
      <c r="Q20" s="2059"/>
      <c r="R20" s="2059"/>
      <c r="S20" s="2059"/>
      <c r="T20" s="2059"/>
      <c r="U20" s="2059"/>
      <c r="V20" s="2059"/>
      <c r="W20" s="2059"/>
      <c r="X20" s="2059"/>
      <c r="Y20" s="2059"/>
    </row>
    <row r="21" spans="1:25" ht="18" customHeight="1">
      <c r="A21" s="801" t="s">
        <v>1877</v>
      </c>
      <c r="B21" s="782" t="s">
        <v>662</v>
      </c>
      <c r="C21" s="53">
        <f ca="1">SUM(C16:C20)</f>
        <v>0</v>
      </c>
      <c r="D21" s="259" t="s">
        <v>663</v>
      </c>
      <c r="E21" s="1978"/>
      <c r="F21" s="56"/>
      <c r="G21" s="1587"/>
      <c r="H21" s="1826" t="s">
        <v>1850</v>
      </c>
      <c r="I21" s="782" t="s">
        <v>664</v>
      </c>
      <c r="J21" s="53">
        <f ca="1">IF(K21="按租金收入计税",ROUND(J7*M21,1),ROUND(C31*F35*0.7,1))</f>
        <v>0</v>
      </c>
      <c r="K21" s="809" t="s">
        <v>665</v>
      </c>
      <c r="L21" s="782" t="s">
        <v>649</v>
      </c>
      <c r="M21" s="807">
        <f>IF(K21="按租金收入计税",'数据-取费表'!B51,'数据-取费表'!B50)</f>
        <v>1.2E-2</v>
      </c>
    </row>
    <row r="22" spans="1:25" s="2060" customFormat="1" ht="18" customHeight="1">
      <c r="A22" s="801" t="s">
        <v>1878</v>
      </c>
      <c r="B22" s="782" t="s">
        <v>666</v>
      </c>
      <c r="C22" s="53">
        <f ca="1">ROUND(C21*F22,0)</f>
        <v>0</v>
      </c>
      <c r="D22" s="810" t="s">
        <v>667</v>
      </c>
      <c r="E22" s="782" t="s">
        <v>649</v>
      </c>
      <c r="F22" s="807">
        <f>'数据-取费表'!B37</f>
        <v>1.4999999999999999E-2</v>
      </c>
      <c r="G22" s="1588"/>
      <c r="H22" s="1828" t="s">
        <v>1851</v>
      </c>
      <c r="I22" s="1818" t="s">
        <v>668</v>
      </c>
      <c r="J22" s="54">
        <f ca="1">ROUND(M22*M23/10000,0)</f>
        <v>0</v>
      </c>
      <c r="K22" s="812" t="s">
        <v>669</v>
      </c>
      <c r="L22" s="782" t="s">
        <v>670</v>
      </c>
      <c r="M22" s="638">
        <f>'数据-取费表'!B52</f>
        <v>7</v>
      </c>
      <c r="N22" s="2059"/>
      <c r="O22" s="2059"/>
      <c r="P22" s="2059"/>
      <c r="Q22" s="2059"/>
      <c r="R22" s="2059"/>
      <c r="S22" s="2059"/>
      <c r="T22" s="2059"/>
      <c r="U22" s="2059"/>
      <c r="V22" s="2059"/>
      <c r="W22" s="2059"/>
      <c r="X22" s="2059"/>
      <c r="Y22" s="2059"/>
    </row>
    <row r="23" spans="1:25" s="2060" customFormat="1" ht="18" customHeight="1">
      <c r="A23" s="801" t="s">
        <v>1879</v>
      </c>
      <c r="B23" s="782" t="s">
        <v>671</v>
      </c>
      <c r="C23" s="53" t="s">
        <v>1</v>
      </c>
      <c r="D23" s="810" t="s">
        <v>672</v>
      </c>
      <c r="E23" s="782" t="s">
        <v>673</v>
      </c>
      <c r="F23" s="807">
        <f>'数据-取费表'!B38</f>
        <v>0.01</v>
      </c>
      <c r="G23" s="1588"/>
      <c r="H23" s="1829"/>
      <c r="I23" s="1820"/>
      <c r="J23" s="69"/>
      <c r="K23" s="814"/>
      <c r="L23" s="782" t="s">
        <v>674</v>
      </c>
      <c r="M23" s="783">
        <f ca="1">INDIRECT("'数据-取费表'!r"&amp;$G$1)</f>
        <v>0</v>
      </c>
      <c r="N23" s="2059"/>
      <c r="O23" s="2059"/>
      <c r="P23" s="2059"/>
      <c r="Q23" s="2059"/>
      <c r="R23" s="2059"/>
      <c r="S23" s="2059"/>
      <c r="T23" s="2059"/>
      <c r="U23" s="2059"/>
      <c r="V23" s="2059"/>
      <c r="W23" s="2059"/>
      <c r="X23" s="2059"/>
      <c r="Y23" s="2059"/>
    </row>
    <row r="24" spans="1:25" ht="18" customHeight="1">
      <c r="A24" s="801" t="s">
        <v>1880</v>
      </c>
      <c r="B24" s="782" t="s">
        <v>675</v>
      </c>
      <c r="C24" s="53"/>
      <c r="D24" s="2568" t="str">
        <f>IF(F25&lt;=1,"单利计息。","复利计息。")&amp;"建造成本、管理费用、销售费用产生的利息。"</f>
        <v>复利计息。建造成本、管理费用、销售费用产生的利息。</v>
      </c>
      <c r="E24" s="1978"/>
      <c r="F24" s="56"/>
      <c r="G24" s="1587"/>
      <c r="H24" s="1827" t="s">
        <v>2070</v>
      </c>
      <c r="I24" s="782" t="s">
        <v>676</v>
      </c>
      <c r="J24" s="53">
        <f ca="1">ROUND(J16*M24,0)</f>
        <v>0</v>
      </c>
      <c r="K24" s="1973" t="s">
        <v>677</v>
      </c>
      <c r="L24" s="782" t="s">
        <v>649</v>
      </c>
      <c r="M24" s="815">
        <f ca="1">INDIRECT("'数据-取费表'!Ak"&amp;$G$1)</f>
        <v>0</v>
      </c>
    </row>
    <row r="25" spans="1:25" s="2060" customFormat="1" ht="18" customHeight="1">
      <c r="A25" s="801" t="s">
        <v>1876</v>
      </c>
      <c r="B25" s="782" t="s">
        <v>2437</v>
      </c>
      <c r="C25" s="53">
        <f ca="1">ROUND(IF('数据-取费表'!B22&lt;=1,(C21+C22)*F26*F25/2,(C21+C22)*(POWER((1+F26),F25/2)-1)),0)</f>
        <v>0</v>
      </c>
      <c r="D25" s="2567" t="str">
        <f>IF(F25&lt;=1,"(建造成本+管理费用)×利率×(建设周期÷2)","(建造成本+管理费用)×((1+利率)^(建设周期÷2)-1)")</f>
        <v>(建造成本+管理费用)×((1+利率)^(建设周期÷2)-1)</v>
      </c>
      <c r="E25" s="782" t="s">
        <v>678</v>
      </c>
      <c r="F25" s="638">
        <f>'数据-取费表'!B20</f>
        <v>1.5</v>
      </c>
      <c r="G25" s="1588"/>
      <c r="H25" s="801" t="s">
        <v>1879</v>
      </c>
      <c r="I25" s="782" t="s">
        <v>679</v>
      </c>
      <c r="J25" s="53">
        <f ca="1">ROUND(J15*M25,0)</f>
        <v>0</v>
      </c>
      <c r="K25" s="1973" t="s">
        <v>680</v>
      </c>
      <c r="L25" s="782" t="s">
        <v>649</v>
      </c>
      <c r="M25" s="816">
        <f ca="1">INDIRECT("'数据-取费表'!Al"&amp;$G$1)</f>
        <v>0</v>
      </c>
      <c r="N25" s="2059"/>
      <c r="O25" s="2059"/>
      <c r="P25" s="2059"/>
      <c r="Q25" s="2059"/>
      <c r="R25" s="2059"/>
      <c r="S25" s="2059"/>
      <c r="T25" s="2059"/>
      <c r="U25" s="2059"/>
      <c r="V25" s="2059"/>
      <c r="W25" s="2059"/>
      <c r="X25" s="2059"/>
      <c r="Y25" s="2059"/>
    </row>
    <row r="26" spans="1:25" s="2060" customFormat="1" ht="18" customHeight="1">
      <c r="A26" s="801" t="s">
        <v>1850</v>
      </c>
      <c r="B26" s="782" t="s">
        <v>681</v>
      </c>
      <c r="C26" s="53">
        <f ca="1">ROUND(IF('数据-取费表'!B22&lt;=1,F23*F26*F25/2,F23*(POWER((1+F26),F25/2)-1)),4)</f>
        <v>4.0000000000000002E-4</v>
      </c>
      <c r="D26" s="2567" t="str">
        <f>IF(F25&lt;=1,"销售费用×利率×(建设周期÷2)","销售费用×((1+利率)^(建设周期÷2)-1)")</f>
        <v>销售费用×((1+利率)^(建设周期÷2)-1)</v>
      </c>
      <c r="E26" s="782" t="s">
        <v>682</v>
      </c>
      <c r="F26" s="817">
        <f ca="1">'数据-取费表'!B40</f>
        <v>4.7500000000000001E-2</v>
      </c>
      <c r="G26" s="1588"/>
      <c r="H26" s="801" t="s">
        <v>1880</v>
      </c>
      <c r="I26" s="782" t="s">
        <v>666</v>
      </c>
      <c r="J26" s="53">
        <f ca="1">ROUND(J7*M26,0)</f>
        <v>0</v>
      </c>
      <c r="K26" s="1973" t="s">
        <v>683</v>
      </c>
      <c r="L26" s="782" t="s">
        <v>649</v>
      </c>
      <c r="M26" s="792">
        <f ca="1">INDIRECT("'数据-取费表'!Am"&amp;$G$1)</f>
        <v>0</v>
      </c>
      <c r="N26" s="2059"/>
      <c r="O26" s="2059"/>
      <c r="P26" s="2059"/>
      <c r="Q26" s="2059"/>
      <c r="R26" s="2059"/>
      <c r="S26" s="2059"/>
      <c r="T26" s="2059"/>
      <c r="U26" s="2059"/>
      <c r="V26" s="2059"/>
      <c r="W26" s="2059"/>
      <c r="X26" s="2059"/>
      <c r="Y26" s="2059"/>
    </row>
    <row r="27" spans="1:25" ht="18" customHeight="1">
      <c r="A27" s="801" t="s">
        <v>1882</v>
      </c>
      <c r="B27" s="782" t="s">
        <v>684</v>
      </c>
      <c r="C27" s="53"/>
      <c r="D27" s="259" t="s">
        <v>685</v>
      </c>
      <c r="E27" s="1978"/>
      <c r="F27" s="56"/>
      <c r="G27" s="1587"/>
      <c r="H27" s="795" t="s">
        <v>1829</v>
      </c>
      <c r="I27" s="3007" t="s">
        <v>2821</v>
      </c>
      <c r="J27" s="797">
        <f ca="1">J7-J18</f>
        <v>0</v>
      </c>
      <c r="K27" s="1975" t="s">
        <v>700</v>
      </c>
      <c r="L27" s="1977"/>
      <c r="M27" s="818"/>
    </row>
    <row r="28" spans="1:25" ht="18" customHeight="1">
      <c r="A28" s="801" t="s">
        <v>1876</v>
      </c>
      <c r="B28" s="782" t="s">
        <v>2438</v>
      </c>
      <c r="C28" s="53">
        <f ca="1">ROUND((C21+C22)*F28,0)</f>
        <v>0</v>
      </c>
      <c r="D28" s="810" t="s">
        <v>701</v>
      </c>
      <c r="E28" s="793" t="s">
        <v>702</v>
      </c>
      <c r="F28" s="792">
        <f ca="1">INDIRECT("'数据-取费表'!q"&amp;$G$1)</f>
        <v>0</v>
      </c>
      <c r="G28" s="1587"/>
      <c r="H28" s="779" t="s">
        <v>1838</v>
      </c>
      <c r="I28" s="780" t="s">
        <v>703</v>
      </c>
      <c r="J28" s="781">
        <f ca="1">IF(J7&lt;&gt;0,ROUND(J27*(1-((1+M30)/(1+M28))^M29)/(M28-M30),0),0)</f>
        <v>0</v>
      </c>
      <c r="K28" s="812" t="s">
        <v>704</v>
      </c>
      <c r="L28" s="782" t="s">
        <v>705</v>
      </c>
      <c r="M28" s="792">
        <f ca="1">INDIRECT("'数据-取费表'!I"&amp;$G$1)</f>
        <v>0</v>
      </c>
    </row>
    <row r="29" spans="1:25" ht="18" customHeight="1">
      <c r="A29" s="801" t="s">
        <v>1850</v>
      </c>
      <c r="B29" s="782" t="s">
        <v>686</v>
      </c>
      <c r="C29" s="53">
        <f ca="1">ROUND(F23*F28,4)</f>
        <v>0</v>
      </c>
      <c r="D29" s="810" t="s">
        <v>706</v>
      </c>
      <c r="E29" s="804"/>
      <c r="F29" s="805"/>
      <c r="G29" s="1587"/>
      <c r="H29" s="784"/>
      <c r="I29" s="785"/>
      <c r="J29" s="786"/>
      <c r="K29" s="819" t="s">
        <v>707</v>
      </c>
      <c r="L29" s="782" t="s">
        <v>708</v>
      </c>
      <c r="M29" s="820">
        <f ca="1">INDIRECT("'数据-取费表'!ag"&amp;$G$1)</f>
        <v>0</v>
      </c>
    </row>
    <row r="30" spans="1:25" s="2060" customFormat="1" ht="18" customHeight="1">
      <c r="A30" s="801" t="s">
        <v>1883</v>
      </c>
      <c r="B30" s="782" t="s">
        <v>687</v>
      </c>
      <c r="C30" s="53">
        <f>ROUND(F30/(1+'数据-取费表'!C42),4)</f>
        <v>5.33E-2</v>
      </c>
      <c r="D30" s="810" t="s">
        <v>709</v>
      </c>
      <c r="E30" s="782" t="s">
        <v>649</v>
      </c>
      <c r="F30" s="807">
        <f>'数据-取费表'!B41</f>
        <v>5.6000000000000001E-2</v>
      </c>
      <c r="G30" s="1588"/>
      <c r="H30" s="788"/>
      <c r="I30" s="789"/>
      <c r="J30" s="790"/>
      <c r="K30" s="814"/>
      <c r="L30" s="782" t="s">
        <v>710</v>
      </c>
      <c r="M30" s="792">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56" t="s">
        <v>1884</v>
      </c>
      <c r="B31" s="2537" t="s">
        <v>2822</v>
      </c>
      <c r="C31" s="2540">
        <f ca="1">ROUND((C21+C22+C25+C28)/(1-F23-C26-C29-C30),0)</f>
        <v>0</v>
      </c>
      <c r="D31" s="2541"/>
      <c r="E31" s="2542"/>
      <c r="F31" s="2543"/>
      <c r="G31" s="1588"/>
      <c r="H31" s="821" t="s">
        <v>1873</v>
      </c>
      <c r="I31" s="3008" t="s">
        <v>2823</v>
      </c>
      <c r="J31" s="823">
        <f ca="1">ROUND(J28/(1+F45)^F46,0)</f>
        <v>0</v>
      </c>
      <c r="K31" s="824" t="s">
        <v>688</v>
      </c>
      <c r="L31" s="825"/>
      <c r="M31" s="826">
        <f ca="1">INDIRECT("'数据-取费表'!k"&amp;$G$1)</f>
        <v>0</v>
      </c>
      <c r="N31" s="2059"/>
      <c r="O31" s="2059"/>
      <c r="P31" s="2059"/>
      <c r="Q31" s="2059"/>
      <c r="R31" s="2059"/>
      <c r="S31" s="2059"/>
      <c r="T31" s="2059"/>
      <c r="U31" s="2059"/>
      <c r="V31" s="2059"/>
      <c r="W31" s="2059"/>
      <c r="X31" s="2059"/>
      <c r="Y31" s="2059"/>
    </row>
    <row r="32" spans="1:25" ht="18" customHeight="1" thickTop="1">
      <c r="A32" s="1825" t="s">
        <v>7</v>
      </c>
      <c r="B32" s="1823" t="s">
        <v>689</v>
      </c>
      <c r="C32" s="790">
        <f ca="1">ROUND(C33+C38+C39+C40,0)</f>
        <v>0</v>
      </c>
      <c r="D32" s="1817" t="s">
        <v>652</v>
      </c>
      <c r="E32" s="2483"/>
      <c r="F32" s="2487"/>
      <c r="G32" s="2058"/>
      <c r="H32" s="2061"/>
      <c r="I32" s="2062"/>
      <c r="J32" s="2063"/>
      <c r="K32" s="2064"/>
      <c r="L32" s="2065"/>
      <c r="M32" s="2066"/>
    </row>
    <row r="33" spans="1:18" ht="18" customHeight="1">
      <c r="A33" s="801" t="s">
        <v>1877</v>
      </c>
      <c r="B33" s="782" t="s">
        <v>656</v>
      </c>
      <c r="C33" s="53">
        <f ca="1">ROUND(IF(项目基本情况!B11="自然人",C7*F33,C34+C35+C36),1)</f>
        <v>0</v>
      </c>
      <c r="D33" s="1975" t="s">
        <v>657</v>
      </c>
      <c r="E33" s="1973" t="s">
        <v>690</v>
      </c>
      <c r="F33" s="808" t="str">
        <f ca="1">IF(项目基本情况!B11="企业","",IF(INDIRECT("'数据-取费表'!c"&amp;$G$1)="住宅",5%,IF(F8*F9*F10/12/(1+'数据-取费表'!C42)&gt;20000,12%,7%)))</f>
        <v/>
      </c>
      <c r="G33" s="2058"/>
      <c r="H33" s="2061"/>
      <c r="I33" s="2062"/>
      <c r="J33" s="2063"/>
      <c r="K33" s="2064"/>
      <c r="L33" s="2065"/>
      <c r="M33" s="2066"/>
    </row>
    <row r="34" spans="1:18" ht="18" customHeight="1">
      <c r="A34" s="801" t="s">
        <v>1876</v>
      </c>
      <c r="B34" s="782" t="s">
        <v>660</v>
      </c>
      <c r="C34" s="53">
        <f ca="1">ROUND(C7*F34/1.05,1)</f>
        <v>0</v>
      </c>
      <c r="D34" s="1973" t="s">
        <v>661</v>
      </c>
      <c r="E34" s="782" t="s">
        <v>649</v>
      </c>
      <c r="F34" s="807">
        <f>'数据-取费表'!B41</f>
        <v>5.6000000000000001E-2</v>
      </c>
      <c r="G34" s="2058"/>
      <c r="H34" s="2067"/>
      <c r="I34" s="2068"/>
      <c r="J34" s="2069"/>
      <c r="K34" s="2070"/>
      <c r="L34" s="2071"/>
      <c r="M34" s="2072"/>
    </row>
    <row r="35" spans="1:18" ht="18" customHeight="1">
      <c r="A35" s="801" t="s">
        <v>1850</v>
      </c>
      <c r="B35" s="782" t="s">
        <v>664</v>
      </c>
      <c r="C35" s="53">
        <f ca="1">IF(D35="按租金收入计税",ROUND(C7*F35,1),IF(D35="按房产原值计税",ROUND(C31*F35*0.7,1),INDIRECT("'数据-取费表'!Aj"&amp;$G$1)))</f>
        <v>0</v>
      </c>
      <c r="D35" s="809" t="s">
        <v>1681</v>
      </c>
      <c r="E35" s="782" t="s">
        <v>649</v>
      </c>
      <c r="F35" s="807">
        <f>IF(D35="按租金收入计税",'数据-取费表'!B51,'数据-取费表'!B50)</f>
        <v>1.2E-2</v>
      </c>
      <c r="G35" s="2058"/>
      <c r="H35" s="2073"/>
      <c r="I35" s="2073"/>
      <c r="J35" s="2073"/>
      <c r="K35" s="2074"/>
      <c r="L35" s="2073"/>
      <c r="M35" s="2073"/>
    </row>
    <row r="36" spans="1:18" ht="18" customHeight="1">
      <c r="A36" s="811" t="s">
        <v>1881</v>
      </c>
      <c r="B36" s="339" t="s">
        <v>668</v>
      </c>
      <c r="C36" s="54">
        <f ca="1">ROUND(F36*F37/10000,1)</f>
        <v>0</v>
      </c>
      <c r="D36" s="812" t="s">
        <v>669</v>
      </c>
      <c r="E36" s="782" t="s">
        <v>670</v>
      </c>
      <c r="F36" s="638">
        <f>'数据-取费表'!B52</f>
        <v>7</v>
      </c>
      <c r="G36" s="2058"/>
      <c r="H36" s="2061"/>
      <c r="I36" s="3739"/>
      <c r="J36" s="2075"/>
      <c r="K36" s="2076"/>
      <c r="L36" s="2075"/>
      <c r="M36" s="2075"/>
    </row>
    <row r="37" spans="1:18" ht="18" customHeight="1">
      <c r="A37" s="813"/>
      <c r="B37" s="791"/>
      <c r="C37" s="69"/>
      <c r="D37" s="814"/>
      <c r="E37" s="782" t="s">
        <v>674</v>
      </c>
      <c r="F37" s="783">
        <f ca="1">INDIRECT("'数据-取费表'!r"&amp;$G$1)</f>
        <v>0</v>
      </c>
      <c r="G37" s="2058"/>
      <c r="H37" s="2061"/>
      <c r="I37" s="3739"/>
      <c r="J37" s="2073"/>
      <c r="K37" s="2074"/>
      <c r="L37" s="2073"/>
      <c r="M37" s="2073"/>
    </row>
    <row r="38" spans="1:18" ht="18" customHeight="1">
      <c r="A38" s="801" t="s">
        <v>1878</v>
      </c>
      <c r="B38" s="782" t="s">
        <v>676</v>
      </c>
      <c r="C38" s="53">
        <f ca="1">ROUND(C31*F38,1)</f>
        <v>0</v>
      </c>
      <c r="D38" s="1973" t="s">
        <v>691</v>
      </c>
      <c r="E38" s="782" t="s">
        <v>649</v>
      </c>
      <c r="F38" s="815">
        <f ca="1">INDIRECT("'数据-取费表'!Ak"&amp;$G$1)</f>
        <v>0</v>
      </c>
      <c r="G38" s="2058"/>
      <c r="H38" s="2073"/>
      <c r="I38" s="2077"/>
      <c r="J38" s="1984"/>
      <c r="K38" s="2078"/>
      <c r="L38" s="2073"/>
      <c r="M38" s="2073"/>
    </row>
    <row r="39" spans="1:18" ht="18" customHeight="1">
      <c r="A39" s="801" t="s">
        <v>1879</v>
      </c>
      <c r="B39" s="782" t="s">
        <v>679</v>
      </c>
      <c r="C39" s="53">
        <f ca="1">ROUND(C15*F39,1)</f>
        <v>0</v>
      </c>
      <c r="D39" s="1973" t="s">
        <v>680</v>
      </c>
      <c r="E39" s="782" t="s">
        <v>649</v>
      </c>
      <c r="F39" s="816">
        <f ca="1">INDIRECT("'数据-取费表'!Al"&amp;$G$1)</f>
        <v>0</v>
      </c>
      <c r="G39" s="2058"/>
      <c r="H39" s="2073"/>
      <c r="I39" s="2077"/>
      <c r="J39" s="1984"/>
      <c r="K39" s="2078"/>
      <c r="L39" s="2073"/>
      <c r="M39" s="2073"/>
    </row>
    <row r="40" spans="1:18" ht="18" customHeight="1" thickBot="1">
      <c r="A40" s="2556" t="s">
        <v>1880</v>
      </c>
      <c r="B40" s="2542" t="s">
        <v>666</v>
      </c>
      <c r="C40" s="2540">
        <f ca="1">ROUND(C7*F40,1)</f>
        <v>0</v>
      </c>
      <c r="D40" s="2541" t="s">
        <v>683</v>
      </c>
      <c r="E40" s="2542" t="s">
        <v>649</v>
      </c>
      <c r="F40" s="2538">
        <f ca="1">INDIRECT("'数据-取费表'!Am"&amp;$G$1)</f>
        <v>0</v>
      </c>
      <c r="G40" s="2058"/>
      <c r="H40" s="2073"/>
      <c r="I40" s="2077"/>
      <c r="J40" s="1984"/>
      <c r="K40" s="2079"/>
      <c r="L40" s="2073"/>
      <c r="M40" s="2073"/>
    </row>
    <row r="41" spans="1:18" ht="18" customHeight="1" thickTop="1">
      <c r="A41" s="1825">
        <v>4</v>
      </c>
      <c r="B41" s="1823" t="s">
        <v>692</v>
      </c>
      <c r="C41" s="1350"/>
      <c r="D41" s="1351"/>
      <c r="E41" s="1351"/>
      <c r="F41" s="1352"/>
      <c r="G41" s="2058"/>
      <c r="H41" s="2058"/>
      <c r="I41" s="2058"/>
      <c r="J41" s="2058"/>
      <c r="K41" s="2079"/>
      <c r="L41" s="2058"/>
      <c r="M41" s="2058"/>
    </row>
    <row r="42" spans="1:18" ht="18" customHeight="1">
      <c r="A42" s="801" t="s">
        <v>1877</v>
      </c>
      <c r="B42" s="833" t="s">
        <v>693</v>
      </c>
      <c r="C42" s="827">
        <f ca="1">C7-C32</f>
        <v>0</v>
      </c>
      <c r="D42" s="1975" t="s">
        <v>694</v>
      </c>
      <c r="E42" s="1977"/>
      <c r="F42" s="818"/>
      <c r="G42" s="2058"/>
      <c r="H42" s="2058"/>
      <c r="I42" s="2058"/>
      <c r="J42" s="2058"/>
      <c r="K42" s="2079"/>
      <c r="L42" s="2058"/>
      <c r="M42" s="2058"/>
    </row>
    <row r="43" spans="1:18" ht="18" customHeight="1">
      <c r="A43" s="801" t="s">
        <v>1878</v>
      </c>
      <c r="B43" s="833" t="s">
        <v>711</v>
      </c>
      <c r="C43" s="834">
        <f ca="1">ROUND(C15*F43,0)</f>
        <v>0</v>
      </c>
      <c r="D43" s="1353" t="s">
        <v>712</v>
      </c>
      <c r="E43" s="3118" t="s">
        <v>2963</v>
      </c>
      <c r="F43" s="3119">
        <f ca="1">INDIRECT("'数据-取费表'!j"&amp;$G$1)</f>
        <v>0</v>
      </c>
      <c r="G43" s="2058"/>
      <c r="H43" s="2058"/>
      <c r="I43" s="2058"/>
      <c r="J43" s="2058"/>
      <c r="K43" s="2079"/>
      <c r="L43" s="2058"/>
      <c r="M43" s="2058"/>
    </row>
    <row r="44" spans="1:18" ht="18" customHeight="1">
      <c r="A44" s="801" t="s">
        <v>1879</v>
      </c>
      <c r="B44" s="833" t="s">
        <v>713</v>
      </c>
      <c r="C44" s="1354">
        <f ca="1">C42-C43</f>
        <v>0</v>
      </c>
      <c r="D44" s="461" t="s">
        <v>714</v>
      </c>
      <c r="E44" s="462"/>
      <c r="F44" s="463"/>
      <c r="G44" s="2058"/>
      <c r="H44" s="2058"/>
      <c r="I44" s="2058"/>
      <c r="J44" s="2058"/>
      <c r="K44" s="2079"/>
      <c r="L44" s="2058"/>
      <c r="M44" s="2058"/>
    </row>
    <row r="45" spans="1:18" ht="18" customHeight="1">
      <c r="A45" s="801" t="s">
        <v>1880</v>
      </c>
      <c r="B45" s="1353" t="s">
        <v>715</v>
      </c>
      <c r="C45" s="3033">
        <f ca="1">ROUND(-PV(F45,F46,C44,0),0)</f>
        <v>0</v>
      </c>
      <c r="D45" s="1355" t="s">
        <v>716</v>
      </c>
      <c r="E45" s="804" t="s">
        <v>717</v>
      </c>
      <c r="F45" s="828">
        <f ca="1">INDIRECT("'数据-取费表'!h"&amp;$G$1)</f>
        <v>0</v>
      </c>
      <c r="G45" s="2058"/>
      <c r="H45" s="2058"/>
      <c r="I45" s="2058"/>
      <c r="J45" s="2058"/>
      <c r="K45" s="2079"/>
      <c r="L45" s="2058"/>
      <c r="M45" s="2058"/>
    </row>
    <row r="46" spans="1:18" ht="18" customHeight="1" thickBot="1">
      <c r="A46" s="829"/>
      <c r="B46" s="1356"/>
      <c r="C46" s="1357"/>
      <c r="D46" s="1358"/>
      <c r="E46" s="3120" t="s">
        <v>2966</v>
      </c>
      <c r="F46" s="826">
        <f ca="1">IF(INDIRECT("'数据-取费表'!af"&amp;$G$1)=0,INDIRECT("'数据-取费表'!ae"&amp;$G$1),INDIRECT("'数据-取费表'!af"&amp;$G$1))</f>
        <v>0</v>
      </c>
      <c r="G46" s="2058"/>
      <c r="H46" s="2058"/>
      <c r="I46" s="2058"/>
      <c r="J46" s="2058"/>
      <c r="K46" s="2079"/>
      <c r="L46" s="2058"/>
      <c r="M46" s="2058"/>
    </row>
    <row r="47" spans="1:18" s="2055" customFormat="1" ht="18" customHeight="1" thickBot="1">
      <c r="A47" s="2080"/>
      <c r="D47" s="2081"/>
      <c r="E47" s="2081"/>
      <c r="F47" s="2081"/>
      <c r="I47" s="2374" t="s">
        <v>2343</v>
      </c>
      <c r="J47" s="2375"/>
      <c r="K47" s="2376"/>
      <c r="L47" s="3156" t="str">
        <f ca="1">IF(M48="住宅",0,IF(L49&gt;J52,L61,J61))</f>
        <v>0</v>
      </c>
      <c r="O47" s="2390" t="s">
        <v>2410</v>
      </c>
      <c r="P47" s="1587"/>
      <c r="Q47" s="1599"/>
      <c r="R47" s="1587"/>
    </row>
    <row r="48" spans="1:18" s="2055" customFormat="1" ht="18" customHeight="1" thickBot="1">
      <c r="A48" s="2080"/>
      <c r="C48" s="2083"/>
      <c r="D48" s="2084"/>
      <c r="E48" s="2084"/>
      <c r="F48" s="2085"/>
      <c r="G48" s="2086"/>
      <c r="I48" s="3146" t="s">
        <v>2344</v>
      </c>
      <c r="J48" s="2377"/>
      <c r="K48" s="3153" t="s">
        <v>2349</v>
      </c>
      <c r="L48" s="3157">
        <f ca="1">INDIRECT("'数据-取费表'!d"&amp;$G$1)</f>
        <v>0</v>
      </c>
      <c r="M48" s="3117" t="str">
        <f>IF(ISNUMBER(FIND("住宅",C1)),"住宅","非住宅")</f>
        <v>非住宅</v>
      </c>
      <c r="O48" s="2391" t="s">
        <v>2375</v>
      </c>
      <c r="P48" s="2392" t="s">
        <v>2376</v>
      </c>
      <c r="Q48" s="2393" t="s">
        <v>2377</v>
      </c>
      <c r="R48" s="2392" t="s">
        <v>2378</v>
      </c>
    </row>
    <row r="49" spans="1:18" s="2055" customFormat="1" ht="18" customHeight="1" thickBot="1">
      <c r="A49" s="2080"/>
      <c r="D49" s="2087"/>
      <c r="E49" s="2088"/>
      <c r="F49" s="2085"/>
      <c r="G49" s="2086"/>
      <c r="H49" s="2089"/>
      <c r="I49" s="3122" t="s">
        <v>2345</v>
      </c>
      <c r="J49" s="2378"/>
      <c r="K49" s="3154" t="s">
        <v>2351</v>
      </c>
      <c r="L49" s="1904">
        <f ca="1">INDIRECT("'数据-取费表'!f"&amp;$G$1)</f>
        <v>0</v>
      </c>
      <c r="O49" s="2394" t="s">
        <v>2379</v>
      </c>
      <c r="P49" s="2395" t="s">
        <v>2405</v>
      </c>
      <c r="Q49" s="2396">
        <f ca="1">C41+J31</f>
        <v>0</v>
      </c>
      <c r="R49" s="2395" t="s">
        <v>2380</v>
      </c>
    </row>
    <row r="50" spans="1:18" s="2055" customFormat="1" ht="18" customHeight="1" thickBot="1">
      <c r="A50" s="2080"/>
      <c r="D50" s="2090"/>
      <c r="E50" s="2090"/>
      <c r="F50" s="2084"/>
      <c r="G50" s="2091"/>
      <c r="H50" s="2089"/>
      <c r="I50" s="3122" t="s">
        <v>2346</v>
      </c>
      <c r="J50" s="2379"/>
      <c r="K50" s="3155" t="s">
        <v>2352</v>
      </c>
      <c r="L50" s="2380"/>
      <c r="O50" s="2394" t="s">
        <v>2381</v>
      </c>
      <c r="P50" s="2395" t="s">
        <v>2406</v>
      </c>
      <c r="Q50" s="2396" t="str">
        <f ca="1">J61</f>
        <v>0</v>
      </c>
      <c r="R50" s="2395" t="s">
        <v>2382</v>
      </c>
    </row>
    <row r="51" spans="1:18" s="2055" customFormat="1" ht="18" customHeight="1" thickBot="1">
      <c r="A51" s="2092"/>
      <c r="D51" s="2090"/>
      <c r="E51" s="2090"/>
      <c r="F51" s="2081"/>
      <c r="H51" s="2089"/>
      <c r="I51" s="3122" t="s">
        <v>2347</v>
      </c>
      <c r="J51" s="3150">
        <f>SUMPRODUCT((I64:I66=J48)*(J63:L63=J49)*(J64:L66))</f>
        <v>0</v>
      </c>
      <c r="K51" s="3155" t="s">
        <v>2353</v>
      </c>
      <c r="L51" s="2380"/>
      <c r="O51" s="2397" t="s">
        <v>2383</v>
      </c>
      <c r="P51" s="2395" t="s">
        <v>2407</v>
      </c>
      <c r="Q51" s="2396">
        <f ca="1">C31</f>
        <v>0</v>
      </c>
      <c r="R51" s="2395" t="s">
        <v>2380</v>
      </c>
    </row>
    <row r="52" spans="1:18" s="2055" customFormat="1" ht="18" customHeight="1" thickBot="1">
      <c r="A52" s="2092"/>
      <c r="F52" s="2081"/>
      <c r="I52" s="3147" t="s">
        <v>2348</v>
      </c>
      <c r="J52" s="3151">
        <f>IF(J50="",J51,J50+J51-YEAR('数据-取费表'!B3))</f>
        <v>0</v>
      </c>
      <c r="K52" s="3122" t="s">
        <v>2354</v>
      </c>
      <c r="L52" s="3158">
        <f ca="1">ROUND(-PV(INDIRECT("'数据-取费表'!h"&amp;$G$1),L49,(C40-C14*J36),0),0)</f>
        <v>0</v>
      </c>
      <c r="O52" s="2397" t="s">
        <v>2384</v>
      </c>
      <c r="P52" s="2395" t="s">
        <v>2385</v>
      </c>
      <c r="Q52" s="2398" t="e">
        <f ca="1">J59</f>
        <v>#VALUE!</v>
      </c>
      <c r="R52" s="2399"/>
    </row>
    <row r="53" spans="1:18" s="2055" customFormat="1" ht="18" customHeight="1" thickBot="1">
      <c r="A53" s="2092"/>
      <c r="F53" s="2081"/>
      <c r="I53" s="3148" t="s">
        <v>2421</v>
      </c>
      <c r="J53" s="2381"/>
      <c r="K53" s="3148" t="s">
        <v>2420</v>
      </c>
      <c r="L53" s="2381"/>
      <c r="O53" s="2397" t="s">
        <v>2386</v>
      </c>
      <c r="P53" s="2395" t="s">
        <v>2387</v>
      </c>
      <c r="Q53" s="2398">
        <f>J53</f>
        <v>0</v>
      </c>
      <c r="R53" s="2399"/>
    </row>
    <row r="54" spans="1:18" s="2055" customFormat="1" ht="29.25" thickBot="1">
      <c r="A54" s="2092"/>
      <c r="I54" s="3149" t="s">
        <v>2980</v>
      </c>
      <c r="J54" s="3152">
        <f ca="1">IF(M48="住宅",MAX(J52,L49-'数据-取费表'!B20),MIN(J52,L49-'数据-取费表'!B20))</f>
        <v>-1.5</v>
      </c>
      <c r="K54" s="3744"/>
      <c r="L54" s="3745"/>
      <c r="O54" s="2397" t="s">
        <v>2388</v>
      </c>
      <c r="P54" s="2395" t="s">
        <v>2389</v>
      </c>
      <c r="Q54" s="2396">
        <f ca="1">J54</f>
        <v>-1.5</v>
      </c>
      <c r="R54" s="2395" t="s">
        <v>2390</v>
      </c>
    </row>
    <row r="55" spans="1:18" s="2055" customFormat="1" ht="18" customHeight="1" thickBot="1">
      <c r="A55" s="2092"/>
      <c r="I55" s="31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9"/>
      <c r="K55" s="3160"/>
      <c r="O55" s="2394" t="s">
        <v>2391</v>
      </c>
      <c r="P55" s="2395" t="s">
        <v>2408</v>
      </c>
      <c r="Q55" s="2396">
        <f ca="1">Q49+Q50</f>
        <v>0</v>
      </c>
      <c r="R55" s="2399" t="s">
        <v>2392</v>
      </c>
    </row>
    <row r="56" spans="1:18" s="2055" customFormat="1" ht="16.5" thickBot="1">
      <c r="A56" s="2092"/>
      <c r="B56" s="2093"/>
      <c r="C56" s="2093"/>
      <c r="I56" s="3161" t="s">
        <v>2355</v>
      </c>
      <c r="J56" s="3097" t="e">
        <f ca="1">ROUND(IF(J48="钢混",J58/J51,1-(1-2%)*(J51-J58)/J51),3)</f>
        <v>#VALUE!</v>
      </c>
      <c r="K56" s="3162" t="s">
        <v>2356</v>
      </c>
      <c r="L56" s="2382"/>
      <c r="O56" s="2400" t="s">
        <v>2411</v>
      </c>
      <c r="P56" s="1587"/>
      <c r="Q56" s="1599"/>
      <c r="R56" s="1587"/>
    </row>
    <row r="57" spans="1:18" s="2055" customFormat="1" ht="43.5" thickBot="1">
      <c r="A57" s="2092"/>
      <c r="B57" s="2093"/>
      <c r="C57" s="2093"/>
      <c r="I57" s="3163" t="s">
        <v>2357</v>
      </c>
      <c r="J57" s="3173" t="s">
        <v>1679</v>
      </c>
      <c r="K57" s="3122" t="s">
        <v>2362</v>
      </c>
      <c r="L57" s="1904">
        <f ca="1">IF(L49&lt;J52,"——",L49-J52)</f>
        <v>0</v>
      </c>
      <c r="O57" s="2391" t="s">
        <v>2375</v>
      </c>
      <c r="P57" s="2392" t="s">
        <v>2376</v>
      </c>
      <c r="Q57" s="2393" t="s">
        <v>2377</v>
      </c>
      <c r="R57" s="2392" t="s">
        <v>2378</v>
      </c>
    </row>
    <row r="58" spans="1:18" s="2055" customFormat="1" ht="29.25" thickBot="1">
      <c r="A58" s="2092"/>
      <c r="B58" s="2093"/>
      <c r="C58" s="2093"/>
      <c r="I58" s="3164" t="s">
        <v>2358</v>
      </c>
      <c r="J58" s="3165" t="str">
        <f ca="1">IF(OR(M48="住宅",J52&lt;L49,J57="是"),"——",J52-L49)</f>
        <v>——</v>
      </c>
      <c r="K58" s="3122" t="s">
        <v>2363</v>
      </c>
      <c r="L58" s="1904">
        <f ca="1">IF(L49&lt;J52,"——",IF(L56="比较法",L50,IF(L56="基准地价",L51,L52)))</f>
        <v>0</v>
      </c>
      <c r="O58" s="2394" t="s">
        <v>2379</v>
      </c>
      <c r="P58" s="2395" t="s">
        <v>2405</v>
      </c>
      <c r="Q58" s="2396">
        <f ca="1">C41+J31</f>
        <v>0</v>
      </c>
      <c r="R58" s="2395" t="s">
        <v>2380</v>
      </c>
    </row>
    <row r="59" spans="1:18" s="2055" customFormat="1" ht="29.25" thickBot="1">
      <c r="A59" s="2092"/>
      <c r="B59" s="2093"/>
      <c r="C59" s="2093"/>
      <c r="I59" s="3164" t="s">
        <v>2359</v>
      </c>
      <c r="J59" s="3098" t="e">
        <f ca="1">IF(J56&lt;0.4,0.4,J56)</f>
        <v>#VALUE!</v>
      </c>
      <c r="K59" s="3122" t="s">
        <v>2364</v>
      </c>
      <c r="L59" s="1904">
        <f ca="1">IF(ISERROR(POWER(1+L53,L48-L49)*(POWER(1+L53,L49)-1)/(POWER(1+L53,L48)-1)),0,POWER(1+L53,L48-L49)*(POWER(1+L53,L49)-1)/(POWER(1+L53,L48)-1))</f>
        <v>0</v>
      </c>
      <c r="O59" s="2394" t="s">
        <v>2381</v>
      </c>
      <c r="P59" s="2395" t="s">
        <v>2412</v>
      </c>
      <c r="Q59" s="2396" t="e">
        <f ca="1">L61</f>
        <v>#DIV/0!</v>
      </c>
      <c r="R59" s="2399" t="s">
        <v>2414</v>
      </c>
    </row>
    <row r="60" spans="1:18" s="2055" customFormat="1" ht="29.25" thickBot="1">
      <c r="A60" s="2092"/>
      <c r="B60" s="2093"/>
      <c r="C60" s="2093"/>
      <c r="I60" s="3164" t="s">
        <v>2360</v>
      </c>
      <c r="J60" s="3165" t="str">
        <f ca="1">IF(OR(M48="住宅",J52&lt;L49,J57="是"),"——",ROUND(C30*J59,0))</f>
        <v>——</v>
      </c>
      <c r="K60" s="3122" t="s">
        <v>2365</v>
      </c>
      <c r="L60" s="1904">
        <f ca="1">IF(ISERROR(POWER(1+L53,L48-J52)*(POWER(1+L53,J52)-1)/(POWER(1+L53,L48)-1)),0,POWER(1+L53,L48-J52)*(POWER(1+L53,J52)-1)/(POWER(1+L53,L48)-1))</f>
        <v>0</v>
      </c>
      <c r="O60" s="2397" t="s">
        <v>2383</v>
      </c>
      <c r="P60" s="2395" t="s">
        <v>2413</v>
      </c>
      <c r="Q60" s="2396">
        <f>IF(L56="比较法",L50,IF(L56="基准地价",L51,0))</f>
        <v>0</v>
      </c>
      <c r="R60" s="2395" t="s">
        <v>2380</v>
      </c>
    </row>
    <row r="61" spans="1:18" s="2055" customFormat="1" ht="15.75" thickBot="1">
      <c r="A61" s="2092"/>
      <c r="B61" s="2093"/>
      <c r="C61" s="2093"/>
      <c r="I61" s="3166" t="s">
        <v>2361</v>
      </c>
      <c r="J61" s="3167" t="str">
        <f ca="1">IF(OR(M48="住宅",J52&lt;L49,J57="是"),"0",ROUND(J60/(1+J53)^J54,0))</f>
        <v>0</v>
      </c>
      <c r="K61" s="3168" t="s">
        <v>2366</v>
      </c>
      <c r="L61" s="3167" t="e">
        <f ca="1">IF(OR(M48="住宅",L49&lt;J52),0,ROUND(L58*(L59/L60-1),0))</f>
        <v>#DIV/0!</v>
      </c>
      <c r="O61" s="2397" t="s">
        <v>2384</v>
      </c>
      <c r="P61" s="2395" t="s">
        <v>2393</v>
      </c>
      <c r="Q61" s="2398">
        <f>L53</f>
        <v>0</v>
      </c>
      <c r="R61" s="2399"/>
    </row>
    <row r="62" spans="1:18" s="2055" customFormat="1" ht="20.25" thickBot="1">
      <c r="A62" s="2092"/>
      <c r="B62" s="2093"/>
      <c r="C62" s="2093"/>
      <c r="K62" s="2082"/>
      <c r="O62" s="2397" t="s">
        <v>2386</v>
      </c>
      <c r="P62" s="2395" t="s">
        <v>2394</v>
      </c>
      <c r="Q62" s="2396">
        <f ca="1">L59</f>
        <v>0</v>
      </c>
      <c r="R62" s="2399" t="s">
        <v>2395</v>
      </c>
    </row>
    <row r="63" spans="1:18" s="2055" customFormat="1" ht="20.25" thickBot="1">
      <c r="A63" s="2092"/>
      <c r="B63" s="2093"/>
      <c r="C63" s="2093"/>
      <c r="I63" s="3169" t="s">
        <v>2367</v>
      </c>
      <c r="J63" s="3170" t="s">
        <v>2368</v>
      </c>
      <c r="K63" s="3170" t="s">
        <v>2369</v>
      </c>
      <c r="L63" s="3170" t="s">
        <v>2350</v>
      </c>
      <c r="M63" s="3171" t="s">
        <v>2943</v>
      </c>
      <c r="O63" s="2397" t="s">
        <v>2388</v>
      </c>
      <c r="P63" s="2395" t="s">
        <v>2396</v>
      </c>
      <c r="Q63" s="2396">
        <f ca="1">L60</f>
        <v>0</v>
      </c>
      <c r="R63" s="2399" t="s">
        <v>2397</v>
      </c>
    </row>
    <row r="64" spans="1:18" s="2055" customFormat="1" ht="15.75" thickBot="1">
      <c r="A64" s="2092"/>
      <c r="B64" s="2093"/>
      <c r="C64" s="2093"/>
      <c r="I64" s="3169" t="s">
        <v>2370</v>
      </c>
      <c r="J64" s="3170">
        <v>70</v>
      </c>
      <c r="K64" s="3170">
        <v>50</v>
      </c>
      <c r="L64" s="3170">
        <v>80</v>
      </c>
      <c r="M64" s="3172">
        <v>0.02</v>
      </c>
      <c r="O64" s="2394" t="s">
        <v>2391</v>
      </c>
      <c r="P64" s="2395" t="s">
        <v>2408</v>
      </c>
      <c r="Q64" s="2396" t="e">
        <f ca="1">Q58+Q59</f>
        <v>#DIV/0!</v>
      </c>
      <c r="R64" s="2399" t="s">
        <v>2392</v>
      </c>
    </row>
    <row r="65" spans="1:18" s="2055" customFormat="1" ht="16.5" thickBot="1">
      <c r="A65" s="2092"/>
      <c r="B65" s="2093"/>
      <c r="C65" s="2093"/>
      <c r="I65" s="3169" t="s">
        <v>2371</v>
      </c>
      <c r="J65" s="3170">
        <v>50</v>
      </c>
      <c r="K65" s="3170">
        <v>35</v>
      </c>
      <c r="L65" s="3170">
        <v>60</v>
      </c>
      <c r="M65" s="844">
        <v>0</v>
      </c>
      <c r="O65" s="2400" t="s">
        <v>2415</v>
      </c>
      <c r="P65" s="1587"/>
      <c r="Q65" s="1599"/>
      <c r="R65" s="1587"/>
    </row>
    <row r="66" spans="1:18" s="2055" customFormat="1" ht="15.75" thickBot="1">
      <c r="A66" s="2092"/>
      <c r="B66" s="2093"/>
      <c r="C66" s="2093"/>
      <c r="I66" s="3169" t="s">
        <v>2372</v>
      </c>
      <c r="J66" s="3170">
        <v>40</v>
      </c>
      <c r="K66" s="3170">
        <v>30</v>
      </c>
      <c r="L66" s="3170">
        <v>50</v>
      </c>
      <c r="M66" s="3172">
        <v>0.02</v>
      </c>
      <c r="O66" s="2391" t="s">
        <v>2375</v>
      </c>
      <c r="P66" s="2392" t="s">
        <v>2376</v>
      </c>
      <c r="Q66" s="2393" t="s">
        <v>2377</v>
      </c>
      <c r="R66" s="2392" t="s">
        <v>2378</v>
      </c>
    </row>
    <row r="67" spans="1:18" s="2055" customFormat="1" ht="15.75" thickBot="1">
      <c r="A67" s="2092"/>
      <c r="B67" s="2093"/>
      <c r="C67" s="2093"/>
      <c r="K67" s="2082"/>
      <c r="O67" s="2394" t="s">
        <v>2379</v>
      </c>
      <c r="P67" s="2395" t="s">
        <v>2405</v>
      </c>
      <c r="Q67" s="2396">
        <f ca="1">C41+J31</f>
        <v>0</v>
      </c>
      <c r="R67" s="2395" t="s">
        <v>2380</v>
      </c>
    </row>
    <row r="68" spans="1:18" s="2055" customFormat="1" ht="20.25" thickBot="1">
      <c r="A68" s="2092"/>
      <c r="B68" s="2093"/>
      <c r="C68" s="2093"/>
      <c r="K68" s="2082"/>
      <c r="O68" s="2394" t="s">
        <v>2381</v>
      </c>
      <c r="P68" s="2395" t="s">
        <v>2412</v>
      </c>
      <c r="Q68" s="2396" t="e">
        <f ca="1">L61</f>
        <v>#DIV/0!</v>
      </c>
      <c r="R68" s="2399" t="s">
        <v>2414</v>
      </c>
    </row>
    <row r="69" spans="1:18" s="2055" customFormat="1" ht="21.75" thickBot="1">
      <c r="A69" s="2092"/>
      <c r="B69" s="2093"/>
      <c r="C69" s="2093"/>
      <c r="K69" s="2082"/>
      <c r="O69" s="2397" t="s">
        <v>2383</v>
      </c>
      <c r="P69" s="2395" t="s">
        <v>2413</v>
      </c>
      <c r="Q69" s="2401">
        <f ca="1">L52</f>
        <v>0</v>
      </c>
      <c r="R69" s="2402" t="s">
        <v>2416</v>
      </c>
    </row>
    <row r="70" spans="1:18" s="2055" customFormat="1" ht="20.25" thickBot="1">
      <c r="A70" s="2092"/>
      <c r="B70" s="2093"/>
      <c r="C70" s="2093"/>
      <c r="K70" s="2082"/>
      <c r="O70" s="2397" t="s">
        <v>2384</v>
      </c>
      <c r="P70" s="2403" t="s">
        <v>2398</v>
      </c>
      <c r="Q70" s="2396">
        <f ca="1">ROUND(Q71-Q72*Q73,0)</f>
        <v>0</v>
      </c>
      <c r="R70" s="2399"/>
    </row>
    <row r="71" spans="1:18" s="2055" customFormat="1" ht="15.75" thickBot="1">
      <c r="A71" s="2092"/>
      <c r="B71" s="2093"/>
      <c r="C71" s="2093"/>
      <c r="K71" s="2082"/>
      <c r="O71" s="2397" t="s">
        <v>2399</v>
      </c>
      <c r="P71" s="2403" t="s">
        <v>2400</v>
      </c>
      <c r="Q71" s="2396">
        <f ca="1">C42</f>
        <v>0</v>
      </c>
      <c r="R71" s="2395" t="s">
        <v>2380</v>
      </c>
    </row>
    <row r="72" spans="1:18" s="2055" customFormat="1" ht="15.75" thickBot="1">
      <c r="A72" s="2092"/>
      <c r="B72" s="2093"/>
      <c r="C72" s="2093"/>
      <c r="K72" s="2082"/>
      <c r="O72" s="2397" t="s">
        <v>2401</v>
      </c>
      <c r="P72" s="2403" t="s">
        <v>2402</v>
      </c>
      <c r="Q72" s="2396">
        <f ca="1">C15</f>
        <v>0</v>
      </c>
      <c r="R72" s="2395" t="s">
        <v>2380</v>
      </c>
    </row>
    <row r="73" spans="1:18" s="2055" customFormat="1" ht="15.75" thickBot="1">
      <c r="A73" s="2092"/>
      <c r="B73" s="2093"/>
      <c r="C73" s="2093"/>
      <c r="K73" s="2082"/>
      <c r="O73" s="2397" t="s">
        <v>2403</v>
      </c>
      <c r="P73" s="2403" t="s">
        <v>2404</v>
      </c>
      <c r="Q73" s="2398">
        <f ca="1">F43</f>
        <v>0</v>
      </c>
      <c r="R73" s="2399"/>
    </row>
    <row r="74" spans="1:18" s="2055" customFormat="1" ht="15.75" thickBot="1">
      <c r="A74" s="2092"/>
      <c r="B74" s="2093"/>
      <c r="C74" s="2093"/>
      <c r="K74" s="2082"/>
      <c r="O74" s="2397" t="s">
        <v>2386</v>
      </c>
      <c r="P74" s="2395" t="s">
        <v>2393</v>
      </c>
      <c r="Q74" s="2398">
        <f>L53</f>
        <v>0</v>
      </c>
      <c r="R74" s="2399"/>
    </row>
    <row r="75" spans="1:18" s="2055" customFormat="1" ht="20.25" thickBot="1">
      <c r="A75" s="2092"/>
      <c r="B75" s="2093"/>
      <c r="C75" s="2093"/>
      <c r="K75" s="2082"/>
      <c r="O75" s="2397" t="s">
        <v>2388</v>
      </c>
      <c r="P75" s="2395" t="s">
        <v>2394</v>
      </c>
      <c r="Q75" s="2396">
        <f ca="1">L59</f>
        <v>0</v>
      </c>
      <c r="R75" s="2399" t="s">
        <v>2395</v>
      </c>
    </row>
    <row r="76" spans="1:18" s="2055" customFormat="1" ht="20.25" thickBot="1">
      <c r="A76" s="2092"/>
      <c r="B76" s="2093"/>
      <c r="C76" s="2093"/>
      <c r="K76" s="2082"/>
      <c r="O76" s="2397" t="s">
        <v>2417</v>
      </c>
      <c r="P76" s="2395" t="s">
        <v>2396</v>
      </c>
      <c r="Q76" s="2396">
        <f ca="1">L60</f>
        <v>0</v>
      </c>
      <c r="R76" s="2399" t="s">
        <v>2397</v>
      </c>
    </row>
    <row r="77" spans="1:18" s="2055" customFormat="1" ht="15.75" thickBot="1">
      <c r="A77" s="2092"/>
      <c r="B77" s="2093"/>
      <c r="C77" s="2093"/>
      <c r="K77" s="2082"/>
      <c r="O77" s="2394" t="s">
        <v>2391</v>
      </c>
      <c r="P77" s="2395" t="s">
        <v>2408</v>
      </c>
      <c r="Q77" s="2396" t="e">
        <f ca="1">Q67+Q68</f>
        <v>#DIV/0!</v>
      </c>
      <c r="R77" s="2399" t="s">
        <v>2392</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59"/>
    <col min="2" max="6" width="9" style="2659" customWidth="1"/>
    <col min="7" max="7" width="9" style="2675" customWidth="1"/>
    <col min="8" max="12" width="9" style="2659" customWidth="1"/>
    <col min="13" max="13" width="2.25" style="2659" customWidth="1"/>
    <col min="14" max="14" width="9" style="2675" customWidth="1"/>
    <col min="15" max="17" width="9" style="2659" customWidth="1"/>
    <col min="18" max="18" width="2.375" style="2659" customWidth="1"/>
    <col min="19" max="19" width="7.125" style="2675" customWidth="1"/>
    <col min="20" max="22" width="7.125" style="2659" customWidth="1"/>
    <col min="23" max="23" width="24" style="2659" customWidth="1"/>
    <col min="24" max="25" width="9" style="2659"/>
    <col min="26" max="27" width="11.625" style="2659" customWidth="1"/>
    <col min="28" max="28" width="9" style="2659"/>
    <col min="29" max="29" width="2" style="2659" customWidth="1"/>
    <col min="30" max="16384" width="9" style="2659"/>
  </cols>
  <sheetData>
    <row r="1" spans="1:34" s="2649" customFormat="1">
      <c r="B1" s="3748" t="s">
        <v>2576</v>
      </c>
      <c r="C1" s="3748"/>
      <c r="D1" s="3748"/>
      <c r="E1" s="3748"/>
      <c r="F1" s="3748"/>
      <c r="G1" s="3747" t="s">
        <v>2577</v>
      </c>
      <c r="H1" s="3747"/>
      <c r="I1" s="3747"/>
      <c r="J1" s="3747"/>
      <c r="K1" s="3747"/>
      <c r="L1" s="3747"/>
      <c r="N1" s="3747" t="s">
        <v>2578</v>
      </c>
      <c r="O1" s="3747"/>
      <c r="P1" s="3747"/>
      <c r="Q1" s="3747"/>
      <c r="R1" s="2650"/>
      <c r="S1" s="3747" t="s">
        <v>2579</v>
      </c>
      <c r="T1" s="3747"/>
      <c r="U1" s="3747"/>
      <c r="V1" s="3747"/>
      <c r="X1" s="3746" t="s">
        <v>2639</v>
      </c>
      <c r="Y1" s="3747"/>
      <c r="Z1" s="3747"/>
      <c r="AA1" s="3747"/>
      <c r="AB1" s="3747"/>
      <c r="AD1" s="3746" t="s">
        <v>2643</v>
      </c>
      <c r="AE1" s="3747"/>
      <c r="AF1" s="3747"/>
      <c r="AG1" s="3747"/>
      <c r="AH1" s="3747"/>
    </row>
    <row r="2" spans="1:34" s="2752" customFormat="1" ht="14.25" thickBot="1">
      <c r="B2" s="2760" t="s">
        <v>2580</v>
      </c>
      <c r="C2" s="2760" t="s">
        <v>2641</v>
      </c>
      <c r="D2" s="2753" t="s">
        <v>1645</v>
      </c>
      <c r="E2" s="2753" t="s">
        <v>1952</v>
      </c>
      <c r="F2" s="2760" t="s">
        <v>2642</v>
      </c>
      <c r="G2" s="2756"/>
      <c r="H2" s="2755"/>
      <c r="I2" s="2760" t="s">
        <v>2957</v>
      </c>
      <c r="J2" s="2753" t="s">
        <v>2959</v>
      </c>
      <c r="K2" s="2753" t="s">
        <v>2960</v>
      </c>
      <c r="L2" s="2760" t="s">
        <v>2961</v>
      </c>
      <c r="N2" s="2760" t="s">
        <v>2580</v>
      </c>
      <c r="O2" s="2753" t="s">
        <v>2958</v>
      </c>
      <c r="P2" s="2753" t="s">
        <v>1952</v>
      </c>
      <c r="Q2" s="2760" t="s">
        <v>2642</v>
      </c>
      <c r="R2" s="2754"/>
      <c r="S2" s="2760" t="s">
        <v>2580</v>
      </c>
      <c r="T2" s="2753" t="s">
        <v>2958</v>
      </c>
      <c r="U2" s="2753" t="s">
        <v>1952</v>
      </c>
      <c r="V2" s="2760" t="s">
        <v>2642</v>
      </c>
      <c r="X2" s="2760" t="s">
        <v>2580</v>
      </c>
      <c r="Y2" s="2760" t="s">
        <v>2641</v>
      </c>
      <c r="Z2" s="2753" t="s">
        <v>1645</v>
      </c>
      <c r="AA2" s="2753" t="s">
        <v>1952</v>
      </c>
      <c r="AB2" s="2760" t="s">
        <v>2642</v>
      </c>
      <c r="AD2" s="2760" t="s">
        <v>2580</v>
      </c>
      <c r="AE2" s="2760" t="s">
        <v>2641</v>
      </c>
      <c r="AF2" s="2753" t="s">
        <v>1645</v>
      </c>
      <c r="AG2" s="2753" t="s">
        <v>1952</v>
      </c>
      <c r="AH2" s="2760" t="s">
        <v>2642</v>
      </c>
    </row>
    <row r="3" spans="1:34" s="3130" customFormat="1" ht="14.25">
      <c r="A3" s="3142" t="s">
        <v>2970</v>
      </c>
      <c r="B3" s="3131"/>
      <c r="C3" s="3131"/>
      <c r="D3" s="3132"/>
      <c r="E3" s="3132"/>
      <c r="F3" s="3131"/>
      <c r="G3" s="3133"/>
      <c r="H3" s="3134"/>
      <c r="I3" s="3141">
        <f>ROUND(AVERAGE($I8:$I23),2)</f>
        <v>2.4500000000000002</v>
      </c>
      <c r="J3" s="3141">
        <f>ROUND(AVERAGE($J8:$J23),2)</f>
        <v>1.65</v>
      </c>
      <c r="K3" s="3141">
        <f>ROUND(AVERAGE($K8:$K23),2)</f>
        <v>2.71</v>
      </c>
      <c r="L3" s="3141">
        <f>ROUND(AVERAGE($L8:$L23),2)</f>
        <v>1.39</v>
      </c>
      <c r="N3" s="3133"/>
      <c r="O3" s="3135"/>
      <c r="P3" s="3135"/>
      <c r="Q3" s="3135"/>
      <c r="R3" s="3135"/>
      <c r="S3" s="3133"/>
      <c r="T3" s="3135"/>
      <c r="U3" s="3135"/>
      <c r="V3" s="3135"/>
      <c r="W3" s="3138"/>
      <c r="X3" s="3136">
        <f>ROUND(SUMPRODUCT(PRODUCT(1+N3:N$22)),4)</f>
        <v>1.4733000000000001</v>
      </c>
      <c r="Y3" s="3136">
        <f>ROUND(SUMPRODUCT(PRODUCT(1+O3:O$22)),4)</f>
        <v>1.3052999999999999</v>
      </c>
      <c r="Z3" s="3136">
        <f t="shared" ref="Z3:Z20" si="0">Y3</f>
        <v>1.3052999999999999</v>
      </c>
      <c r="AA3" s="3136">
        <f>ROUND(SUMPRODUCT(PRODUCT(1+P3:P$22)),4)</f>
        <v>1.5306999999999999</v>
      </c>
      <c r="AB3" s="3136">
        <f>ROUND(SUMPRODUCT(PRODUCT(1+Q3:Q$22)),4)</f>
        <v>1.2863</v>
      </c>
      <c r="AD3" s="3137">
        <f>ROUND(AVERAGE(I3:I$23)/100,4)</f>
        <v>2.24E-2</v>
      </c>
      <c r="AE3" s="3137">
        <f>ROUND(AVERAGE(J3:J$23)/100,4)</f>
        <v>1.54E-2</v>
      </c>
      <c r="AF3" s="3137">
        <f t="shared" ref="AF3:AF21" si="1">AE3</f>
        <v>1.54E-2</v>
      </c>
      <c r="AG3" s="3137">
        <f>ROUND(AVERAGE(K3:K$23)/100,4)</f>
        <v>2.47E-2</v>
      </c>
      <c r="AH3" s="3137">
        <f>ROUND(AVERAGE(L3:L$23)/100,4)</f>
        <v>1.41E-2</v>
      </c>
    </row>
    <row r="4" spans="1:34" s="2745" customFormat="1" ht="14.25">
      <c r="B4" s="2746"/>
      <c r="C4" s="2746"/>
      <c r="D4" s="2747"/>
      <c r="E4" s="2747"/>
      <c r="F4" s="2746"/>
      <c r="G4" s="2751"/>
      <c r="H4" s="2748"/>
      <c r="I4" s="3123"/>
      <c r="J4" s="3123"/>
      <c r="K4" s="3123"/>
      <c r="L4" s="3123"/>
      <c r="N4" s="2751"/>
      <c r="O4" s="2749"/>
      <c r="P4" s="2749"/>
      <c r="Q4" s="2749"/>
      <c r="R4" s="2749"/>
      <c r="S4" s="2751"/>
      <c r="T4" s="2749"/>
      <c r="U4" s="2749"/>
      <c r="V4" s="2749"/>
      <c r="W4" s="3139"/>
      <c r="X4" s="2750"/>
      <c r="Y4" s="2750"/>
      <c r="Z4" s="2750"/>
      <c r="AA4" s="2750"/>
      <c r="AB4" s="2750"/>
      <c r="AD4" s="2670"/>
      <c r="AE4" s="2670"/>
      <c r="AF4" s="2670"/>
      <c r="AG4" s="2670"/>
      <c r="AH4" s="2670"/>
    </row>
    <row r="5" spans="1:34" s="3111" customFormat="1">
      <c r="A5" s="3109" t="s">
        <v>2981</v>
      </c>
      <c r="B5" s="2791">
        <f>B6*(1+N5)</f>
        <v>453.11529869999993</v>
      </c>
      <c r="C5" s="2791">
        <f t="shared" ref="C5" si="2">C6*(1+O5)</f>
        <v>336.47787264000004</v>
      </c>
      <c r="D5" s="2791">
        <f t="shared" ref="D5" si="3">C5</f>
        <v>336.47787264000004</v>
      </c>
      <c r="E5" s="2791">
        <f t="shared" ref="E5" si="4">E6*(1+P5)</f>
        <v>647.35186823999993</v>
      </c>
      <c r="F5" s="2791">
        <f t="shared" ref="F5" si="5">F6*(1+Q5)</f>
        <v>295.73229452000004</v>
      </c>
      <c r="G5" s="2751">
        <v>2018</v>
      </c>
      <c r="H5" s="3110">
        <v>3</v>
      </c>
      <c r="I5" s="3124">
        <v>1.49</v>
      </c>
      <c r="J5" s="3124">
        <v>0.96</v>
      </c>
      <c r="K5" s="3124">
        <v>1.58</v>
      </c>
      <c r="L5" s="3124">
        <v>2.44</v>
      </c>
      <c r="N5" s="2758">
        <f t="shared" ref="N5" si="6">I5/100</f>
        <v>1.49E-2</v>
      </c>
      <c r="O5" s="2758">
        <f t="shared" ref="O5" si="7">J5/100</f>
        <v>9.5999999999999992E-3</v>
      </c>
      <c r="P5" s="2758">
        <f t="shared" ref="P5" si="8">K5/100</f>
        <v>1.5800000000000002E-2</v>
      </c>
      <c r="Q5" s="2758">
        <f t="shared" ref="Q5" si="9">L5/100</f>
        <v>2.4399999999999998E-2</v>
      </c>
      <c r="R5" s="3112"/>
      <c r="S5" s="3113"/>
      <c r="T5" s="3112"/>
      <c r="U5" s="3112"/>
      <c r="V5" s="3112"/>
      <c r="W5" s="3140" t="s">
        <v>2971</v>
      </c>
      <c r="X5" s="3114">
        <f>ROUND(SUMPRODUCT(PRODUCT(1+N5:N$22)),4)</f>
        <v>1.4733000000000001</v>
      </c>
      <c r="Y5" s="3114">
        <f>ROUND(SUMPRODUCT(PRODUCT(1+O5:O$22)),4)</f>
        <v>1.3052999999999999</v>
      </c>
      <c r="Z5" s="3114">
        <f t="shared" ref="Z5" si="10">Y5</f>
        <v>1.3052999999999999</v>
      </c>
      <c r="AA5" s="3114">
        <f>ROUND(SUMPRODUCT(PRODUCT(1+P5:P$22)),4)</f>
        <v>1.5306999999999999</v>
      </c>
      <c r="AB5" s="3114">
        <f>ROUND(SUMPRODUCT(PRODUCT(1+Q5:Q$22)),4)</f>
        <v>1.2863</v>
      </c>
      <c r="AD5" s="3115">
        <f>ROUND(AVERAGE(I5:I$23)/100,4)</f>
        <v>2.23E-2</v>
      </c>
      <c r="AE5" s="3115">
        <f>ROUND(AVERAGE(J5:J$23)/100,4)</f>
        <v>1.54E-2</v>
      </c>
      <c r="AF5" s="3115">
        <f t="shared" ref="AF5" si="11">AE5</f>
        <v>1.54E-2</v>
      </c>
      <c r="AG5" s="3115">
        <f>ROUND(AVERAGE(K5:K$23)/100,4)</f>
        <v>2.4500000000000001E-2</v>
      </c>
      <c r="AH5" s="3115">
        <f>ROUND(AVERAGE(L5:L$23)/100,4)</f>
        <v>1.41E-2</v>
      </c>
    </row>
    <row r="6" spans="1:34" s="2757" customFormat="1" ht="13.5" thickBot="1">
      <c r="A6" s="2651" t="s">
        <v>2982</v>
      </c>
      <c r="B6" s="2665">
        <f>B7*(1+N6)</f>
        <v>446.46299999999997</v>
      </c>
      <c r="C6" s="2665">
        <f t="shared" ref="C6" si="12">C7*(1+O6)</f>
        <v>333.27840000000003</v>
      </c>
      <c r="D6" s="2665">
        <f t="shared" ref="D6" si="13">C6</f>
        <v>333.27840000000003</v>
      </c>
      <c r="E6" s="2665">
        <f t="shared" ref="E6" si="14">E7*(1+P6)</f>
        <v>637.28279999999995</v>
      </c>
      <c r="F6" s="2665">
        <f t="shared" ref="F6" si="15">F7*(1+Q6)</f>
        <v>288.68830000000003</v>
      </c>
      <c r="G6" s="3129"/>
      <c r="H6" s="2655">
        <v>2</v>
      </c>
      <c r="I6" s="2655">
        <v>0</v>
      </c>
      <c r="J6" s="2655">
        <v>0</v>
      </c>
      <c r="K6" s="2655">
        <v>0</v>
      </c>
      <c r="L6" s="2666">
        <v>0</v>
      </c>
      <c r="M6" s="2659"/>
      <c r="N6" s="2660">
        <f t="shared" ref="N6" si="16">I6/100</f>
        <v>0</v>
      </c>
      <c r="O6" s="2661">
        <f t="shared" ref="O6" si="17">J6/100</f>
        <v>0</v>
      </c>
      <c r="P6" s="2661">
        <f t="shared" ref="P6" si="18">K6/100</f>
        <v>0</v>
      </c>
      <c r="Q6" s="2661">
        <f t="shared" ref="Q6" si="19">L6/100</f>
        <v>0</v>
      </c>
      <c r="R6" s="2662"/>
      <c r="S6" s="2668"/>
      <c r="T6" s="2669"/>
      <c r="U6" s="2669"/>
      <c r="V6" s="2669"/>
      <c r="W6" s="2659"/>
      <c r="X6" s="2750">
        <f>ROUND(SUMPRODUCT(PRODUCT(1+N6:N$22)),4)</f>
        <v>1.4517</v>
      </c>
      <c r="Y6" s="2750">
        <f>ROUND(SUMPRODUCT(PRODUCT(1+O6:O$22)),4)</f>
        <v>1.2928999999999999</v>
      </c>
      <c r="Z6" s="2750">
        <f t="shared" ref="Z6" si="20">Y6</f>
        <v>1.2928999999999999</v>
      </c>
      <c r="AA6" s="2750">
        <f>ROUND(SUMPRODUCT(PRODUCT(1+P6:P$22)),4)</f>
        <v>1.5068999999999999</v>
      </c>
      <c r="AB6" s="2750">
        <f>ROUND(SUMPRODUCT(PRODUCT(1+Q6:Q$22)),4)</f>
        <v>1.2557</v>
      </c>
      <c r="AC6" s="2659"/>
      <c r="AD6" s="2670">
        <f>ROUND(AVERAGE(I6:I$23)/100,4)</f>
        <v>2.2700000000000001E-2</v>
      </c>
      <c r="AE6" s="2670">
        <f>ROUND(AVERAGE(J6:J$23)/100,4)</f>
        <v>1.5699999999999999E-2</v>
      </c>
      <c r="AF6" s="2670">
        <f t="shared" ref="AF6" si="21">AE6</f>
        <v>1.5699999999999999E-2</v>
      </c>
      <c r="AG6" s="2670">
        <f>ROUND(AVERAGE(K6:K$23)/100,4)</f>
        <v>2.5000000000000001E-2</v>
      </c>
      <c r="AH6" s="2670">
        <f>ROUND(AVERAGE(L6:L$23)/100,4)</f>
        <v>1.35E-2</v>
      </c>
    </row>
    <row r="7" spans="1:34" s="2757" customFormat="1" ht="13.5" thickBot="1">
      <c r="A7" s="2651" t="s">
        <v>2977</v>
      </c>
      <c r="B7" s="2665">
        <f>B8*(1+N7)</f>
        <v>446.46299999999997</v>
      </c>
      <c r="C7" s="2665">
        <f t="shared" ref="C7" si="22">C8*(1+O7)</f>
        <v>333.27840000000003</v>
      </c>
      <c r="D7" s="2665">
        <f t="shared" ref="D7:D12" si="23">C7</f>
        <v>333.27840000000003</v>
      </c>
      <c r="E7" s="2665">
        <f t="shared" ref="E7" si="24">E8*(1+P7)</f>
        <v>637.28279999999995</v>
      </c>
      <c r="F7" s="2665">
        <f t="shared" ref="F7" si="25">F8*(1+Q7)</f>
        <v>288.68830000000003</v>
      </c>
      <c r="G7" s="3129"/>
      <c r="H7" s="2655">
        <v>1</v>
      </c>
      <c r="I7" s="2655">
        <v>1.7</v>
      </c>
      <c r="J7" s="2655">
        <v>1.92</v>
      </c>
      <c r="K7" s="2655">
        <v>1.64</v>
      </c>
      <c r="L7" s="2666">
        <v>2.0099999999999998</v>
      </c>
      <c r="M7" s="2659"/>
      <c r="N7" s="2660">
        <f t="shared" ref="N7:N12" si="26">I7/100</f>
        <v>1.7000000000000001E-2</v>
      </c>
      <c r="O7" s="2661">
        <f t="shared" ref="O7" si="27">J7/100</f>
        <v>1.9199999999999998E-2</v>
      </c>
      <c r="P7" s="2661">
        <f t="shared" ref="P7" si="28">K7/100</f>
        <v>1.6399999999999998E-2</v>
      </c>
      <c r="Q7" s="2661">
        <f t="shared" ref="Q7" si="29">L7/100</f>
        <v>2.0099999999999996E-2</v>
      </c>
      <c r="R7" s="2662"/>
      <c r="S7" s="2668">
        <f>B7/B8-1</f>
        <v>1.6999999999999904E-2</v>
      </c>
      <c r="T7" s="2669">
        <f>C7/C8-1</f>
        <v>1.9200000000000106E-2</v>
      </c>
      <c r="U7" s="2669">
        <f>E7/E8-1</f>
        <v>1.639999999999997E-2</v>
      </c>
      <c r="V7" s="2669">
        <f>F7/F8-1</f>
        <v>2.0100000000000007E-2</v>
      </c>
      <c r="W7" s="2659"/>
      <c r="X7" s="2750">
        <f>ROUND(SUMPRODUCT(PRODUCT(1+N7:N$22)),4)</f>
        <v>1.4517</v>
      </c>
      <c r="Y7" s="2750">
        <f>ROUND(SUMPRODUCT(PRODUCT(1+O7:O$22)),4)</f>
        <v>1.2928999999999999</v>
      </c>
      <c r="Z7" s="2750">
        <f t="shared" ref="Z7" si="30">Y7</f>
        <v>1.2928999999999999</v>
      </c>
      <c r="AA7" s="2750">
        <f>ROUND(SUMPRODUCT(PRODUCT(1+P7:P$22)),4)</f>
        <v>1.5068999999999999</v>
      </c>
      <c r="AB7" s="2750">
        <f>ROUND(SUMPRODUCT(PRODUCT(1+Q7:Q$22)),4)</f>
        <v>1.2557</v>
      </c>
      <c r="AC7" s="2659"/>
      <c r="AD7" s="2670">
        <f>ROUND(AVERAGE(I7:I$23)/100,4)</f>
        <v>2.4E-2</v>
      </c>
      <c r="AE7" s="2670">
        <f>ROUND(AVERAGE(J7:J$23)/100,4)</f>
        <v>1.66E-2</v>
      </c>
      <c r="AF7" s="2670">
        <f t="shared" ref="AF7" si="31">AE7</f>
        <v>1.66E-2</v>
      </c>
      <c r="AG7" s="2670">
        <f>ROUND(AVERAGE(K7:K$23)/100,4)</f>
        <v>2.6499999999999999E-2</v>
      </c>
      <c r="AH7" s="2670">
        <f>ROUND(AVERAGE(L7:L$23)/100,4)</f>
        <v>1.43E-2</v>
      </c>
    </row>
    <row r="8" spans="1:34">
      <c r="A8" s="2651" t="s">
        <v>2968</v>
      </c>
      <c r="B8" s="3144">
        <v>439</v>
      </c>
      <c r="C8" s="3144">
        <v>327</v>
      </c>
      <c r="D8" s="3144">
        <f t="shared" si="23"/>
        <v>327</v>
      </c>
      <c r="E8" s="3144">
        <v>627</v>
      </c>
      <c r="F8" s="3145">
        <v>283</v>
      </c>
      <c r="G8" s="3127">
        <v>2017</v>
      </c>
      <c r="H8" s="2652">
        <v>4</v>
      </c>
      <c r="I8" s="2652">
        <v>1.71</v>
      </c>
      <c r="J8" s="2652">
        <v>1.78</v>
      </c>
      <c r="K8" s="2652">
        <v>1.71</v>
      </c>
      <c r="L8" s="2653">
        <v>1.43</v>
      </c>
      <c r="N8" s="2660">
        <f t="shared" si="26"/>
        <v>1.7100000000000001E-2</v>
      </c>
      <c r="O8" s="2661">
        <f t="shared" ref="O8" si="32">J8/100</f>
        <v>1.78E-2</v>
      </c>
      <c r="P8" s="2661">
        <f t="shared" ref="P8" si="33">K8/100</f>
        <v>1.7100000000000001E-2</v>
      </c>
      <c r="Q8" s="2661">
        <f t="shared" ref="Q8" si="34">L8/100</f>
        <v>1.43E-2</v>
      </c>
      <c r="R8" s="2662"/>
      <c r="S8" s="2663"/>
      <c r="T8" s="2664"/>
      <c r="U8" s="2664"/>
      <c r="V8" s="2664"/>
      <c r="X8" s="2750">
        <f>ROUND(SUMPRODUCT(PRODUCT(1+N8:N$22)),4)</f>
        <v>1.4274</v>
      </c>
      <c r="Y8" s="2750">
        <f>ROUND(SUMPRODUCT(PRODUCT(1+O8:O$22)),4)</f>
        <v>1.2685</v>
      </c>
      <c r="Z8" s="2750">
        <f t="shared" si="0"/>
        <v>1.2685</v>
      </c>
      <c r="AA8" s="2750">
        <f>ROUND(SUMPRODUCT(PRODUCT(1+P8:P$22)),4)</f>
        <v>1.4825999999999999</v>
      </c>
      <c r="AB8" s="2750">
        <f>ROUND(SUMPRODUCT(PRODUCT(1+Q8:Q$22)),4)</f>
        <v>1.2309000000000001</v>
      </c>
      <c r="AD8" s="2670">
        <f>ROUND(AVERAGE(I8:I$23)/100,4)</f>
        <v>2.4500000000000001E-2</v>
      </c>
      <c r="AE8" s="2670">
        <f>ROUND(AVERAGE(J8:J$23)/100,4)</f>
        <v>1.6500000000000001E-2</v>
      </c>
      <c r="AF8" s="2670">
        <f t="shared" si="1"/>
        <v>1.6500000000000001E-2</v>
      </c>
      <c r="AG8" s="2670">
        <f>ROUND(AVERAGE(K8:K$23)/100,4)</f>
        <v>2.7099999999999999E-2</v>
      </c>
      <c r="AH8" s="2670">
        <f>ROUND(AVERAGE(L8:L$23)/100,4)</f>
        <v>1.3899999999999999E-2</v>
      </c>
    </row>
    <row r="9" spans="1:34" s="2757" customFormat="1" ht="13.5" thickBot="1">
      <c r="A9" s="2651" t="s">
        <v>2972</v>
      </c>
      <c r="B9" s="2665">
        <f t="shared" ref="B9:C11" si="35">B10*(1+N9)</f>
        <v>431.80730811680002</v>
      </c>
      <c r="C9" s="2665">
        <f t="shared" si="35"/>
        <v>320.57880516480003</v>
      </c>
      <c r="D9" s="2665">
        <f t="shared" si="23"/>
        <v>320.57880516480003</v>
      </c>
      <c r="E9" s="2665">
        <f t="shared" ref="E9:F11" si="36">E10*(1+P9)</f>
        <v>615.96110553196797</v>
      </c>
      <c r="F9" s="2665">
        <f t="shared" si="36"/>
        <v>279.46777300108801</v>
      </c>
      <c r="G9" s="3129"/>
      <c r="H9" s="2655">
        <v>3</v>
      </c>
      <c r="I9" s="2655">
        <v>2.98</v>
      </c>
      <c r="J9" s="2655">
        <v>2.11</v>
      </c>
      <c r="K9" s="2655">
        <v>3.24</v>
      </c>
      <c r="L9" s="2666">
        <v>1.72</v>
      </c>
      <c r="M9" s="2659"/>
      <c r="N9" s="2660">
        <f t="shared" si="26"/>
        <v>2.98E-2</v>
      </c>
      <c r="O9" s="2661">
        <f t="shared" ref="O9:O10" si="37">J9/100</f>
        <v>2.1099999999999997E-2</v>
      </c>
      <c r="P9" s="2661">
        <f t="shared" ref="P9:P10" si="38">K9/100</f>
        <v>3.2400000000000005E-2</v>
      </c>
      <c r="Q9" s="2661">
        <f t="shared" ref="Q9:Q10" si="39">L9/100</f>
        <v>1.72E-2</v>
      </c>
      <c r="R9" s="2662"/>
      <c r="S9" s="2668"/>
      <c r="T9" s="2669"/>
      <c r="U9" s="2669"/>
      <c r="V9" s="2669"/>
      <c r="W9" s="2659"/>
      <c r="X9" s="2750">
        <f>ROUND(SUMPRODUCT(PRODUCT(1+N9:N$22)),4)</f>
        <v>1.4034</v>
      </c>
      <c r="Y9" s="2750">
        <f>ROUND(SUMPRODUCT(PRODUCT(1+O9:O$22)),4)</f>
        <v>1.2463</v>
      </c>
      <c r="Z9" s="2750">
        <f t="shared" si="0"/>
        <v>1.2463</v>
      </c>
      <c r="AA9" s="2750">
        <f>ROUND(SUMPRODUCT(PRODUCT(1+P9:P$22)),4)</f>
        <v>1.4577</v>
      </c>
      <c r="AB9" s="2750">
        <f>ROUND(SUMPRODUCT(PRODUCT(1+Q9:Q$22)),4)</f>
        <v>1.2136</v>
      </c>
      <c r="AC9" s="2659"/>
      <c r="AD9" s="2670">
        <f>ROUND(AVERAGE(I9:I$23)/100,4)</f>
        <v>2.4899999999999999E-2</v>
      </c>
      <c r="AE9" s="2670">
        <f>ROUND(AVERAGE(J9:J$23)/100,4)</f>
        <v>1.6400000000000001E-2</v>
      </c>
      <c r="AF9" s="2670">
        <f t="shared" si="1"/>
        <v>1.6400000000000001E-2</v>
      </c>
      <c r="AG9" s="2670">
        <f>ROUND(AVERAGE(K9:K$23)/100,4)</f>
        <v>2.7799999999999998E-2</v>
      </c>
      <c r="AH9" s="2670">
        <f>ROUND(AVERAGE(L9:L$23)/100,4)</f>
        <v>1.3899999999999999E-2</v>
      </c>
    </row>
    <row r="10" spans="1:34" s="2649" customFormat="1">
      <c r="A10" s="2651" t="s">
        <v>2581</v>
      </c>
      <c r="B10" s="2665">
        <f t="shared" si="35"/>
        <v>419.31181600000002</v>
      </c>
      <c r="C10" s="2665">
        <f t="shared" si="35"/>
        <v>313.95436800000004</v>
      </c>
      <c r="D10" s="2665">
        <f t="shared" si="23"/>
        <v>313.95436800000004</v>
      </c>
      <c r="E10" s="2665">
        <f t="shared" si="36"/>
        <v>596.63028431999999</v>
      </c>
      <c r="F10" s="2665">
        <f t="shared" si="36"/>
        <v>274.74220703999998</v>
      </c>
      <c r="G10" s="3128"/>
      <c r="H10" s="2656">
        <v>2</v>
      </c>
      <c r="I10" s="2656">
        <v>3.4</v>
      </c>
      <c r="J10" s="2656">
        <v>2</v>
      </c>
      <c r="K10" s="2656">
        <v>3.82</v>
      </c>
      <c r="L10" s="2667">
        <v>1.68</v>
      </c>
      <c r="N10" s="2660">
        <f t="shared" si="26"/>
        <v>3.4000000000000002E-2</v>
      </c>
      <c r="O10" s="2661">
        <f t="shared" si="37"/>
        <v>0.02</v>
      </c>
      <c r="P10" s="2661">
        <f t="shared" si="38"/>
        <v>3.8199999999999998E-2</v>
      </c>
      <c r="Q10" s="2661">
        <f t="shared" si="39"/>
        <v>1.6799999999999999E-2</v>
      </c>
      <c r="R10" s="2650"/>
      <c r="S10" s="2654"/>
      <c r="T10" s="2650"/>
      <c r="U10" s="2650"/>
      <c r="V10" s="2650"/>
      <c r="X10" s="2750">
        <f>ROUND(SUMPRODUCT(PRODUCT(1+N10:N$22)),4)</f>
        <v>1.3628</v>
      </c>
      <c r="Y10" s="2750">
        <f>ROUND(SUMPRODUCT(PRODUCT(1+O10:O$22)),4)</f>
        <v>1.2205999999999999</v>
      </c>
      <c r="Z10" s="2750">
        <f t="shared" si="0"/>
        <v>1.2205999999999999</v>
      </c>
      <c r="AA10" s="2750">
        <f>ROUND(SUMPRODUCT(PRODUCT(1+P10:P$22)),4)</f>
        <v>1.4118999999999999</v>
      </c>
      <c r="AB10" s="2750">
        <f>ROUND(SUMPRODUCT(PRODUCT(1+Q10:Q$22)),4)</f>
        <v>1.1930000000000001</v>
      </c>
      <c r="AD10" s="2670">
        <f>ROUND(AVERAGE(I10:I$23)/100,4)</f>
        <v>2.46E-2</v>
      </c>
      <c r="AE10" s="2670">
        <f>ROUND(AVERAGE(J10:J$23)/100,4)</f>
        <v>1.6E-2</v>
      </c>
      <c r="AF10" s="2670">
        <f t="shared" si="1"/>
        <v>1.6E-2</v>
      </c>
      <c r="AG10" s="2670">
        <f>ROUND(AVERAGE(K10:K$23)/100,4)</f>
        <v>2.75E-2</v>
      </c>
      <c r="AH10" s="2670">
        <f>ROUND(AVERAGE(L10:L$23)/100,4)</f>
        <v>1.37E-2</v>
      </c>
    </row>
    <row r="11" spans="1:34" s="2757" customFormat="1" ht="13.5" thickBot="1">
      <c r="A11" s="2651" t="s">
        <v>2582</v>
      </c>
      <c r="B11" s="2665">
        <f t="shared" si="35"/>
        <v>405.524</v>
      </c>
      <c r="C11" s="2665">
        <f t="shared" si="35"/>
        <v>307.79840000000002</v>
      </c>
      <c r="D11" s="2665">
        <f t="shared" si="23"/>
        <v>307.79840000000002</v>
      </c>
      <c r="E11" s="2665">
        <f t="shared" si="36"/>
        <v>574.67759999999998</v>
      </c>
      <c r="F11" s="2665">
        <f t="shared" si="36"/>
        <v>270.20280000000002</v>
      </c>
      <c r="G11" s="3129"/>
      <c r="H11" s="2655">
        <v>1</v>
      </c>
      <c r="I11" s="2655">
        <v>3.45</v>
      </c>
      <c r="J11" s="2655">
        <v>1.92</v>
      </c>
      <c r="K11" s="2655">
        <v>3.92</v>
      </c>
      <c r="L11" s="2666">
        <v>1.58</v>
      </c>
      <c r="M11" s="2659"/>
      <c r="N11" s="2660">
        <f t="shared" si="26"/>
        <v>3.4500000000000003E-2</v>
      </c>
      <c r="O11" s="2661">
        <f t="shared" ref="O11" si="40">J11/100</f>
        <v>1.9199999999999998E-2</v>
      </c>
      <c r="P11" s="2661">
        <f t="shared" ref="P11" si="41">K11/100</f>
        <v>3.9199999999999999E-2</v>
      </c>
      <c r="Q11" s="2661">
        <f t="shared" ref="Q11" si="42">L11/100</f>
        <v>1.5800000000000002E-2</v>
      </c>
      <c r="R11" s="2662"/>
      <c r="S11" s="2668">
        <f>B11/B12-1</f>
        <v>3.4499999999999975E-2</v>
      </c>
      <c r="T11" s="2669">
        <f>C11/C12-1</f>
        <v>1.9200000000000106E-2</v>
      </c>
      <c r="U11" s="2669">
        <f>E11/E12-1</f>
        <v>3.9199999999999902E-2</v>
      </c>
      <c r="V11" s="2669">
        <f>F11/F12-1</f>
        <v>1.5800000000000036E-2</v>
      </c>
      <c r="W11" s="2659"/>
      <c r="X11" s="2750">
        <f>ROUND(SUMPRODUCT(PRODUCT(1+N11:N$22)),4)</f>
        <v>1.3180000000000001</v>
      </c>
      <c r="Y11" s="2750">
        <f>ROUND(SUMPRODUCT(PRODUCT(1+O11:O$22)),4)</f>
        <v>1.1966000000000001</v>
      </c>
      <c r="Z11" s="2750">
        <f t="shared" si="0"/>
        <v>1.1966000000000001</v>
      </c>
      <c r="AA11" s="2750">
        <f>ROUND(SUMPRODUCT(PRODUCT(1+P11:P$22)),4)</f>
        <v>1.36</v>
      </c>
      <c r="AB11" s="2750">
        <f>ROUND(SUMPRODUCT(PRODUCT(1+Q11:Q$22)),4)</f>
        <v>1.1733</v>
      </c>
      <c r="AC11" s="2659"/>
      <c r="AD11" s="2670">
        <f>ROUND(AVERAGE(I11:I$23)/100,4)</f>
        <v>2.3900000000000001E-2</v>
      </c>
      <c r="AE11" s="2670">
        <f>ROUND(AVERAGE(J11:J$23)/100,4)</f>
        <v>1.5699999999999999E-2</v>
      </c>
      <c r="AF11" s="2670">
        <f t="shared" si="1"/>
        <v>1.5699999999999999E-2</v>
      </c>
      <c r="AG11" s="2670">
        <f>ROUND(AVERAGE(K11:K$23)/100,4)</f>
        <v>2.6599999999999999E-2</v>
      </c>
      <c r="AH11" s="2670">
        <f>ROUND(AVERAGE(L11:L$23)/100,4)</f>
        <v>1.34E-2</v>
      </c>
    </row>
    <row r="12" spans="1:34">
      <c r="A12" s="2651" t="s">
        <v>971</v>
      </c>
      <c r="B12" s="2657">
        <v>392</v>
      </c>
      <c r="C12" s="2657">
        <v>302</v>
      </c>
      <c r="D12" s="2657">
        <f t="shared" si="23"/>
        <v>302</v>
      </c>
      <c r="E12" s="2657">
        <v>553</v>
      </c>
      <c r="F12" s="2658">
        <v>266</v>
      </c>
      <c r="G12" s="3755">
        <v>2016</v>
      </c>
      <c r="H12" s="2652">
        <v>4</v>
      </c>
      <c r="I12" s="2652">
        <v>4.5599999999999996</v>
      </c>
      <c r="J12" s="2652">
        <v>2.15</v>
      </c>
      <c r="K12" s="2652">
        <v>5.32</v>
      </c>
      <c r="L12" s="2653">
        <v>1.57</v>
      </c>
      <c r="N12" s="2660">
        <f t="shared" si="26"/>
        <v>4.5599999999999995E-2</v>
      </c>
      <c r="O12" s="2661">
        <f t="shared" ref="O12:Q27" si="43">J12/100</f>
        <v>2.1499999999999998E-2</v>
      </c>
      <c r="P12" s="2661">
        <f t="shared" si="43"/>
        <v>5.3200000000000004E-2</v>
      </c>
      <c r="Q12" s="2661">
        <f t="shared" si="43"/>
        <v>1.5700000000000002E-2</v>
      </c>
      <c r="R12" s="2662"/>
      <c r="S12" s="2663"/>
      <c r="T12" s="2664"/>
      <c r="U12" s="2664"/>
      <c r="V12" s="2664"/>
      <c r="X12" s="2750">
        <f>ROUND(SUMPRODUCT(PRODUCT(1+N12:N$22)),4)</f>
        <v>1.274</v>
      </c>
      <c r="Y12" s="2750">
        <f>ROUND(SUMPRODUCT(PRODUCT(1+O12:O$22)),4)</f>
        <v>1.1740999999999999</v>
      </c>
      <c r="Z12" s="2750">
        <f t="shared" si="0"/>
        <v>1.1740999999999999</v>
      </c>
      <c r="AA12" s="2750">
        <f>ROUND(SUMPRODUCT(PRODUCT(1+P12:P$22)),4)</f>
        <v>1.3087</v>
      </c>
      <c r="AB12" s="2750">
        <f>ROUND(SUMPRODUCT(PRODUCT(1+Q12:Q$22)),4)</f>
        <v>1.1551</v>
      </c>
      <c r="AD12" s="2670">
        <f>ROUND(AVERAGE(I12:I$23)/100,4)</f>
        <v>2.3E-2</v>
      </c>
      <c r="AE12" s="2670">
        <f>ROUND(AVERAGE(J12:J$23)/100,4)</f>
        <v>1.55E-2</v>
      </c>
      <c r="AF12" s="2670">
        <f t="shared" si="1"/>
        <v>1.55E-2</v>
      </c>
      <c r="AG12" s="2670">
        <f>ROUND(AVERAGE(K12:K$23)/100,4)</f>
        <v>2.5600000000000001E-2</v>
      </c>
      <c r="AH12" s="2670">
        <f>ROUND(AVERAGE(L12:L$23)/100,4)</f>
        <v>1.32E-2</v>
      </c>
    </row>
    <row r="13" spans="1:34">
      <c r="A13" s="2651" t="s">
        <v>970</v>
      </c>
      <c r="B13" s="2665">
        <f t="shared" ref="B13:C15" si="44">B12/(1+N12)</f>
        <v>374.90436113236416</v>
      </c>
      <c r="C13" s="2665">
        <f t="shared" si="44"/>
        <v>295.64366128242779</v>
      </c>
      <c r="D13" s="2665">
        <f t="shared" ref="D13:D72" si="45">C13</f>
        <v>295.64366128242779</v>
      </c>
      <c r="E13" s="2665">
        <f t="shared" ref="E13:F15" si="46">E12/(1+P12)</f>
        <v>525.06646410938095</v>
      </c>
      <c r="F13" s="2665">
        <f t="shared" si="46"/>
        <v>261.88835286009646</v>
      </c>
      <c r="G13" s="3750"/>
      <c r="H13" s="2655">
        <v>3</v>
      </c>
      <c r="I13" s="2655">
        <v>4.12</v>
      </c>
      <c r="J13" s="2655">
        <v>2</v>
      </c>
      <c r="K13" s="2655">
        <v>4.79</v>
      </c>
      <c r="L13" s="2666">
        <v>1.97</v>
      </c>
      <c r="N13" s="2660">
        <f t="shared" ref="N13:Q47" si="47">I13/100</f>
        <v>4.1200000000000001E-2</v>
      </c>
      <c r="O13" s="2661">
        <f t="shared" si="43"/>
        <v>0.02</v>
      </c>
      <c r="P13" s="2661">
        <f t="shared" si="43"/>
        <v>4.7899999999999998E-2</v>
      </c>
      <c r="Q13" s="2661">
        <f t="shared" si="43"/>
        <v>1.9699999999999999E-2</v>
      </c>
      <c r="R13" s="2662"/>
      <c r="S13" s="2660"/>
      <c r="T13" s="2661"/>
      <c r="U13" s="2661"/>
      <c r="V13" s="2661"/>
      <c r="X13" s="2750">
        <f>ROUND(SUMPRODUCT(PRODUCT(1+N13:N$22)),4)</f>
        <v>1.2184999999999999</v>
      </c>
      <c r="Y13" s="2750">
        <f>ROUND(SUMPRODUCT(PRODUCT(1+O13:O$22)),4)</f>
        <v>1.1494</v>
      </c>
      <c r="Z13" s="2750">
        <f t="shared" si="0"/>
        <v>1.1494</v>
      </c>
      <c r="AA13" s="2750">
        <f>ROUND(SUMPRODUCT(PRODUCT(1+P13:P$22)),4)</f>
        <v>1.2425999999999999</v>
      </c>
      <c r="AB13" s="2750">
        <f>ROUND(SUMPRODUCT(PRODUCT(1+Q13:Q$22)),4)</f>
        <v>1.1372</v>
      </c>
      <c r="AD13" s="2670">
        <f>ROUND(AVERAGE(I13:I$23)/100,4)</f>
        <v>2.0899999999999998E-2</v>
      </c>
      <c r="AE13" s="2670">
        <f>ROUND(AVERAGE(J13:J$23)/100,4)</f>
        <v>1.49E-2</v>
      </c>
      <c r="AF13" s="2670">
        <f t="shared" si="1"/>
        <v>1.49E-2</v>
      </c>
      <c r="AG13" s="2670">
        <f>ROUND(AVERAGE(K13:K$23)/100,4)</f>
        <v>2.3099999999999999E-2</v>
      </c>
      <c r="AH13" s="2670">
        <f>ROUND(AVERAGE(L13:L$23)/100,4)</f>
        <v>1.2999999999999999E-2</v>
      </c>
    </row>
    <row r="14" spans="1:34">
      <c r="A14" s="2651" t="s">
        <v>960</v>
      </c>
      <c r="B14" s="2665">
        <f t="shared" si="44"/>
        <v>360.06949782209392</v>
      </c>
      <c r="C14" s="2665">
        <f t="shared" si="44"/>
        <v>289.84672674747821</v>
      </c>
      <c r="D14" s="2665">
        <f t="shared" si="45"/>
        <v>289.84672674747821</v>
      </c>
      <c r="E14" s="2665">
        <f t="shared" si="46"/>
        <v>501.06543001181495</v>
      </c>
      <c r="F14" s="2665">
        <f t="shared" si="46"/>
        <v>256.82882500744967</v>
      </c>
      <c r="G14" s="3750"/>
      <c r="H14" s="2656">
        <v>2</v>
      </c>
      <c r="I14" s="2656">
        <v>3.85</v>
      </c>
      <c r="J14" s="2656">
        <v>1.95</v>
      </c>
      <c r="K14" s="2656">
        <v>4.4800000000000004</v>
      </c>
      <c r="L14" s="2667">
        <v>1.41</v>
      </c>
      <c r="N14" s="2660">
        <f t="shared" si="47"/>
        <v>3.85E-2</v>
      </c>
      <c r="O14" s="2661">
        <f t="shared" si="43"/>
        <v>1.95E-2</v>
      </c>
      <c r="P14" s="2661">
        <f t="shared" si="43"/>
        <v>4.4800000000000006E-2</v>
      </c>
      <c r="Q14" s="2661">
        <f t="shared" si="43"/>
        <v>1.41E-2</v>
      </c>
      <c r="R14" s="2662"/>
      <c r="S14" s="2660"/>
      <c r="T14" s="2661"/>
      <c r="U14" s="2661"/>
      <c r="V14" s="2661"/>
      <c r="X14" s="2750">
        <f>ROUND(SUMPRODUCT(PRODUCT(1+N14:N$22)),4)</f>
        <v>1.1702999999999999</v>
      </c>
      <c r="Y14" s="2750">
        <f>ROUND(SUMPRODUCT(PRODUCT(1+O14:O$22)),4)</f>
        <v>1.1269</v>
      </c>
      <c r="Z14" s="2750">
        <f t="shared" si="0"/>
        <v>1.1269</v>
      </c>
      <c r="AA14" s="2750">
        <f>ROUND(SUMPRODUCT(PRODUCT(1+P14:P$22)),4)</f>
        <v>1.1858</v>
      </c>
      <c r="AB14" s="2750">
        <f>ROUND(SUMPRODUCT(PRODUCT(1+Q14:Q$22)),4)</f>
        <v>1.1152</v>
      </c>
      <c r="AD14" s="2670">
        <f>ROUND(AVERAGE(I14:I$23)/100,4)</f>
        <v>1.89E-2</v>
      </c>
      <c r="AE14" s="2670">
        <f>ROUND(AVERAGE(J14:J$23)/100,4)</f>
        <v>1.44E-2</v>
      </c>
      <c r="AF14" s="2670">
        <f t="shared" si="1"/>
        <v>1.44E-2</v>
      </c>
      <c r="AG14" s="2670">
        <f>ROUND(AVERAGE(K14:K$23)/100,4)</f>
        <v>2.06E-2</v>
      </c>
      <c r="AH14" s="2670">
        <f>ROUND(AVERAGE(L14:L$23)/100,4)</f>
        <v>1.23E-2</v>
      </c>
    </row>
    <row r="15" spans="1:34" ht="13.5" thickBot="1">
      <c r="A15" s="2651" t="s">
        <v>969</v>
      </c>
      <c r="B15" s="2665">
        <f t="shared" si="44"/>
        <v>346.720748986128</v>
      </c>
      <c r="C15" s="2665">
        <f t="shared" si="44"/>
        <v>284.30282172386285</v>
      </c>
      <c r="D15" s="2665">
        <f t="shared" si="45"/>
        <v>284.30282172386285</v>
      </c>
      <c r="E15" s="2665">
        <f t="shared" si="46"/>
        <v>479.58023546306947</v>
      </c>
      <c r="F15" s="2665">
        <f t="shared" si="46"/>
        <v>253.25788877571213</v>
      </c>
      <c r="G15" s="3751"/>
      <c r="H15" s="2655">
        <v>1</v>
      </c>
      <c r="I15" s="2655">
        <v>4.09</v>
      </c>
      <c r="J15" s="2655">
        <v>2.93</v>
      </c>
      <c r="K15" s="2655">
        <v>4.54</v>
      </c>
      <c r="L15" s="2666">
        <v>1.48</v>
      </c>
      <c r="N15" s="2660">
        <f t="shared" si="47"/>
        <v>4.0899999999999999E-2</v>
      </c>
      <c r="O15" s="2661">
        <f t="shared" si="43"/>
        <v>2.9300000000000003E-2</v>
      </c>
      <c r="P15" s="2661">
        <f t="shared" si="43"/>
        <v>4.5400000000000003E-2</v>
      </c>
      <c r="Q15" s="2661">
        <f t="shared" si="43"/>
        <v>1.4800000000000001E-2</v>
      </c>
      <c r="R15" s="2662"/>
      <c r="S15" s="2668">
        <f>B15/B16-1</f>
        <v>4.1203450408792808E-2</v>
      </c>
      <c r="T15" s="2669">
        <f>C15/C16-1</f>
        <v>2.6363977342465095E-2</v>
      </c>
      <c r="U15" s="2669">
        <f>E15/E16-1</f>
        <v>4.4837114298626357E-2</v>
      </c>
      <c r="V15" s="2669">
        <f>F15/F16-1</f>
        <v>1.7099954922538574E-2</v>
      </c>
      <c r="X15" s="2750">
        <f>ROUND(SUMPRODUCT(PRODUCT(1+N15:N$22)),4)</f>
        <v>1.1269</v>
      </c>
      <c r="Y15" s="2750">
        <f>ROUND(SUMPRODUCT(PRODUCT(1+O15:O$22)),4)</f>
        <v>1.1052999999999999</v>
      </c>
      <c r="Z15" s="2750">
        <f t="shared" si="0"/>
        <v>1.1052999999999999</v>
      </c>
      <c r="AA15" s="2750">
        <f>ROUND(SUMPRODUCT(PRODUCT(1+P15:P$22)),4)</f>
        <v>1.1349</v>
      </c>
      <c r="AB15" s="2750">
        <f>ROUND(SUMPRODUCT(PRODUCT(1+Q15:Q$22)),4)</f>
        <v>1.0996999999999999</v>
      </c>
      <c r="AD15" s="2670">
        <f>ROUND(AVERAGE(I15:I$23)/100,4)</f>
        <v>1.67E-2</v>
      </c>
      <c r="AE15" s="2670">
        <f>ROUND(AVERAGE(J15:J$23)/100,4)</f>
        <v>1.38E-2</v>
      </c>
      <c r="AF15" s="2670">
        <f t="shared" si="1"/>
        <v>1.38E-2</v>
      </c>
      <c r="AG15" s="2670">
        <f>ROUND(AVERAGE(K15:K$23)/100,4)</f>
        <v>1.7899999999999999E-2</v>
      </c>
      <c r="AH15" s="2670">
        <f>ROUND(AVERAGE(L15:L$23)/100,4)</f>
        <v>1.21E-2</v>
      </c>
    </row>
    <row r="16" spans="1:34" ht="13.5" thickBot="1">
      <c r="A16" s="2651" t="s">
        <v>968</v>
      </c>
      <c r="B16" s="2657">
        <v>333</v>
      </c>
      <c r="C16" s="2657">
        <v>277</v>
      </c>
      <c r="D16" s="2657">
        <f t="shared" si="45"/>
        <v>277</v>
      </c>
      <c r="E16" s="2657">
        <v>459</v>
      </c>
      <c r="F16" s="2658">
        <v>249</v>
      </c>
      <c r="G16" s="3749">
        <v>2015</v>
      </c>
      <c r="H16" s="2671">
        <v>4</v>
      </c>
      <c r="I16" s="2671">
        <v>1.63</v>
      </c>
      <c r="J16" s="2671">
        <v>1.1100000000000001</v>
      </c>
      <c r="K16" s="2671">
        <v>1.77</v>
      </c>
      <c r="L16" s="2672">
        <v>1.89</v>
      </c>
      <c r="N16" s="2673">
        <f t="shared" si="47"/>
        <v>1.6299999999999999E-2</v>
      </c>
      <c r="O16" s="2674">
        <f t="shared" si="43"/>
        <v>1.11E-2</v>
      </c>
      <c r="P16" s="2674">
        <f t="shared" si="43"/>
        <v>1.77E-2</v>
      </c>
      <c r="Q16" s="2674">
        <f t="shared" si="43"/>
        <v>1.89E-2</v>
      </c>
      <c r="R16" s="2662"/>
      <c r="X16" s="2750">
        <f>ROUND(SUMPRODUCT(PRODUCT(1+N16:N$22)),4)</f>
        <v>1.0826</v>
      </c>
      <c r="Y16" s="2750">
        <f>ROUND(SUMPRODUCT(PRODUCT(1+O16:O$22)),4)</f>
        <v>1.0738000000000001</v>
      </c>
      <c r="Z16" s="2750">
        <f t="shared" si="0"/>
        <v>1.0738000000000001</v>
      </c>
      <c r="AA16" s="2750">
        <f>ROUND(SUMPRODUCT(PRODUCT(1+P16:P$22)),4)</f>
        <v>1.0855999999999999</v>
      </c>
      <c r="AB16" s="2750">
        <f>ROUND(SUMPRODUCT(PRODUCT(1+Q16:Q$22)),4)</f>
        <v>1.0837000000000001</v>
      </c>
      <c r="AD16" s="2670">
        <f>ROUND(AVERAGE(I16:I$23)/100,4)</f>
        <v>1.37E-2</v>
      </c>
      <c r="AE16" s="2670">
        <f>ROUND(AVERAGE(J16:J$23)/100,4)</f>
        <v>1.1900000000000001E-2</v>
      </c>
      <c r="AF16" s="2670">
        <f t="shared" si="1"/>
        <v>1.1900000000000001E-2</v>
      </c>
      <c r="AG16" s="2670">
        <f>ROUND(AVERAGE(K16:K$23)/100,4)</f>
        <v>1.4500000000000001E-2</v>
      </c>
      <c r="AH16" s="2670">
        <f>ROUND(AVERAGE(L16:L$23)/100,4)</f>
        <v>1.18E-2</v>
      </c>
    </row>
    <row r="17" spans="1:34">
      <c r="A17" s="2651" t="s">
        <v>967</v>
      </c>
      <c r="B17" s="2665">
        <f t="shared" ref="B17:C19" si="48">B16/(1+N16)</f>
        <v>327.65915576109415</v>
      </c>
      <c r="C17" s="2665">
        <f t="shared" si="48"/>
        <v>273.95905449510434</v>
      </c>
      <c r="D17" s="2665">
        <f t="shared" si="45"/>
        <v>273.95905449510434</v>
      </c>
      <c r="E17" s="2665">
        <f t="shared" ref="E17:F19" si="49">E16/(1+P16)</f>
        <v>451.01699911565294</v>
      </c>
      <c r="F17" s="2665">
        <f t="shared" si="49"/>
        <v>244.38119540681129</v>
      </c>
      <c r="G17" s="3750"/>
      <c r="H17" s="2676">
        <v>3</v>
      </c>
      <c r="I17" s="2676">
        <v>1.65</v>
      </c>
      <c r="J17" s="2676">
        <v>0.92</v>
      </c>
      <c r="K17" s="2676">
        <v>1.88</v>
      </c>
      <c r="L17" s="2677">
        <v>1.26</v>
      </c>
      <c r="N17" s="2660">
        <f t="shared" si="47"/>
        <v>1.6500000000000001E-2</v>
      </c>
      <c r="O17" s="2678">
        <f t="shared" si="43"/>
        <v>9.1999999999999998E-3</v>
      </c>
      <c r="P17" s="2678">
        <f t="shared" si="43"/>
        <v>1.8799999999999997E-2</v>
      </c>
      <c r="Q17" s="2678">
        <f t="shared" si="43"/>
        <v>1.26E-2</v>
      </c>
      <c r="R17" s="2662"/>
      <c r="S17" s="2660"/>
      <c r="T17" s="2661"/>
      <c r="U17" s="2661"/>
      <c r="V17" s="2661"/>
      <c r="X17" s="2750">
        <f>ROUND(SUMPRODUCT(PRODUCT(1+N17:N$22)),4)</f>
        <v>1.0651999999999999</v>
      </c>
      <c r="Y17" s="2750">
        <f>ROUND(SUMPRODUCT(PRODUCT(1+O17:O$22)),4)</f>
        <v>1.0621</v>
      </c>
      <c r="Z17" s="2750">
        <f t="shared" si="0"/>
        <v>1.0621</v>
      </c>
      <c r="AA17" s="2750">
        <f>ROUND(SUMPRODUCT(PRODUCT(1+P17:P$22)),4)</f>
        <v>1.0668</v>
      </c>
      <c r="AB17" s="2750">
        <f>ROUND(SUMPRODUCT(PRODUCT(1+Q17:Q$22)),4)</f>
        <v>1.0636000000000001</v>
      </c>
      <c r="AD17" s="2670">
        <f>ROUND(AVERAGE(I17:I$23)/100,4)</f>
        <v>1.3299999999999999E-2</v>
      </c>
      <c r="AE17" s="2670">
        <f>ROUND(AVERAGE(J17:J$23)/100,4)</f>
        <v>1.2E-2</v>
      </c>
      <c r="AF17" s="2670">
        <f t="shared" si="1"/>
        <v>1.2E-2</v>
      </c>
      <c r="AG17" s="2670">
        <f>ROUND(AVERAGE(K17:K$23)/100,4)</f>
        <v>1.4E-2</v>
      </c>
      <c r="AH17" s="2670">
        <f>ROUND(AVERAGE(L17:L$23)/100,4)</f>
        <v>1.0800000000000001E-2</v>
      </c>
    </row>
    <row r="18" spans="1:34">
      <c r="A18" s="2651" t="s">
        <v>966</v>
      </c>
      <c r="B18" s="2665">
        <f t="shared" si="48"/>
        <v>322.34053690220776</v>
      </c>
      <c r="C18" s="2665">
        <f t="shared" si="48"/>
        <v>271.46160770422546</v>
      </c>
      <c r="D18" s="2665">
        <f t="shared" si="45"/>
        <v>271.46160770422546</v>
      </c>
      <c r="E18" s="2665">
        <f t="shared" si="49"/>
        <v>442.69434542172456</v>
      </c>
      <c r="F18" s="2665">
        <f t="shared" si="49"/>
        <v>241.34030753190925</v>
      </c>
      <c r="G18" s="3750"/>
      <c r="H18" s="2656">
        <v>2</v>
      </c>
      <c r="I18" s="2656">
        <v>0.77</v>
      </c>
      <c r="J18" s="2656">
        <v>0.69</v>
      </c>
      <c r="K18" s="2656">
        <v>0.8</v>
      </c>
      <c r="L18" s="2667">
        <v>0.88</v>
      </c>
      <c r="N18" s="2660">
        <f t="shared" si="47"/>
        <v>7.7000000000000002E-3</v>
      </c>
      <c r="O18" s="2678">
        <f t="shared" si="43"/>
        <v>6.8999999999999999E-3</v>
      </c>
      <c r="P18" s="2678">
        <f t="shared" si="43"/>
        <v>8.0000000000000002E-3</v>
      </c>
      <c r="Q18" s="2678">
        <f t="shared" si="43"/>
        <v>8.8000000000000005E-3</v>
      </c>
      <c r="R18" s="2662"/>
      <c r="S18" s="2660"/>
      <c r="T18" s="2661"/>
      <c r="U18" s="2661"/>
      <c r="V18" s="2661"/>
      <c r="X18" s="2750">
        <f>ROUND(SUMPRODUCT(PRODUCT(1+N18:N$22)),4)</f>
        <v>1.048</v>
      </c>
      <c r="Y18" s="2750">
        <f>ROUND(SUMPRODUCT(PRODUCT(1+O18:O$22)),4)</f>
        <v>1.0524</v>
      </c>
      <c r="Z18" s="2750">
        <f t="shared" si="0"/>
        <v>1.0524</v>
      </c>
      <c r="AA18" s="2750">
        <f>ROUND(SUMPRODUCT(PRODUCT(1+P18:P$22)),4)</f>
        <v>1.0470999999999999</v>
      </c>
      <c r="AB18" s="2750">
        <f>ROUND(SUMPRODUCT(PRODUCT(1+Q18:Q$22)),4)</f>
        <v>1.0504</v>
      </c>
      <c r="AD18" s="2670">
        <f>ROUND(AVERAGE(I18:I$23)/100,4)</f>
        <v>1.2800000000000001E-2</v>
      </c>
      <c r="AE18" s="2670">
        <f>ROUND(AVERAGE(J18:J$23)/100,4)</f>
        <v>1.2500000000000001E-2</v>
      </c>
      <c r="AF18" s="2670">
        <f t="shared" si="1"/>
        <v>1.2500000000000001E-2</v>
      </c>
      <c r="AG18" s="2670">
        <f>ROUND(AVERAGE(K18:K$23)/100,4)</f>
        <v>1.32E-2</v>
      </c>
      <c r="AH18" s="2670">
        <f>ROUND(AVERAGE(L18:L$23)/100,4)</f>
        <v>1.0500000000000001E-2</v>
      </c>
    </row>
    <row r="19" spans="1:34">
      <c r="A19" s="2651" t="s">
        <v>965</v>
      </c>
      <c r="B19" s="2665">
        <f t="shared" si="48"/>
        <v>319.87748030386797</v>
      </c>
      <c r="C19" s="2665">
        <f t="shared" si="48"/>
        <v>269.60135833173649</v>
      </c>
      <c r="D19" s="2665">
        <f t="shared" si="45"/>
        <v>269.60135833173649</v>
      </c>
      <c r="E19" s="2665">
        <f t="shared" si="49"/>
        <v>439.18089823583784</v>
      </c>
      <c r="F19" s="2665">
        <f t="shared" si="49"/>
        <v>239.23503918706311</v>
      </c>
      <c r="G19" s="3751"/>
      <c r="H19" s="2655">
        <v>1</v>
      </c>
      <c r="I19" s="2655">
        <v>0.51</v>
      </c>
      <c r="J19" s="2655">
        <v>0.54</v>
      </c>
      <c r="K19" s="2655">
        <v>0.48</v>
      </c>
      <c r="L19" s="2666">
        <v>0.93</v>
      </c>
      <c r="N19" s="2668">
        <f t="shared" si="47"/>
        <v>5.1000000000000004E-3</v>
      </c>
      <c r="O19" s="2669">
        <f t="shared" si="43"/>
        <v>5.4000000000000003E-3</v>
      </c>
      <c r="P19" s="2669">
        <f t="shared" si="43"/>
        <v>4.7999999999999996E-3</v>
      </c>
      <c r="Q19" s="2669">
        <f t="shared" si="43"/>
        <v>9.300000000000001E-3</v>
      </c>
      <c r="R19" s="2662"/>
      <c r="S19" s="2668">
        <f>B19/B20-1</f>
        <v>5.9040261127922822E-3</v>
      </c>
      <c r="T19" s="2669">
        <f>C19/C20-1</f>
        <v>5.9752176557332781E-3</v>
      </c>
      <c r="U19" s="2669">
        <f>E19/E20-1</f>
        <v>4.9906138119859556E-3</v>
      </c>
      <c r="V19" s="2669">
        <f>F19/F20-1</f>
        <v>9.4305450930933787E-3</v>
      </c>
      <c r="X19" s="2750">
        <f>ROUND(SUMPRODUCT(PRODUCT(1+N19:N$22)),4)</f>
        <v>1.0399</v>
      </c>
      <c r="Y19" s="2750">
        <f>ROUND(SUMPRODUCT(PRODUCT(1+O19:O$22)),4)</f>
        <v>1.0451999999999999</v>
      </c>
      <c r="Z19" s="2750">
        <f t="shared" si="0"/>
        <v>1.0451999999999999</v>
      </c>
      <c r="AA19" s="2750">
        <f>ROUND(SUMPRODUCT(PRODUCT(1+P19:P$22)),4)</f>
        <v>1.0387999999999999</v>
      </c>
      <c r="AB19" s="2750">
        <f>ROUND(SUMPRODUCT(PRODUCT(1+Q19:Q$22)),4)</f>
        <v>1.0411999999999999</v>
      </c>
      <c r="AD19" s="2670">
        <f>ROUND(AVERAGE(I19:I$23)/100,4)</f>
        <v>1.38E-2</v>
      </c>
      <c r="AE19" s="2670">
        <f>ROUND(AVERAGE(J19:J$23)/100,4)</f>
        <v>1.3599999999999999E-2</v>
      </c>
      <c r="AF19" s="2670">
        <f t="shared" si="1"/>
        <v>1.3599999999999999E-2</v>
      </c>
      <c r="AG19" s="2670">
        <f>ROUND(AVERAGE(K19:K$23)/100,4)</f>
        <v>1.4200000000000001E-2</v>
      </c>
      <c r="AH19" s="2670">
        <f>ROUND(AVERAGE(L19:L$23)/100,4)</f>
        <v>1.0800000000000001E-2</v>
      </c>
    </row>
    <row r="20" spans="1:34" ht="13.5" thickBot="1">
      <c r="A20" s="2651" t="s">
        <v>964</v>
      </c>
      <c r="B20" s="2679">
        <v>318</v>
      </c>
      <c r="C20" s="2679">
        <v>268</v>
      </c>
      <c r="D20" s="2679">
        <f t="shared" si="45"/>
        <v>268</v>
      </c>
      <c r="E20" s="2679">
        <v>437</v>
      </c>
      <c r="F20" s="2680">
        <v>237</v>
      </c>
      <c r="G20" s="3749">
        <v>2014</v>
      </c>
      <c r="H20" s="2671">
        <v>4</v>
      </c>
      <c r="I20" s="2671">
        <v>0.21</v>
      </c>
      <c r="J20" s="2671">
        <v>0.41</v>
      </c>
      <c r="K20" s="2671">
        <v>0.12</v>
      </c>
      <c r="L20" s="2672">
        <v>0.89</v>
      </c>
      <c r="N20" s="2660">
        <f t="shared" si="47"/>
        <v>2.0999999999999999E-3</v>
      </c>
      <c r="O20" s="2661">
        <f t="shared" si="43"/>
        <v>4.0999999999999995E-3</v>
      </c>
      <c r="P20" s="2661">
        <f t="shared" si="43"/>
        <v>1.1999999999999999E-3</v>
      </c>
      <c r="Q20" s="2661">
        <f t="shared" si="43"/>
        <v>8.8999999999999999E-3</v>
      </c>
      <c r="R20" s="2662"/>
      <c r="S20" s="2663"/>
      <c r="T20" s="2664"/>
      <c r="U20" s="2664"/>
      <c r="V20" s="2664"/>
      <c r="X20" s="2750">
        <f>ROUND(SUMPRODUCT(PRODUCT(1+N20:N$22)),4)</f>
        <v>1.0347</v>
      </c>
      <c r="Y20" s="2750">
        <f>ROUND(SUMPRODUCT(PRODUCT(1+O20:O$22)),4)</f>
        <v>1.0395000000000001</v>
      </c>
      <c r="Z20" s="2750">
        <f t="shared" si="0"/>
        <v>1.0395000000000001</v>
      </c>
      <c r="AA20" s="2750">
        <f>ROUND(SUMPRODUCT(PRODUCT(1+P20:P$22)),4)</f>
        <v>1.0338000000000001</v>
      </c>
      <c r="AB20" s="2750">
        <f>ROUND(SUMPRODUCT(PRODUCT(1+Q20:Q$22)),4)</f>
        <v>1.0316000000000001</v>
      </c>
      <c r="AD20" s="2670">
        <f>ROUND(AVERAGE(I20:I$23)/100,4)</f>
        <v>1.6E-2</v>
      </c>
      <c r="AE20" s="2670">
        <f>ROUND(AVERAGE(J20:J$23)/100,4)</f>
        <v>1.5599999999999999E-2</v>
      </c>
      <c r="AF20" s="2670">
        <f t="shared" si="1"/>
        <v>1.5599999999999999E-2</v>
      </c>
      <c r="AG20" s="2670">
        <f>ROUND(AVERAGE(K20:K$23)/100,4)</f>
        <v>1.66E-2</v>
      </c>
      <c r="AH20" s="2670">
        <f>ROUND(AVERAGE(L20:L$23)/100,4)</f>
        <v>1.12E-2</v>
      </c>
    </row>
    <row r="21" spans="1:34">
      <c r="A21" s="2651" t="s">
        <v>963</v>
      </c>
      <c r="B21" s="2665">
        <f t="shared" ref="B21:C23" si="50">B20/(1+N20)</f>
        <v>317.33359944117353</v>
      </c>
      <c r="C21" s="2665">
        <f t="shared" si="50"/>
        <v>266.90568668459315</v>
      </c>
      <c r="D21" s="2665">
        <f t="shared" si="45"/>
        <v>266.90568668459315</v>
      </c>
      <c r="E21" s="2665">
        <f t="shared" ref="E21:F23" si="51">E20/(1+P20)</f>
        <v>436.47622852576905</v>
      </c>
      <c r="F21" s="2665">
        <f t="shared" si="51"/>
        <v>234.90930716622066</v>
      </c>
      <c r="G21" s="3750"/>
      <c r="H21" s="2681">
        <v>3</v>
      </c>
      <c r="I21" s="2681">
        <v>0.83</v>
      </c>
      <c r="J21" s="2681">
        <v>1.47</v>
      </c>
      <c r="K21" s="2681">
        <v>0.65</v>
      </c>
      <c r="L21" s="2682">
        <v>0.72</v>
      </c>
      <c r="N21" s="2660">
        <f t="shared" si="47"/>
        <v>8.3000000000000001E-3</v>
      </c>
      <c r="O21" s="2661">
        <f t="shared" si="43"/>
        <v>1.47E-2</v>
      </c>
      <c r="P21" s="2661">
        <f t="shared" si="43"/>
        <v>6.5000000000000006E-3</v>
      </c>
      <c r="Q21" s="2661">
        <f t="shared" si="43"/>
        <v>7.1999999999999998E-3</v>
      </c>
      <c r="R21" s="2662"/>
      <c r="S21" s="2660"/>
      <c r="T21" s="2661"/>
      <c r="U21" s="2661"/>
      <c r="V21" s="2661"/>
      <c r="X21" s="2750">
        <f>ROUND(SUMPRODUCT(PRODUCT(1+N21:N$22)),4)</f>
        <v>1.0325</v>
      </c>
      <c r="Y21" s="2750">
        <f>ROUND(SUMPRODUCT(PRODUCT(1+O21:O$22)),4)</f>
        <v>1.0353000000000001</v>
      </c>
      <c r="Z21" s="2750">
        <f t="shared" ref="Z21:Z22" si="52">Y21</f>
        <v>1.0353000000000001</v>
      </c>
      <c r="AA21" s="2750">
        <f>ROUND(SUMPRODUCT(PRODUCT(1+P21:P$22)),4)</f>
        <v>1.0326</v>
      </c>
      <c r="AB21" s="2750">
        <f>ROUND(SUMPRODUCT(PRODUCT(1+Q21:Q$22)),4)</f>
        <v>1.0225</v>
      </c>
      <c r="AD21" s="2670">
        <f>ROUND(AVERAGE(I21:I$23)/100,4)</f>
        <v>2.07E-2</v>
      </c>
      <c r="AE21" s="2670">
        <f>ROUND(AVERAGE(J21:J$23)/100,4)</f>
        <v>1.95E-2</v>
      </c>
      <c r="AF21" s="2670">
        <f t="shared" si="1"/>
        <v>1.95E-2</v>
      </c>
      <c r="AG21" s="2670">
        <f>ROUND(AVERAGE(K21:K$23)/100,4)</f>
        <v>2.1700000000000001E-2</v>
      </c>
      <c r="AH21" s="2670">
        <f>ROUND(AVERAGE(L21:L$23)/100,4)</f>
        <v>1.2E-2</v>
      </c>
    </row>
    <row r="22" spans="1:34" ht="13.5" thickBot="1">
      <c r="A22" s="2651" t="s">
        <v>962</v>
      </c>
      <c r="B22" s="2665">
        <f t="shared" si="50"/>
        <v>314.72141172386546</v>
      </c>
      <c r="C22" s="2665">
        <f t="shared" si="50"/>
        <v>263.03901319069001</v>
      </c>
      <c r="D22" s="2665">
        <f t="shared" si="45"/>
        <v>263.03901319069001</v>
      </c>
      <c r="E22" s="2665">
        <f t="shared" si="51"/>
        <v>433.65745506782821</v>
      </c>
      <c r="F22" s="2665">
        <f t="shared" si="51"/>
        <v>233.23005080045735</v>
      </c>
      <c r="G22" s="3750"/>
      <c r="H22" s="2671">
        <v>2</v>
      </c>
      <c r="I22" s="2671">
        <v>2.4</v>
      </c>
      <c r="J22" s="2671">
        <v>2.0299999999999998</v>
      </c>
      <c r="K22" s="2671">
        <v>2.59</v>
      </c>
      <c r="L22" s="2672">
        <v>1.52</v>
      </c>
      <c r="N22" s="2660">
        <f t="shared" si="47"/>
        <v>2.4E-2</v>
      </c>
      <c r="O22" s="2661">
        <f t="shared" si="43"/>
        <v>2.0299999999999999E-2</v>
      </c>
      <c r="P22" s="2661">
        <f t="shared" si="43"/>
        <v>2.5899999999999999E-2</v>
      </c>
      <c r="Q22" s="2661">
        <f t="shared" si="43"/>
        <v>1.52E-2</v>
      </c>
      <c r="R22" s="2662"/>
      <c r="S22" s="2660"/>
      <c r="T22" s="2661"/>
      <c r="U22" s="2661"/>
      <c r="V22" s="2661"/>
      <c r="X22" s="2750">
        <f>1+N22</f>
        <v>1.024</v>
      </c>
      <c r="Y22" s="2750">
        <f>1+O22</f>
        <v>1.0203</v>
      </c>
      <c r="Z22" s="2750">
        <f t="shared" si="52"/>
        <v>1.0203</v>
      </c>
      <c r="AA22" s="2750">
        <f>1+P22</f>
        <v>1.0259</v>
      </c>
      <c r="AB22" s="2750">
        <f>1+Q22</f>
        <v>1.0152000000000001</v>
      </c>
      <c r="AD22" s="2670">
        <f>ROUND(AVERAGE(I22:I$23)/100,4)</f>
        <v>2.69E-2</v>
      </c>
      <c r="AE22" s="2670">
        <f>ROUND(AVERAGE(J22:J$23)/100,4)</f>
        <v>2.1899999999999999E-2</v>
      </c>
      <c r="AF22" s="2670">
        <f t="shared" ref="AF22" si="53">AE22</f>
        <v>2.1899999999999999E-2</v>
      </c>
      <c r="AG22" s="2670">
        <f>ROUND(AVERAGE(K22:K$23)/100,4)</f>
        <v>2.9399999999999999E-2</v>
      </c>
      <c r="AH22" s="2670">
        <f>ROUND(AVERAGE(L22:L$23)/100,4)</f>
        <v>1.44E-2</v>
      </c>
    </row>
    <row r="23" spans="1:34" s="2687" customFormat="1" ht="13.5" thickBot="1">
      <c r="A23" s="2683" t="s">
        <v>961</v>
      </c>
      <c r="B23" s="2684">
        <f t="shared" si="50"/>
        <v>307.34512863658733</v>
      </c>
      <c r="C23" s="2684">
        <f t="shared" si="50"/>
        <v>257.80556031626975</v>
      </c>
      <c r="D23" s="2684">
        <f t="shared" si="45"/>
        <v>257.80556031626975</v>
      </c>
      <c r="E23" s="2684">
        <f t="shared" si="51"/>
        <v>422.70928459677179</v>
      </c>
      <c r="F23" s="2684">
        <f t="shared" si="51"/>
        <v>229.73803270336617</v>
      </c>
      <c r="G23" s="3751"/>
      <c r="H23" s="2685">
        <v>1</v>
      </c>
      <c r="I23" s="2685">
        <v>2.97</v>
      </c>
      <c r="J23" s="2685">
        <v>2.34</v>
      </c>
      <c r="K23" s="2685">
        <v>3.28</v>
      </c>
      <c r="L23" s="2686">
        <v>1.36</v>
      </c>
      <c r="N23" s="2688">
        <f t="shared" si="47"/>
        <v>2.9700000000000001E-2</v>
      </c>
      <c r="O23" s="2689">
        <f t="shared" si="43"/>
        <v>2.3399999999999997E-2</v>
      </c>
      <c r="P23" s="2689">
        <f t="shared" si="43"/>
        <v>3.2799999999999996E-2</v>
      </c>
      <c r="Q23" s="2689">
        <f t="shared" si="43"/>
        <v>1.3600000000000001E-2</v>
      </c>
      <c r="R23" s="2690"/>
      <c r="S23" s="2691">
        <f>B23/B24-1</f>
        <v>2.7910129219355539E-2</v>
      </c>
      <c r="T23" s="2692">
        <f>C23/C24-1</f>
        <v>2.3037937762975247E-2</v>
      </c>
      <c r="U23" s="2692">
        <f>E23/E24-1</f>
        <v>3.3519033243940788E-2</v>
      </c>
      <c r="V23" s="2692">
        <f>F23/F24-1</f>
        <v>1.2061818076502862E-2</v>
      </c>
      <c r="W23" s="2759" t="s">
        <v>2640</v>
      </c>
      <c r="X23" s="2761">
        <v>1</v>
      </c>
      <c r="Y23" s="2761">
        <v>1</v>
      </c>
      <c r="Z23" s="2761">
        <v>1</v>
      </c>
      <c r="AA23" s="2761">
        <v>1</v>
      </c>
      <c r="AB23" s="2761">
        <v>1</v>
      </c>
      <c r="AD23" s="3005">
        <f>I23/100</f>
        <v>2.9700000000000001E-2</v>
      </c>
      <c r="AE23" s="3005">
        <f>J23/100</f>
        <v>2.3399999999999997E-2</v>
      </c>
      <c r="AF23" s="3005">
        <f>AE23</f>
        <v>2.3399999999999997E-2</v>
      </c>
      <c r="AG23" s="3005">
        <f>K23/100</f>
        <v>3.2799999999999996E-2</v>
      </c>
      <c r="AH23" s="3005">
        <f>L23/100</f>
        <v>1.3600000000000001E-2</v>
      </c>
    </row>
    <row r="24" spans="1:34" ht="13.5" thickBot="1">
      <c r="A24" s="2651" t="s">
        <v>2583</v>
      </c>
      <c r="B24" s="2657">
        <v>299</v>
      </c>
      <c r="C24" s="2657">
        <v>252</v>
      </c>
      <c r="D24" s="2657">
        <f t="shared" si="45"/>
        <v>252</v>
      </c>
      <c r="E24" s="2657">
        <v>409</v>
      </c>
      <c r="F24" s="2658">
        <v>227</v>
      </c>
      <c r="G24" s="3752">
        <v>2013</v>
      </c>
      <c r="H24" s="2693">
        <v>4</v>
      </c>
      <c r="I24" s="2693">
        <v>1.83</v>
      </c>
      <c r="J24" s="2693">
        <v>1.68</v>
      </c>
      <c r="K24" s="2693">
        <v>1.97</v>
      </c>
      <c r="L24" s="2694">
        <v>0.87</v>
      </c>
      <c r="N24" s="2673">
        <f t="shared" si="47"/>
        <v>1.83E-2</v>
      </c>
      <c r="O24" s="2674">
        <f t="shared" si="43"/>
        <v>1.6799999999999999E-2</v>
      </c>
      <c r="P24" s="2674">
        <f t="shared" si="43"/>
        <v>1.9699999999999999E-2</v>
      </c>
      <c r="Q24" s="2674">
        <f t="shared" si="43"/>
        <v>8.6999999999999994E-3</v>
      </c>
      <c r="R24" s="2662"/>
      <c r="S24" s="2663"/>
      <c r="T24" s="2664"/>
      <c r="U24" s="2664"/>
      <c r="V24" s="2664"/>
      <c r="X24" s="2664"/>
      <c r="Y24" s="2664"/>
      <c r="Z24" s="2664"/>
    </row>
    <row r="25" spans="1:34">
      <c r="A25" s="2651" t="s">
        <v>2584</v>
      </c>
      <c r="B25" s="2665">
        <f t="shared" ref="B25:C27" si="54">B24/(1+N24)</f>
        <v>293.62663262299913</v>
      </c>
      <c r="C25" s="2665">
        <f t="shared" si="54"/>
        <v>247.83634933123525</v>
      </c>
      <c r="D25" s="2665">
        <f t="shared" si="45"/>
        <v>247.83634933123525</v>
      </c>
      <c r="E25" s="2665">
        <f t="shared" ref="E25:F27" si="55">E24/(1+P24)</f>
        <v>401.09836226341076</v>
      </c>
      <c r="F25" s="2665">
        <f t="shared" si="55"/>
        <v>225.04213343908003</v>
      </c>
      <c r="G25" s="3753"/>
      <c r="H25" s="2676">
        <v>3</v>
      </c>
      <c r="I25" s="2676">
        <v>1.86</v>
      </c>
      <c r="J25" s="2676">
        <v>1.72</v>
      </c>
      <c r="K25" s="2676">
        <v>1.98</v>
      </c>
      <c r="L25" s="2677">
        <v>0.88</v>
      </c>
      <c r="N25" s="2660">
        <f t="shared" si="47"/>
        <v>1.8600000000000002E-2</v>
      </c>
      <c r="O25" s="2678">
        <f t="shared" si="43"/>
        <v>1.72E-2</v>
      </c>
      <c r="P25" s="2678">
        <f t="shared" si="43"/>
        <v>1.9799999999999998E-2</v>
      </c>
      <c r="Q25" s="2678">
        <f t="shared" si="43"/>
        <v>8.8000000000000005E-3</v>
      </c>
      <c r="R25" s="2662"/>
      <c r="S25" s="2660"/>
      <c r="T25" s="2661"/>
      <c r="U25" s="2661"/>
      <c r="V25" s="2661"/>
    </row>
    <row r="26" spans="1:34">
      <c r="A26" s="2651" t="s">
        <v>2585</v>
      </c>
      <c r="B26" s="2665">
        <f t="shared" si="54"/>
        <v>288.2649053828776</v>
      </c>
      <c r="C26" s="2665">
        <f t="shared" si="54"/>
        <v>243.64564425013293</v>
      </c>
      <c r="D26" s="2665">
        <f t="shared" si="45"/>
        <v>243.64564425013293</v>
      </c>
      <c r="E26" s="2665">
        <f t="shared" si="55"/>
        <v>393.31080825986544</v>
      </c>
      <c r="F26" s="2665">
        <f t="shared" si="55"/>
        <v>223.07903790551154</v>
      </c>
      <c r="G26" s="3753"/>
      <c r="H26" s="2656">
        <v>2</v>
      </c>
      <c r="I26" s="2656">
        <v>2.04</v>
      </c>
      <c r="J26" s="2656">
        <v>2.33</v>
      </c>
      <c r="K26" s="2656">
        <v>2.0699999999999998</v>
      </c>
      <c r="L26" s="2667">
        <v>0.69</v>
      </c>
      <c r="N26" s="2660">
        <f t="shared" si="47"/>
        <v>2.0400000000000001E-2</v>
      </c>
      <c r="O26" s="2678">
        <f t="shared" si="43"/>
        <v>2.3300000000000001E-2</v>
      </c>
      <c r="P26" s="2678">
        <f t="shared" si="43"/>
        <v>2.07E-2</v>
      </c>
      <c r="Q26" s="2678">
        <f t="shared" si="43"/>
        <v>6.8999999999999999E-3</v>
      </c>
      <c r="R26" s="2662"/>
      <c r="S26" s="2660"/>
      <c r="T26" s="2661"/>
      <c r="U26" s="2661"/>
      <c r="V26" s="2661"/>
      <c r="X26" s="2762"/>
      <c r="Y26" s="2764"/>
    </row>
    <row r="27" spans="1:34">
      <c r="A27" s="2651" t="s">
        <v>2586</v>
      </c>
      <c r="B27" s="2665">
        <f t="shared" si="54"/>
        <v>282.50186729015837</v>
      </c>
      <c r="C27" s="2665">
        <f t="shared" si="54"/>
        <v>238.09796174155468</v>
      </c>
      <c r="D27" s="2665">
        <f t="shared" si="45"/>
        <v>238.09796174155468</v>
      </c>
      <c r="E27" s="2665">
        <f t="shared" si="55"/>
        <v>385.33438646014054</v>
      </c>
      <c r="F27" s="2665">
        <f t="shared" si="55"/>
        <v>221.55034055567739</v>
      </c>
      <c r="G27" s="3754"/>
      <c r="H27" s="2655">
        <v>1</v>
      </c>
      <c r="I27" s="2655">
        <v>1.67</v>
      </c>
      <c r="J27" s="2655">
        <v>1.31</v>
      </c>
      <c r="K27" s="2655">
        <v>1.85</v>
      </c>
      <c r="L27" s="2666">
        <v>0.96</v>
      </c>
      <c r="N27" s="2668">
        <f t="shared" si="47"/>
        <v>1.67E-2</v>
      </c>
      <c r="O27" s="2669">
        <f t="shared" si="43"/>
        <v>1.3100000000000001E-2</v>
      </c>
      <c r="P27" s="2669">
        <f t="shared" si="43"/>
        <v>1.8500000000000003E-2</v>
      </c>
      <c r="Q27" s="2669">
        <f t="shared" si="43"/>
        <v>9.5999999999999992E-3</v>
      </c>
      <c r="R27" s="2662"/>
      <c r="S27" s="2668">
        <f>B27/B28-1</f>
        <v>1.6193767230785472E-2</v>
      </c>
      <c r="T27" s="2669">
        <f>C27/C28-1</f>
        <v>1.7512657015190891E-2</v>
      </c>
      <c r="U27" s="2669">
        <f>E27/E28-1</f>
        <v>1.6713420739157048E-2</v>
      </c>
      <c r="V27" s="2669">
        <f>F27/F28-1</f>
        <v>7.0470025258062563E-3</v>
      </c>
      <c r="X27" s="2763"/>
      <c r="Y27" s="2670"/>
      <c r="Z27" s="2670"/>
    </row>
    <row r="28" spans="1:34" ht="13.5" thickBot="1">
      <c r="A28" s="2651" t="s">
        <v>2587</v>
      </c>
      <c r="B28" s="2695">
        <v>278</v>
      </c>
      <c r="C28" s="2695">
        <v>234</v>
      </c>
      <c r="D28" s="2695">
        <f t="shared" si="45"/>
        <v>234</v>
      </c>
      <c r="E28" s="2695">
        <v>379</v>
      </c>
      <c r="F28" s="2696">
        <v>220</v>
      </c>
      <c r="G28" s="3749">
        <v>2012</v>
      </c>
      <c r="H28" s="2671">
        <v>4</v>
      </c>
      <c r="I28" s="2671">
        <v>0.91</v>
      </c>
      <c r="J28" s="2671">
        <v>0.68</v>
      </c>
      <c r="K28" s="2671">
        <v>0.98</v>
      </c>
      <c r="L28" s="2672">
        <v>0.9</v>
      </c>
      <c r="N28" s="2660">
        <f t="shared" si="47"/>
        <v>9.1000000000000004E-3</v>
      </c>
      <c r="O28" s="2661">
        <f t="shared" si="47"/>
        <v>6.8000000000000005E-3</v>
      </c>
      <c r="P28" s="2661">
        <f t="shared" si="47"/>
        <v>9.7999999999999997E-3</v>
      </c>
      <c r="Q28" s="2661">
        <f t="shared" si="47"/>
        <v>9.0000000000000011E-3</v>
      </c>
      <c r="R28" s="2662"/>
      <c r="S28" s="2663"/>
      <c r="T28" s="2664"/>
      <c r="U28" s="2664"/>
      <c r="V28" s="2664"/>
      <c r="X28" s="2664"/>
      <c r="Y28" s="2664"/>
      <c r="Z28" s="2664"/>
    </row>
    <row r="29" spans="1:34">
      <c r="A29" s="2651" t="s">
        <v>2588</v>
      </c>
      <c r="B29" s="2665">
        <f>B28/(1+N28)</f>
        <v>275.49301357645425</v>
      </c>
      <c r="C29" s="2665">
        <f>C28/(1+O28)</f>
        <v>232.41954707985698</v>
      </c>
      <c r="D29" s="2665">
        <f t="shared" si="45"/>
        <v>232.41954707985698</v>
      </c>
      <c r="E29" s="2665">
        <f t="shared" ref="E29:F31" si="56">E28/(1+P28)</f>
        <v>375.32184591008121</v>
      </c>
      <c r="F29" s="2665">
        <f t="shared" si="56"/>
        <v>218.03766105054513</v>
      </c>
      <c r="G29" s="3750"/>
      <c r="H29" s="2676">
        <v>3</v>
      </c>
      <c r="I29" s="2676">
        <v>0.09</v>
      </c>
      <c r="J29" s="2676">
        <v>0.28999999999999998</v>
      </c>
      <c r="K29" s="2676">
        <v>-0.01</v>
      </c>
      <c r="L29" s="2677">
        <v>0.57999999999999996</v>
      </c>
      <c r="N29" s="2660">
        <f t="shared" si="47"/>
        <v>8.9999999999999998E-4</v>
      </c>
      <c r="O29" s="2661">
        <f t="shared" si="47"/>
        <v>2.8999999999999998E-3</v>
      </c>
      <c r="P29" s="2661">
        <f t="shared" si="47"/>
        <v>-1E-4</v>
      </c>
      <c r="Q29" s="2661">
        <f t="shared" si="47"/>
        <v>5.7999999999999996E-3</v>
      </c>
      <c r="R29" s="2662"/>
      <c r="S29" s="2660"/>
      <c r="T29" s="2661"/>
      <c r="U29" s="2661"/>
      <c r="V29" s="2661"/>
    </row>
    <row r="30" spans="1:34">
      <c r="A30" s="2651" t="s">
        <v>2589</v>
      </c>
      <c r="B30" s="2665">
        <f>B29/(1+N29)</f>
        <v>275.24529281292263</v>
      </c>
      <c r="C30" s="2665">
        <f>C29/(1+O29)</f>
        <v>231.74747938962707</v>
      </c>
      <c r="D30" s="2665">
        <f t="shared" si="45"/>
        <v>231.74747938962707</v>
      </c>
      <c r="E30" s="2665">
        <f t="shared" si="56"/>
        <v>375.35938184826603</v>
      </c>
      <c r="F30" s="2665">
        <f t="shared" si="56"/>
        <v>216.78033510692495</v>
      </c>
      <c r="G30" s="3750"/>
      <c r="H30" s="2656">
        <v>2</v>
      </c>
      <c r="I30" s="2656">
        <v>0.02</v>
      </c>
      <c r="J30" s="2656">
        <v>0.12</v>
      </c>
      <c r="K30" s="2656">
        <v>-0.08</v>
      </c>
      <c r="L30" s="2667">
        <v>1.24</v>
      </c>
      <c r="N30" s="2660">
        <f t="shared" si="47"/>
        <v>2.0000000000000001E-4</v>
      </c>
      <c r="O30" s="2661">
        <f t="shared" si="47"/>
        <v>1.1999999999999999E-3</v>
      </c>
      <c r="P30" s="2661">
        <f t="shared" si="47"/>
        <v>-8.0000000000000004E-4</v>
      </c>
      <c r="Q30" s="2661">
        <f t="shared" si="47"/>
        <v>1.24E-2</v>
      </c>
      <c r="R30" s="2662"/>
      <c r="S30" s="2660"/>
      <c r="T30" s="2661"/>
      <c r="U30" s="2661"/>
      <c r="V30" s="2661"/>
    </row>
    <row r="31" spans="1:34" ht="13.5" thickBot="1">
      <c r="A31" s="2651" t="s">
        <v>2590</v>
      </c>
      <c r="B31" s="2665">
        <f>B30/(1+N30)</f>
        <v>275.19025476197027</v>
      </c>
      <c r="C31" s="2697">
        <v>232</v>
      </c>
      <c r="D31" s="2697">
        <f t="shared" si="45"/>
        <v>232</v>
      </c>
      <c r="E31" s="2665">
        <f t="shared" si="56"/>
        <v>375.65990977608692</v>
      </c>
      <c r="F31" s="2665">
        <f t="shared" si="56"/>
        <v>214.12518283971252</v>
      </c>
      <c r="G31" s="3751"/>
      <c r="H31" s="2655">
        <v>1</v>
      </c>
      <c r="I31" s="2655">
        <v>0.02</v>
      </c>
      <c r="J31" s="2655">
        <v>0.13</v>
      </c>
      <c r="K31" s="2655">
        <v>-0.04</v>
      </c>
      <c r="L31" s="2666">
        <v>0.46</v>
      </c>
      <c r="N31" s="2660">
        <f t="shared" si="47"/>
        <v>2.0000000000000001E-4</v>
      </c>
      <c r="O31" s="2661">
        <f t="shared" si="47"/>
        <v>1.2999999999999999E-3</v>
      </c>
      <c r="P31" s="2661">
        <f t="shared" si="47"/>
        <v>-4.0000000000000002E-4</v>
      </c>
      <c r="Q31" s="2661">
        <f t="shared" si="47"/>
        <v>4.5999999999999999E-3</v>
      </c>
      <c r="R31" s="2662"/>
      <c r="S31" s="2668">
        <f>B31/B32-1</f>
        <v>6.9183549807361189E-4</v>
      </c>
      <c r="T31" s="2669">
        <f>C31/C32-1</f>
        <v>0</v>
      </c>
      <c r="U31" s="2669">
        <f>E31/E32-1</f>
        <v>-9.0449527636460303E-4</v>
      </c>
      <c r="V31" s="2669">
        <f>F31/F32-1</f>
        <v>5.2825485432512753E-3</v>
      </c>
      <c r="X31" s="2670"/>
      <c r="Y31" s="2670"/>
      <c r="Z31" s="2670"/>
    </row>
    <row r="32" spans="1:34" ht="13.5" thickBot="1">
      <c r="A32" s="2651" t="s">
        <v>2591</v>
      </c>
      <c r="B32" s="2657">
        <v>275</v>
      </c>
      <c r="C32" s="2657">
        <v>232</v>
      </c>
      <c r="D32" s="2657">
        <f t="shared" si="45"/>
        <v>232</v>
      </c>
      <c r="E32" s="2657">
        <v>376</v>
      </c>
      <c r="F32" s="2658">
        <v>213</v>
      </c>
      <c r="G32" s="3749">
        <v>2011</v>
      </c>
      <c r="H32" s="2671">
        <v>4</v>
      </c>
      <c r="I32" s="2671">
        <v>-0.2</v>
      </c>
      <c r="J32" s="2671">
        <v>0.04</v>
      </c>
      <c r="K32" s="2671">
        <v>-0.34</v>
      </c>
      <c r="L32" s="2672">
        <v>0.46</v>
      </c>
      <c r="N32" s="2673">
        <f t="shared" si="47"/>
        <v>-2E-3</v>
      </c>
      <c r="O32" s="2674">
        <f t="shared" si="47"/>
        <v>4.0000000000000002E-4</v>
      </c>
      <c r="P32" s="2674">
        <f t="shared" si="47"/>
        <v>-3.4000000000000002E-3</v>
      </c>
      <c r="Q32" s="2674">
        <f t="shared" si="47"/>
        <v>4.5999999999999999E-3</v>
      </c>
      <c r="R32" s="2662"/>
      <c r="S32" s="2663"/>
      <c r="T32" s="2664"/>
      <c r="U32" s="2664"/>
      <c r="V32" s="2664"/>
      <c r="X32" s="2664"/>
      <c r="Y32" s="2664"/>
      <c r="Z32" s="2664"/>
    </row>
    <row r="33" spans="1:26">
      <c r="A33" s="2651" t="s">
        <v>2592</v>
      </c>
      <c r="B33" s="2665">
        <f t="shared" ref="B33:C35" si="57">B32/(1+N32)</f>
        <v>275.55110220440883</v>
      </c>
      <c r="C33" s="2665">
        <f t="shared" si="57"/>
        <v>231.90723710515795</v>
      </c>
      <c r="D33" s="2665">
        <f t="shared" si="45"/>
        <v>231.90723710515795</v>
      </c>
      <c r="E33" s="2665">
        <f t="shared" ref="E33:F35" si="58">E32/(1+P32)</f>
        <v>377.28276138872161</v>
      </c>
      <c r="F33" s="2665">
        <f t="shared" si="58"/>
        <v>212.02468644236512</v>
      </c>
      <c r="G33" s="3750">
        <v>2011</v>
      </c>
      <c r="H33" s="2676">
        <v>3</v>
      </c>
      <c r="I33" s="2676">
        <v>0.13</v>
      </c>
      <c r="J33" s="2676">
        <v>0.75</v>
      </c>
      <c r="K33" s="2676">
        <v>-0.08</v>
      </c>
      <c r="L33" s="2677">
        <v>0.53</v>
      </c>
      <c r="N33" s="2660">
        <f t="shared" si="47"/>
        <v>1.2999999999999999E-3</v>
      </c>
      <c r="O33" s="2678">
        <f t="shared" si="47"/>
        <v>7.4999999999999997E-3</v>
      </c>
      <c r="P33" s="2678">
        <f t="shared" si="47"/>
        <v>-8.0000000000000004E-4</v>
      </c>
      <c r="Q33" s="2678">
        <f t="shared" si="47"/>
        <v>5.3E-3</v>
      </c>
      <c r="R33" s="2662"/>
      <c r="S33" s="2660"/>
      <c r="T33" s="2661"/>
      <c r="U33" s="2661"/>
      <c r="V33" s="2661"/>
    </row>
    <row r="34" spans="1:26">
      <c r="A34" s="2651" t="s">
        <v>2593</v>
      </c>
      <c r="B34" s="2665">
        <f t="shared" si="57"/>
        <v>275.19335084830601</v>
      </c>
      <c r="C34" s="2665">
        <f t="shared" si="57"/>
        <v>230.18088050139744</v>
      </c>
      <c r="D34" s="2665">
        <f t="shared" si="45"/>
        <v>230.18088050139744</v>
      </c>
      <c r="E34" s="2665">
        <f t="shared" si="58"/>
        <v>377.58482925212331</v>
      </c>
      <c r="F34" s="2665">
        <f t="shared" si="58"/>
        <v>210.90687997847917</v>
      </c>
      <c r="G34" s="3750">
        <v>2011</v>
      </c>
      <c r="H34" s="2656">
        <v>2</v>
      </c>
      <c r="I34" s="2656">
        <v>-0.4</v>
      </c>
      <c r="J34" s="2656">
        <v>0.17</v>
      </c>
      <c r="K34" s="2656">
        <v>-0.57999999999999996</v>
      </c>
      <c r="L34" s="2667">
        <v>-0.2</v>
      </c>
      <c r="N34" s="2660">
        <f t="shared" si="47"/>
        <v>-4.0000000000000001E-3</v>
      </c>
      <c r="O34" s="2678">
        <f t="shared" si="47"/>
        <v>1.7000000000000001E-3</v>
      </c>
      <c r="P34" s="2678">
        <f t="shared" si="47"/>
        <v>-5.7999999999999996E-3</v>
      </c>
      <c r="Q34" s="2678">
        <f t="shared" si="47"/>
        <v>-2E-3</v>
      </c>
      <c r="R34" s="2662"/>
      <c r="S34" s="2660"/>
      <c r="T34" s="2661"/>
      <c r="U34" s="2661"/>
      <c r="V34" s="2661"/>
    </row>
    <row r="35" spans="1:26" ht="13.5" thickBot="1">
      <c r="A35" s="2651" t="s">
        <v>2594</v>
      </c>
      <c r="B35" s="2665">
        <f t="shared" si="57"/>
        <v>276.29854502841971</v>
      </c>
      <c r="C35" s="2665">
        <f t="shared" si="57"/>
        <v>229.79023709833027</v>
      </c>
      <c r="D35" s="2665">
        <f t="shared" si="45"/>
        <v>229.79023709833027</v>
      </c>
      <c r="E35" s="2665">
        <f t="shared" si="58"/>
        <v>379.78759731655936</v>
      </c>
      <c r="F35" s="2665">
        <f t="shared" si="58"/>
        <v>211.32953905659235</v>
      </c>
      <c r="G35" s="3751">
        <v>2011</v>
      </c>
      <c r="H35" s="2655">
        <v>1</v>
      </c>
      <c r="I35" s="2655">
        <v>2.65</v>
      </c>
      <c r="J35" s="2655">
        <v>3.76</v>
      </c>
      <c r="K35" s="2655">
        <v>1.89</v>
      </c>
      <c r="L35" s="2666">
        <v>7.95</v>
      </c>
      <c r="N35" s="2668">
        <f t="shared" si="47"/>
        <v>2.6499999999999999E-2</v>
      </c>
      <c r="O35" s="2669">
        <f t="shared" si="47"/>
        <v>3.7599999999999995E-2</v>
      </c>
      <c r="P35" s="2669">
        <f t="shared" si="47"/>
        <v>1.89E-2</v>
      </c>
      <c r="Q35" s="2669">
        <f t="shared" si="47"/>
        <v>7.9500000000000001E-2</v>
      </c>
      <c r="R35" s="2662"/>
      <c r="S35" s="2668">
        <f>B35/B36-1</f>
        <v>2.713213765211786E-2</v>
      </c>
      <c r="T35" s="2669">
        <f>C35/C36-1</f>
        <v>3.9774828499231862E-2</v>
      </c>
      <c r="U35" s="2669">
        <f>E35/E36-1</f>
        <v>1.8197311840641772E-2</v>
      </c>
      <c r="V35" s="2669">
        <f>F35/F36-1</f>
        <v>7.8211933962205826E-2</v>
      </c>
      <c r="X35" s="2670"/>
      <c r="Y35" s="2670"/>
      <c r="Z35" s="2670"/>
    </row>
    <row r="36" spans="1:26" ht="13.5" thickBot="1">
      <c r="A36" s="2651" t="s">
        <v>2595</v>
      </c>
      <c r="B36" s="2657">
        <v>269</v>
      </c>
      <c r="C36" s="2657">
        <v>221</v>
      </c>
      <c r="D36" s="2657">
        <f t="shared" si="45"/>
        <v>221</v>
      </c>
      <c r="E36" s="2657">
        <v>373</v>
      </c>
      <c r="F36" s="2658">
        <v>196</v>
      </c>
      <c r="G36" s="3749">
        <v>2010</v>
      </c>
      <c r="H36" s="2671">
        <v>4</v>
      </c>
      <c r="I36" s="2671">
        <v>5.72</v>
      </c>
      <c r="J36" s="2671">
        <v>6.57</v>
      </c>
      <c r="K36" s="2671">
        <v>5.72</v>
      </c>
      <c r="L36" s="2672">
        <v>2.72</v>
      </c>
      <c r="N36" s="2660">
        <f t="shared" si="47"/>
        <v>5.7200000000000001E-2</v>
      </c>
      <c r="O36" s="2661">
        <f t="shared" si="47"/>
        <v>6.5700000000000008E-2</v>
      </c>
      <c r="P36" s="2661">
        <f t="shared" si="47"/>
        <v>5.7200000000000001E-2</v>
      </c>
      <c r="Q36" s="2661">
        <f t="shared" si="47"/>
        <v>2.7200000000000002E-2</v>
      </c>
      <c r="R36" s="2662"/>
      <c r="S36" s="2663"/>
      <c r="T36" s="2664"/>
      <c r="U36" s="2664"/>
      <c r="V36" s="2664"/>
      <c r="X36" s="2664"/>
      <c r="Y36" s="2664"/>
      <c r="Z36" s="2664"/>
    </row>
    <row r="37" spans="1:26">
      <c r="A37" s="2651" t="s">
        <v>2596</v>
      </c>
      <c r="B37" s="2665">
        <f t="shared" ref="B37:C39" si="59">B36/(1+N36)</f>
        <v>254.44570563753314</v>
      </c>
      <c r="C37" s="2665">
        <f t="shared" si="59"/>
        <v>207.37543398705074</v>
      </c>
      <c r="D37" s="2665">
        <f t="shared" si="45"/>
        <v>207.37543398705074</v>
      </c>
      <c r="E37" s="2665">
        <f t="shared" ref="E37:F39" si="60">E36/(1+P36)</f>
        <v>352.81876655315932</v>
      </c>
      <c r="F37" s="2665">
        <f t="shared" si="60"/>
        <v>190.809968847352</v>
      </c>
      <c r="G37" s="3750">
        <v>2010</v>
      </c>
      <c r="H37" s="2676">
        <v>3</v>
      </c>
      <c r="I37" s="2676">
        <v>4.7300000000000004</v>
      </c>
      <c r="J37" s="2676">
        <v>3.9</v>
      </c>
      <c r="K37" s="2676">
        <v>5.03</v>
      </c>
      <c r="L37" s="2677">
        <v>4.21</v>
      </c>
      <c r="N37" s="2660">
        <f t="shared" si="47"/>
        <v>4.7300000000000002E-2</v>
      </c>
      <c r="O37" s="2661">
        <f t="shared" si="47"/>
        <v>3.9E-2</v>
      </c>
      <c r="P37" s="2661">
        <f t="shared" si="47"/>
        <v>5.0300000000000004E-2</v>
      </c>
      <c r="Q37" s="2661">
        <f t="shared" si="47"/>
        <v>4.2099999999999999E-2</v>
      </c>
      <c r="R37" s="2662"/>
      <c r="S37" s="2660"/>
      <c r="T37" s="2661"/>
      <c r="U37" s="2661"/>
      <c r="V37" s="2661"/>
    </row>
    <row r="38" spans="1:26">
      <c r="A38" s="2651" t="s">
        <v>2597</v>
      </c>
      <c r="B38" s="2665">
        <f t="shared" si="59"/>
        <v>242.95398227588385</v>
      </c>
      <c r="C38" s="2665">
        <f t="shared" si="59"/>
        <v>199.59137053614126</v>
      </c>
      <c r="D38" s="2665">
        <f t="shared" si="45"/>
        <v>199.59137053614126</v>
      </c>
      <c r="E38" s="2665">
        <f t="shared" si="60"/>
        <v>335.92189522342125</v>
      </c>
      <c r="F38" s="2665">
        <f t="shared" si="60"/>
        <v>183.10139991109489</v>
      </c>
      <c r="G38" s="3750">
        <v>2010</v>
      </c>
      <c r="H38" s="2656">
        <v>2</v>
      </c>
      <c r="I38" s="2656">
        <v>4.6900000000000004</v>
      </c>
      <c r="J38" s="2656">
        <v>3.55</v>
      </c>
      <c r="K38" s="2656">
        <v>5.07</v>
      </c>
      <c r="L38" s="2667">
        <v>4.2300000000000004</v>
      </c>
      <c r="N38" s="2660">
        <f t="shared" si="47"/>
        <v>4.6900000000000004E-2</v>
      </c>
      <c r="O38" s="2661">
        <f t="shared" si="47"/>
        <v>3.5499999999999997E-2</v>
      </c>
      <c r="P38" s="2661">
        <f t="shared" si="47"/>
        <v>5.0700000000000002E-2</v>
      </c>
      <c r="Q38" s="2661">
        <f t="shared" si="47"/>
        <v>4.2300000000000004E-2</v>
      </c>
      <c r="R38" s="2662"/>
      <c r="S38" s="2660"/>
      <c r="T38" s="2661"/>
      <c r="U38" s="2661"/>
      <c r="V38" s="2661"/>
    </row>
    <row r="39" spans="1:26" ht="13.5" thickBot="1">
      <c r="A39" s="2651" t="s">
        <v>2598</v>
      </c>
      <c r="B39" s="2665">
        <f t="shared" si="59"/>
        <v>232.06990378821649</v>
      </c>
      <c r="C39" s="2665">
        <f t="shared" si="59"/>
        <v>192.74878854286936</v>
      </c>
      <c r="D39" s="2665">
        <f t="shared" si="45"/>
        <v>192.74878854286936</v>
      </c>
      <c r="E39" s="2665">
        <f t="shared" si="60"/>
        <v>319.71247284992984</v>
      </c>
      <c r="F39" s="2665">
        <f t="shared" si="60"/>
        <v>175.67053622862409</v>
      </c>
      <c r="G39" s="3751">
        <v>2010</v>
      </c>
      <c r="H39" s="2655">
        <v>1</v>
      </c>
      <c r="I39" s="2655">
        <v>5.4</v>
      </c>
      <c r="J39" s="2655">
        <v>3.2</v>
      </c>
      <c r="K39" s="2655">
        <v>6.16</v>
      </c>
      <c r="L39" s="2666">
        <v>4.51</v>
      </c>
      <c r="N39" s="2660">
        <f t="shared" si="47"/>
        <v>5.4000000000000006E-2</v>
      </c>
      <c r="O39" s="2661">
        <f t="shared" si="47"/>
        <v>3.2000000000000001E-2</v>
      </c>
      <c r="P39" s="2661">
        <f t="shared" si="47"/>
        <v>6.1600000000000002E-2</v>
      </c>
      <c r="Q39" s="2661">
        <f t="shared" si="47"/>
        <v>4.5100000000000001E-2</v>
      </c>
      <c r="R39" s="2662"/>
      <c r="S39" s="2668">
        <f>B39/B40-1</f>
        <v>5.4863199037347599E-2</v>
      </c>
      <c r="T39" s="2669">
        <f>C39/C40-1</f>
        <v>3.0742184721226584E-2</v>
      </c>
      <c r="U39" s="2669">
        <f>E39/E40-1</f>
        <v>6.2167683886810154E-2</v>
      </c>
      <c r="V39" s="2669">
        <f>F39/F40-1</f>
        <v>4.5657953741810031E-2</v>
      </c>
      <c r="X39" s="2670"/>
      <c r="Y39" s="2670"/>
      <c r="Z39" s="2670"/>
    </row>
    <row r="40" spans="1:26" ht="13.5" thickBot="1">
      <c r="A40" s="2651" t="s">
        <v>2599</v>
      </c>
      <c r="B40" s="2657">
        <v>220</v>
      </c>
      <c r="C40" s="2657">
        <v>187</v>
      </c>
      <c r="D40" s="2657">
        <f t="shared" si="45"/>
        <v>187</v>
      </c>
      <c r="E40" s="2657">
        <v>301</v>
      </c>
      <c r="F40" s="2658">
        <v>168</v>
      </c>
      <c r="G40" s="3749">
        <v>2009</v>
      </c>
      <c r="H40" s="2671">
        <v>4</v>
      </c>
      <c r="I40" s="2671">
        <v>2.2999999999999998</v>
      </c>
      <c r="J40" s="2671">
        <v>1.04</v>
      </c>
      <c r="K40" s="2671">
        <v>2.84</v>
      </c>
      <c r="L40" s="2672">
        <v>0.67</v>
      </c>
      <c r="N40" s="2673">
        <f t="shared" si="47"/>
        <v>2.3E-2</v>
      </c>
      <c r="O40" s="2674">
        <f t="shared" si="47"/>
        <v>1.04E-2</v>
      </c>
      <c r="P40" s="2674">
        <f t="shared" si="47"/>
        <v>2.8399999999999998E-2</v>
      </c>
      <c r="Q40" s="2674">
        <f t="shared" si="47"/>
        <v>6.7000000000000002E-3</v>
      </c>
      <c r="R40" s="2662"/>
      <c r="S40" s="2663"/>
      <c r="T40" s="2664"/>
      <c r="U40" s="2664"/>
      <c r="V40" s="2664"/>
      <c r="X40" s="2664"/>
      <c r="Y40" s="2664"/>
      <c r="Z40" s="2664"/>
    </row>
    <row r="41" spans="1:26">
      <c r="A41" s="2651" t="s">
        <v>2600</v>
      </c>
      <c r="B41" s="2665">
        <f t="shared" ref="B41:C43" si="61">B40/(1+N40)</f>
        <v>215.05376344086022</v>
      </c>
      <c r="C41" s="2665">
        <f t="shared" si="61"/>
        <v>185.0752177355503</v>
      </c>
      <c r="D41" s="2665">
        <f t="shared" si="45"/>
        <v>185.0752177355503</v>
      </c>
      <c r="E41" s="2665">
        <f t="shared" ref="E41:F43" si="62">E40/(1+P40)</f>
        <v>292.68767016725008</v>
      </c>
      <c r="F41" s="2665">
        <f t="shared" si="62"/>
        <v>166.88189132810174</v>
      </c>
      <c r="G41" s="3750">
        <v>2009</v>
      </c>
      <c r="H41" s="2676">
        <v>3</v>
      </c>
      <c r="I41" s="2676">
        <v>2.1</v>
      </c>
      <c r="J41" s="2676">
        <v>1.86</v>
      </c>
      <c r="K41" s="2676">
        <v>2.29</v>
      </c>
      <c r="L41" s="2677">
        <v>0.85</v>
      </c>
      <c r="N41" s="2660">
        <f t="shared" si="47"/>
        <v>2.1000000000000001E-2</v>
      </c>
      <c r="O41" s="2678">
        <f t="shared" si="47"/>
        <v>1.8600000000000002E-2</v>
      </c>
      <c r="P41" s="2678">
        <f t="shared" si="47"/>
        <v>2.29E-2</v>
      </c>
      <c r="Q41" s="2678">
        <f t="shared" si="47"/>
        <v>8.5000000000000006E-3</v>
      </c>
      <c r="R41" s="2662"/>
      <c r="S41" s="2660"/>
      <c r="T41" s="2661"/>
      <c r="U41" s="2661"/>
      <c r="V41" s="2661"/>
    </row>
    <row r="42" spans="1:26">
      <c r="A42" s="2651" t="s">
        <v>2601</v>
      </c>
      <c r="B42" s="2665">
        <f t="shared" si="61"/>
        <v>210.630522469011</v>
      </c>
      <c r="C42" s="2665">
        <f t="shared" si="61"/>
        <v>181.69567812247232</v>
      </c>
      <c r="D42" s="2665">
        <f t="shared" si="45"/>
        <v>181.69567812247232</v>
      </c>
      <c r="E42" s="2665">
        <f t="shared" si="62"/>
        <v>286.13517466736738</v>
      </c>
      <c r="F42" s="2665">
        <f t="shared" si="62"/>
        <v>165.47535084591149</v>
      </c>
      <c r="G42" s="3750">
        <v>2009</v>
      </c>
      <c r="H42" s="2656">
        <v>2</v>
      </c>
      <c r="I42" s="2656">
        <v>0.86</v>
      </c>
      <c r="J42" s="2656">
        <v>-1.1299999999999999</v>
      </c>
      <c r="K42" s="2656">
        <v>1.79</v>
      </c>
      <c r="L42" s="2667">
        <v>-2.0699999999999998</v>
      </c>
      <c r="N42" s="2660">
        <f t="shared" si="47"/>
        <v>8.6E-3</v>
      </c>
      <c r="O42" s="2678">
        <f t="shared" si="47"/>
        <v>-1.1299999999999999E-2</v>
      </c>
      <c r="P42" s="2678">
        <f t="shared" si="47"/>
        <v>1.7899999999999999E-2</v>
      </c>
      <c r="Q42" s="2678">
        <f t="shared" si="47"/>
        <v>-2.07E-2</v>
      </c>
      <c r="R42" s="2662"/>
      <c r="S42" s="2660"/>
      <c r="T42" s="2661"/>
      <c r="U42" s="2661"/>
      <c r="V42" s="2661"/>
    </row>
    <row r="43" spans="1:26">
      <c r="A43" s="2651" t="s">
        <v>2602</v>
      </c>
      <c r="B43" s="2665">
        <f t="shared" si="61"/>
        <v>208.83454537875372</v>
      </c>
      <c r="C43" s="2665">
        <f t="shared" si="61"/>
        <v>183.77230517090351</v>
      </c>
      <c r="D43" s="2665">
        <f t="shared" si="45"/>
        <v>183.77230517090351</v>
      </c>
      <c r="E43" s="2665">
        <f t="shared" si="62"/>
        <v>281.10342338870947</v>
      </c>
      <c r="F43" s="2665">
        <f t="shared" si="62"/>
        <v>168.97309388942256</v>
      </c>
      <c r="G43" s="3751">
        <v>2009</v>
      </c>
      <c r="H43" s="2655">
        <v>1</v>
      </c>
      <c r="I43" s="2655">
        <v>-2.64</v>
      </c>
      <c r="J43" s="2655">
        <v>-2.5299999999999998</v>
      </c>
      <c r="K43" s="2655">
        <v>-3.02</v>
      </c>
      <c r="L43" s="2666">
        <v>1.52</v>
      </c>
      <c r="N43" s="2668">
        <f t="shared" si="47"/>
        <v>-2.64E-2</v>
      </c>
      <c r="O43" s="2669">
        <f t="shared" si="47"/>
        <v>-2.53E-2</v>
      </c>
      <c r="P43" s="2669">
        <f t="shared" si="47"/>
        <v>-3.0200000000000001E-2</v>
      </c>
      <c r="Q43" s="2669">
        <f t="shared" si="47"/>
        <v>1.52E-2</v>
      </c>
      <c r="R43" s="2662"/>
      <c r="S43" s="2668">
        <f>B43/B44-1</f>
        <v>-2.4137638417038754E-2</v>
      </c>
      <c r="T43" s="2669">
        <f>C43/C44-1</f>
        <v>-2.248773845264096E-2</v>
      </c>
      <c r="U43" s="2669">
        <f>E43/E44-1</f>
        <v>-2.7323794502735366E-2</v>
      </c>
      <c r="V43" s="2669">
        <f>F43/F44-1</f>
        <v>1.7910204153148035E-2</v>
      </c>
      <c r="X43" s="2670"/>
      <c r="Y43" s="2670"/>
      <c r="Z43" s="2670"/>
    </row>
    <row r="44" spans="1:26" ht="13.5" thickBot="1">
      <c r="A44" s="2651" t="s">
        <v>2603</v>
      </c>
      <c r="B44" s="2695">
        <v>214</v>
      </c>
      <c r="C44" s="2695">
        <v>188</v>
      </c>
      <c r="D44" s="2695">
        <f t="shared" si="45"/>
        <v>188</v>
      </c>
      <c r="E44" s="2695">
        <v>289</v>
      </c>
      <c r="F44" s="2696">
        <v>166</v>
      </c>
      <c r="G44" s="3749">
        <v>2008</v>
      </c>
      <c r="H44" s="2671">
        <v>4</v>
      </c>
      <c r="I44" s="2671">
        <v>1.73</v>
      </c>
      <c r="J44" s="2671">
        <v>0.03</v>
      </c>
      <c r="K44" s="2671">
        <v>2.59</v>
      </c>
      <c r="L44" s="2672">
        <v>-1.66</v>
      </c>
      <c r="N44" s="2660">
        <f t="shared" si="47"/>
        <v>1.7299999999999999E-2</v>
      </c>
      <c r="O44" s="2661">
        <f t="shared" si="47"/>
        <v>2.9999999999999997E-4</v>
      </c>
      <c r="P44" s="2661">
        <f t="shared" si="47"/>
        <v>2.5899999999999999E-2</v>
      </c>
      <c r="Q44" s="2661">
        <f t="shared" si="47"/>
        <v>-1.66E-2</v>
      </c>
      <c r="R44" s="2662"/>
      <c r="S44" s="2663"/>
      <c r="T44" s="2664"/>
      <c r="U44" s="2664"/>
      <c r="V44" s="2664"/>
      <c r="X44" s="2664"/>
      <c r="Y44" s="2664"/>
      <c r="Z44" s="2664"/>
    </row>
    <row r="45" spans="1:26">
      <c r="A45" s="2651" t="s">
        <v>2604</v>
      </c>
      <c r="B45" s="2665">
        <f t="shared" ref="B45:C47" si="63">B44/(1+N44)</f>
        <v>210.36075887152265</v>
      </c>
      <c r="C45" s="2665">
        <f t="shared" si="63"/>
        <v>187.94361691492554</v>
      </c>
      <c r="D45" s="2665">
        <f t="shared" si="45"/>
        <v>187.94361691492554</v>
      </c>
      <c r="E45" s="2665">
        <f t="shared" ref="E45:F47" si="64">E44/(1+P44)</f>
        <v>281.70386977288234</v>
      </c>
      <c r="F45" s="2665">
        <f t="shared" si="64"/>
        <v>168.80211511083994</v>
      </c>
      <c r="G45" s="3750">
        <v>2008</v>
      </c>
      <c r="H45" s="2676">
        <v>3</v>
      </c>
      <c r="I45" s="2676">
        <v>1.96</v>
      </c>
      <c r="J45" s="2676">
        <v>2.36</v>
      </c>
      <c r="K45" s="2676">
        <v>1.82</v>
      </c>
      <c r="L45" s="2677">
        <v>2.2200000000000002</v>
      </c>
      <c r="N45" s="2660">
        <f t="shared" si="47"/>
        <v>1.9599999999999999E-2</v>
      </c>
      <c r="O45" s="2661">
        <f t="shared" si="47"/>
        <v>2.3599999999999999E-2</v>
      </c>
      <c r="P45" s="2661">
        <f t="shared" si="47"/>
        <v>1.8200000000000001E-2</v>
      </c>
      <c r="Q45" s="2661">
        <f t="shared" si="47"/>
        <v>2.2200000000000001E-2</v>
      </c>
      <c r="R45" s="2662"/>
      <c r="S45" s="2660"/>
      <c r="T45" s="2661"/>
      <c r="U45" s="2661"/>
      <c r="V45" s="2661"/>
    </row>
    <row r="46" spans="1:26">
      <c r="A46" s="2651" t="s">
        <v>2605</v>
      </c>
      <c r="B46" s="2665">
        <f t="shared" si="63"/>
        <v>206.31694671589116</v>
      </c>
      <c r="C46" s="2665">
        <f t="shared" si="63"/>
        <v>183.61041121036101</v>
      </c>
      <c r="D46" s="2665">
        <f t="shared" si="45"/>
        <v>183.61041121036101</v>
      </c>
      <c r="E46" s="2665">
        <f t="shared" si="64"/>
        <v>276.66850301795557</v>
      </c>
      <c r="F46" s="2665">
        <f t="shared" si="64"/>
        <v>165.1360938278614</v>
      </c>
      <c r="G46" s="3750">
        <v>2008</v>
      </c>
      <c r="H46" s="2656">
        <v>2</v>
      </c>
      <c r="I46" s="2656">
        <v>4.93</v>
      </c>
      <c r="J46" s="2656">
        <v>7.38</v>
      </c>
      <c r="K46" s="2656">
        <v>3.98</v>
      </c>
      <c r="L46" s="2667">
        <v>6.86</v>
      </c>
      <c r="N46" s="2660">
        <f t="shared" si="47"/>
        <v>4.9299999999999997E-2</v>
      </c>
      <c r="O46" s="2661">
        <f t="shared" si="47"/>
        <v>7.3800000000000004E-2</v>
      </c>
      <c r="P46" s="2661">
        <f t="shared" si="47"/>
        <v>3.9800000000000002E-2</v>
      </c>
      <c r="Q46" s="2661">
        <f t="shared" si="47"/>
        <v>6.8600000000000008E-2</v>
      </c>
      <c r="R46" s="2662"/>
      <c r="S46" s="2660"/>
      <c r="T46" s="2661"/>
      <c r="U46" s="2661"/>
      <c r="V46" s="2661"/>
    </row>
    <row r="47" spans="1:26" s="2701" customFormat="1" ht="13.5" thickBot="1">
      <c r="A47" s="2651" t="s">
        <v>2606</v>
      </c>
      <c r="B47" s="2698">
        <f t="shared" si="63"/>
        <v>196.62341248059772</v>
      </c>
      <c r="C47" s="2698">
        <f t="shared" si="63"/>
        <v>170.99125648199012</v>
      </c>
      <c r="D47" s="2698">
        <f t="shared" si="45"/>
        <v>170.99125648199012</v>
      </c>
      <c r="E47" s="2698">
        <f t="shared" si="64"/>
        <v>266.07857570490052</v>
      </c>
      <c r="F47" s="2698">
        <f t="shared" si="64"/>
        <v>154.53499328828505</v>
      </c>
      <c r="G47" s="3751">
        <v>2008</v>
      </c>
      <c r="H47" s="2699">
        <v>1</v>
      </c>
      <c r="I47" s="2699">
        <v>4.1399999999999997</v>
      </c>
      <c r="J47" s="2699">
        <v>3.45</v>
      </c>
      <c r="K47" s="2699">
        <v>4.95</v>
      </c>
      <c r="L47" s="2700">
        <v>4.82</v>
      </c>
      <c r="N47" s="2702">
        <f t="shared" si="47"/>
        <v>4.1399999999999999E-2</v>
      </c>
      <c r="O47" s="2703">
        <f t="shared" si="47"/>
        <v>3.4500000000000003E-2</v>
      </c>
      <c r="P47" s="2703">
        <f t="shared" si="47"/>
        <v>4.9500000000000002E-2</v>
      </c>
      <c r="Q47" s="2703">
        <f t="shared" si="47"/>
        <v>4.82E-2</v>
      </c>
      <c r="R47" s="2704"/>
      <c r="S47" s="2702">
        <f>B47/B48-1</f>
        <v>4.5869215322328349E-2</v>
      </c>
      <c r="T47" s="2703">
        <f>C47/C48-1</f>
        <v>3.6310645345394743E-2</v>
      </c>
      <c r="U47" s="2703">
        <f>E47/E48-1</f>
        <v>4.7553447657088688E-2</v>
      </c>
      <c r="V47" s="2703">
        <f>F47/F48-1</f>
        <v>4.4155360055980086E-2</v>
      </c>
      <c r="X47" s="2705"/>
      <c r="Y47" s="2705"/>
      <c r="Z47" s="2705"/>
    </row>
    <row r="48" spans="1:26" ht="13.5" thickBot="1">
      <c r="A48" s="2651" t="s">
        <v>2607</v>
      </c>
      <c r="B48" s="2657">
        <v>188</v>
      </c>
      <c r="C48" s="2657">
        <v>165</v>
      </c>
      <c r="D48" s="2657">
        <f t="shared" si="45"/>
        <v>165</v>
      </c>
      <c r="E48" s="2657">
        <v>254</v>
      </c>
      <c r="F48" s="2658">
        <v>148</v>
      </c>
      <c r="G48" s="3749">
        <v>2007</v>
      </c>
      <c r="H48" s="2706">
        <v>4</v>
      </c>
      <c r="I48" s="2706">
        <v>5.51</v>
      </c>
      <c r="J48" s="2706">
        <v>4.8899999999999997</v>
      </c>
      <c r="K48" s="2706">
        <v>6.43</v>
      </c>
      <c r="L48" s="2707">
        <v>5.36</v>
      </c>
      <c r="N48" s="2708">
        <f t="shared" ref="N48:O51" si="65">B48/B49-1</f>
        <v>4.1339718365245526E-2</v>
      </c>
      <c r="O48" s="2709">
        <f t="shared" si="65"/>
        <v>4.0324492593776018E-2</v>
      </c>
      <c r="P48" s="2709">
        <f t="shared" ref="P48:Q51" si="66">E48/E49-1</f>
        <v>6.1625555347990968E-2</v>
      </c>
      <c r="Q48" s="2709">
        <f t="shared" si="66"/>
        <v>4.6757569250590603E-2</v>
      </c>
      <c r="R48" s="2662"/>
      <c r="S48" s="2663"/>
      <c r="T48" s="2664"/>
      <c r="U48" s="2664"/>
      <c r="V48" s="2664"/>
      <c r="X48" s="2664"/>
      <c r="Y48" s="2664"/>
      <c r="Z48" s="2664"/>
    </row>
    <row r="49" spans="1:26">
      <c r="A49" s="2651" t="s">
        <v>2608</v>
      </c>
      <c r="B49" s="2665">
        <f t="shared" ref="B49:C51" si="67">B50+(B$48-B$52)*I49/SUM(I$48:I$51)</f>
        <v>180.5366651097618</v>
      </c>
      <c r="C49" s="2665">
        <f t="shared" si="67"/>
        <v>158.60435967302453</v>
      </c>
      <c r="D49" s="2665">
        <f t="shared" si="45"/>
        <v>158.60435967302453</v>
      </c>
      <c r="E49" s="2665">
        <f t="shared" ref="E49:F51" si="68">E50+(E$48-E$52)*K49/SUM(K$48:K$51)</f>
        <v>239.25573260785075</v>
      </c>
      <c r="F49" s="2665">
        <f t="shared" si="68"/>
        <v>141.38899430740037</v>
      </c>
      <c r="G49" s="3750">
        <v>2007</v>
      </c>
      <c r="H49" s="2676">
        <v>3</v>
      </c>
      <c r="I49" s="2676">
        <v>8.65</v>
      </c>
      <c r="J49" s="2676">
        <v>8.06</v>
      </c>
      <c r="K49" s="2676">
        <v>9.94</v>
      </c>
      <c r="L49" s="2677">
        <v>5.8</v>
      </c>
      <c r="N49" s="2708">
        <f t="shared" si="65"/>
        <v>6.940217571740015E-2</v>
      </c>
      <c r="O49" s="2709">
        <f t="shared" si="65"/>
        <v>7.1197482471153428E-2</v>
      </c>
      <c r="P49" s="2709">
        <f t="shared" si="66"/>
        <v>0.10529679922579582</v>
      </c>
      <c r="Q49" s="2709">
        <f t="shared" si="66"/>
        <v>5.3292245059512133E-2</v>
      </c>
      <c r="R49" s="2662"/>
      <c r="S49" s="2660"/>
      <c r="T49" s="2661"/>
      <c r="U49" s="2661"/>
      <c r="V49" s="2661"/>
      <c r="X49" s="2710"/>
      <c r="Y49" s="2710"/>
      <c r="Z49" s="2710"/>
    </row>
    <row r="50" spans="1:26">
      <c r="A50" s="2651" t="s">
        <v>2609</v>
      </c>
      <c r="B50" s="2665">
        <f t="shared" si="67"/>
        <v>168.82017748715555</v>
      </c>
      <c r="C50" s="2665">
        <f t="shared" si="67"/>
        <v>148.06267029972753</v>
      </c>
      <c r="D50" s="2665">
        <f t="shared" si="45"/>
        <v>148.06267029972753</v>
      </c>
      <c r="E50" s="2665">
        <f t="shared" si="68"/>
        <v>216.46288379323747</v>
      </c>
      <c r="F50" s="2665">
        <f t="shared" si="68"/>
        <v>134.23529411764704</v>
      </c>
      <c r="G50" s="3750">
        <v>2007</v>
      </c>
      <c r="H50" s="2656">
        <v>2</v>
      </c>
      <c r="I50" s="2656">
        <v>3.67</v>
      </c>
      <c r="J50" s="2656">
        <v>2.3199999999999998</v>
      </c>
      <c r="K50" s="2656">
        <v>5.0199999999999996</v>
      </c>
      <c r="L50" s="2667">
        <v>6.71</v>
      </c>
      <c r="N50" s="2708">
        <f t="shared" si="65"/>
        <v>3.0339138143848032E-2</v>
      </c>
      <c r="O50" s="2709">
        <f t="shared" si="65"/>
        <v>2.0922341588790472E-2</v>
      </c>
      <c r="P50" s="2709">
        <f t="shared" si="66"/>
        <v>5.6164796592717003E-2</v>
      </c>
      <c r="Q50" s="2709">
        <f t="shared" si="66"/>
        <v>6.5704536723887319E-2</v>
      </c>
      <c r="R50" s="2662"/>
      <c r="S50" s="2660"/>
      <c r="T50" s="2661"/>
      <c r="U50" s="2661"/>
      <c r="V50" s="2661"/>
      <c r="X50" s="2710"/>
      <c r="Y50" s="2710"/>
      <c r="Z50" s="2710"/>
    </row>
    <row r="51" spans="1:26">
      <c r="A51" s="2651" t="s">
        <v>2610</v>
      </c>
      <c r="B51" s="2665">
        <f t="shared" si="67"/>
        <v>163.84913591779542</v>
      </c>
      <c r="C51" s="2665">
        <f t="shared" si="67"/>
        <v>145.0283378746594</v>
      </c>
      <c r="D51" s="2665">
        <f t="shared" si="45"/>
        <v>145.0283378746594</v>
      </c>
      <c r="E51" s="2665">
        <f t="shared" si="68"/>
        <v>204.95180722891567</v>
      </c>
      <c r="F51" s="2665">
        <f t="shared" si="68"/>
        <v>125.95920303605313</v>
      </c>
      <c r="G51" s="3751">
        <v>2007</v>
      </c>
      <c r="H51" s="2655">
        <v>1</v>
      </c>
      <c r="I51" s="2655">
        <v>3.58</v>
      </c>
      <c r="J51" s="2655">
        <v>3.08</v>
      </c>
      <c r="K51" s="2655">
        <v>4.34</v>
      </c>
      <c r="L51" s="2666">
        <v>3.21</v>
      </c>
      <c r="N51" s="2711">
        <f t="shared" si="65"/>
        <v>3.0497710174814063E-2</v>
      </c>
      <c r="O51" s="2712">
        <f t="shared" si="65"/>
        <v>2.8569772160704998E-2</v>
      </c>
      <c r="P51" s="2712">
        <f t="shared" si="66"/>
        <v>5.1034908866234296E-2</v>
      </c>
      <c r="Q51" s="2712">
        <f t="shared" si="66"/>
        <v>3.245248390207478E-2</v>
      </c>
      <c r="R51" s="2662"/>
      <c r="S51" s="2668">
        <f>B51/B52-1</f>
        <v>3.0497710174814063E-2</v>
      </c>
      <c r="T51" s="2669">
        <f>C51/C52-1</f>
        <v>2.8569772160704998E-2</v>
      </c>
      <c r="U51" s="2669">
        <f>E51/E52-1</f>
        <v>5.1034908866234296E-2</v>
      </c>
      <c r="V51" s="2669">
        <f>F51/F52-1</f>
        <v>3.245248390207478E-2</v>
      </c>
      <c r="X51" s="2710"/>
      <c r="Y51" s="2710"/>
      <c r="Z51" s="2710"/>
    </row>
    <row r="52" spans="1:26" ht="13.5" thickBot="1">
      <c r="A52" s="2651" t="s">
        <v>2611</v>
      </c>
      <c r="B52" s="2679">
        <v>159</v>
      </c>
      <c r="C52" s="2679">
        <v>141</v>
      </c>
      <c r="D52" s="2679">
        <f t="shared" si="45"/>
        <v>141</v>
      </c>
      <c r="E52" s="2679">
        <v>195</v>
      </c>
      <c r="F52" s="2680">
        <v>122</v>
      </c>
      <c r="G52" s="3749">
        <v>2006</v>
      </c>
      <c r="H52" s="2671">
        <v>4</v>
      </c>
      <c r="I52" s="2671">
        <v>3.79</v>
      </c>
      <c r="J52" s="2671">
        <v>2.21</v>
      </c>
      <c r="K52" s="2671">
        <v>5.65</v>
      </c>
      <c r="L52" s="2672">
        <v>5.41</v>
      </c>
      <c r="N52" s="2708">
        <f t="shared" ref="N52:O55" si="69">I52/SUM(I$52:I$55)*(B$52/B$56-1)</f>
        <v>7.245466462748526E-2</v>
      </c>
      <c r="O52" s="2709">
        <f t="shared" si="69"/>
        <v>2.3237230038062766E-2</v>
      </c>
      <c r="P52" s="2709">
        <f t="shared" ref="P52:Q55" si="70">K52/SUM(K$52:K$55)*(E$52/E$56-1)</f>
        <v>0.16146893866323722</v>
      </c>
      <c r="Q52" s="2709">
        <f t="shared" si="70"/>
        <v>5.0755230321793784E-2</v>
      </c>
      <c r="R52" s="2662"/>
      <c r="S52" s="2663"/>
      <c r="T52" s="2664"/>
      <c r="U52" s="2664"/>
      <c r="V52" s="2664"/>
      <c r="X52" s="2710"/>
      <c r="Y52" s="2710"/>
      <c r="Z52" s="2710"/>
    </row>
    <row r="53" spans="1:26">
      <c r="A53" s="2651" t="s">
        <v>2612</v>
      </c>
      <c r="B53" s="2665">
        <f t="shared" ref="B53:C55" si="71">B54+(B$52-B$56)*I53/SUM(I$52:I$55)</f>
        <v>149.00125628140702</v>
      </c>
      <c r="C53" s="2665">
        <f t="shared" si="71"/>
        <v>137.95592286501378</v>
      </c>
      <c r="D53" s="2665">
        <f t="shared" si="45"/>
        <v>137.95592286501378</v>
      </c>
      <c r="E53" s="2665">
        <f t="shared" ref="E53:F55" si="72">E54+(E$52-E$56)*K53/SUM(K$52:K$55)</f>
        <v>169.97231450719823</v>
      </c>
      <c r="F53" s="2665">
        <f t="shared" si="72"/>
        <v>116.21390374331551</v>
      </c>
      <c r="G53" s="3750">
        <v>2006</v>
      </c>
      <c r="H53" s="2676">
        <v>3</v>
      </c>
      <c r="I53" s="2676">
        <v>0.92</v>
      </c>
      <c r="J53" s="2676">
        <v>1.08</v>
      </c>
      <c r="K53" s="2676">
        <v>0.73</v>
      </c>
      <c r="L53" s="2677">
        <v>1.08</v>
      </c>
      <c r="N53" s="2708">
        <f t="shared" si="69"/>
        <v>1.7587939698492462E-2</v>
      </c>
      <c r="O53" s="2709">
        <f t="shared" si="69"/>
        <v>1.1355750425840628E-2</v>
      </c>
      <c r="P53" s="2709">
        <f t="shared" si="70"/>
        <v>2.0862358446754544E-2</v>
      </c>
      <c r="Q53" s="2709">
        <f t="shared" si="70"/>
        <v>1.0132282578103011E-2</v>
      </c>
      <c r="R53" s="2662"/>
      <c r="S53" s="2660"/>
      <c r="T53" s="2661"/>
      <c r="U53" s="2661"/>
      <c r="V53" s="2661"/>
      <c r="X53" s="2710"/>
      <c r="Y53" s="2710"/>
      <c r="Z53" s="2710"/>
    </row>
    <row r="54" spans="1:26">
      <c r="A54" s="2651" t="s">
        <v>2613</v>
      </c>
      <c r="B54" s="2665">
        <f t="shared" si="71"/>
        <v>146.57412060301507</v>
      </c>
      <c r="C54" s="2665">
        <f t="shared" si="71"/>
        <v>136.46831955922866</v>
      </c>
      <c r="D54" s="2665">
        <f t="shared" si="45"/>
        <v>136.46831955922866</v>
      </c>
      <c r="E54" s="2665">
        <f t="shared" si="72"/>
        <v>166.73864894795128</v>
      </c>
      <c r="F54" s="2665">
        <f t="shared" si="72"/>
        <v>115.05882352941177</v>
      </c>
      <c r="G54" s="3750">
        <v>2006</v>
      </c>
      <c r="H54" s="2656">
        <v>2</v>
      </c>
      <c r="I54" s="2656">
        <v>0.96</v>
      </c>
      <c r="J54" s="2656">
        <v>0.25</v>
      </c>
      <c r="K54" s="2656">
        <v>1.9</v>
      </c>
      <c r="L54" s="2667">
        <v>0.95</v>
      </c>
      <c r="N54" s="2708">
        <f t="shared" si="69"/>
        <v>1.8352632728861701E-2</v>
      </c>
      <c r="O54" s="2709">
        <f t="shared" si="69"/>
        <v>2.6286459319075526E-3</v>
      </c>
      <c r="P54" s="2709">
        <f t="shared" si="70"/>
        <v>5.4299289107991269E-2</v>
      </c>
      <c r="Q54" s="2709">
        <f t="shared" si="70"/>
        <v>8.9126559714794995E-3</v>
      </c>
      <c r="R54" s="2662"/>
      <c r="S54" s="2660"/>
      <c r="T54" s="2661"/>
      <c r="U54" s="2661"/>
      <c r="V54" s="2661"/>
      <c r="X54" s="2710"/>
      <c r="Y54" s="2710"/>
      <c r="Z54" s="2710"/>
    </row>
    <row r="55" spans="1:26">
      <c r="A55" s="2651" t="s">
        <v>2614</v>
      </c>
      <c r="B55" s="2665">
        <f t="shared" si="71"/>
        <v>144.04145728643215</v>
      </c>
      <c r="C55" s="2665">
        <f t="shared" si="71"/>
        <v>136.12396694214877</v>
      </c>
      <c r="D55" s="2665">
        <f t="shared" si="45"/>
        <v>136.12396694214877</v>
      </c>
      <c r="E55" s="2665">
        <f t="shared" si="72"/>
        <v>158.32225913621264</v>
      </c>
      <c r="F55" s="2665">
        <f t="shared" si="72"/>
        <v>114.04278074866311</v>
      </c>
      <c r="G55" s="3751">
        <v>2006</v>
      </c>
      <c r="H55" s="2655">
        <v>1</v>
      </c>
      <c r="I55" s="2655">
        <v>2.29</v>
      </c>
      <c r="J55" s="2655">
        <v>3.72</v>
      </c>
      <c r="K55" s="2655">
        <v>0.75</v>
      </c>
      <c r="L55" s="2666">
        <v>0.04</v>
      </c>
      <c r="N55" s="2711">
        <f t="shared" si="69"/>
        <v>4.3778675988638847E-2</v>
      </c>
      <c r="O55" s="2712">
        <f t="shared" si="69"/>
        <v>3.9114251466784385E-2</v>
      </c>
      <c r="P55" s="2712">
        <f t="shared" si="70"/>
        <v>2.1433929911049188E-2</v>
      </c>
      <c r="Q55" s="2712">
        <f t="shared" si="70"/>
        <v>3.7526972511492629E-4</v>
      </c>
      <c r="R55" s="2662"/>
      <c r="S55" s="2668">
        <f>B55/B56-1</f>
        <v>4.3778675988638716E-2</v>
      </c>
      <c r="T55" s="2669">
        <f>C55/C56-1</f>
        <v>3.91142514667846E-2</v>
      </c>
      <c r="U55" s="2669">
        <f>E55/E56-1</f>
        <v>2.143392991104931E-2</v>
      </c>
      <c r="V55" s="2669">
        <f>F55/F56-1</f>
        <v>3.7526972511492396E-4</v>
      </c>
      <c r="X55" s="2710"/>
      <c r="Y55" s="2710"/>
      <c r="Z55" s="2710"/>
    </row>
    <row r="56" spans="1:26" ht="13.5" thickBot="1">
      <c r="A56" s="2651" t="s">
        <v>2615</v>
      </c>
      <c r="B56" s="2679">
        <v>138</v>
      </c>
      <c r="C56" s="2679">
        <v>131</v>
      </c>
      <c r="D56" s="2679">
        <f t="shared" si="45"/>
        <v>131</v>
      </c>
      <c r="E56" s="2679">
        <v>155</v>
      </c>
      <c r="F56" s="2680">
        <v>114</v>
      </c>
      <c r="G56" s="3749">
        <v>2005</v>
      </c>
      <c r="H56" s="2671">
        <v>4</v>
      </c>
      <c r="I56" s="2671">
        <v>3.29</v>
      </c>
      <c r="J56" s="2671">
        <v>1.44</v>
      </c>
      <c r="K56" s="2671">
        <v>0.66</v>
      </c>
      <c r="L56" s="2672">
        <v>7.78</v>
      </c>
      <c r="N56" s="2708">
        <f t="shared" ref="N56:O59" si="73">I56/SUM(I$56:I$59)*(B$56/B$60-1)</f>
        <v>9.9404603216919935E-2</v>
      </c>
      <c r="O56" s="2709">
        <f t="shared" si="73"/>
        <v>4.7636550760861554E-2</v>
      </c>
      <c r="P56" s="2709">
        <f t="shared" ref="P56:Q59" si="74">K56/SUM(K$56:K$59)*(E$56/E$60-1)</f>
        <v>8.3756345177664976E-2</v>
      </c>
      <c r="Q56" s="2709">
        <f t="shared" si="74"/>
        <v>5.2148766661559584E-2</v>
      </c>
      <c r="R56" s="2662"/>
      <c r="S56" s="2663"/>
      <c r="T56" s="2664"/>
      <c r="U56" s="2664"/>
      <c r="V56" s="2664"/>
      <c r="X56" s="2710"/>
      <c r="Y56" s="2710"/>
      <c r="Z56" s="2710"/>
    </row>
    <row r="57" spans="1:26">
      <c r="A57" s="2651" t="s">
        <v>2616</v>
      </c>
      <c r="B57" s="2665">
        <f t="shared" ref="B57:C59" si="75">B58+(B$56-B$60)*I57/SUM(I$56:I$59)</f>
        <v>125.9720430107527</v>
      </c>
      <c r="C57" s="2665">
        <f t="shared" si="75"/>
        <v>125.1883408071749</v>
      </c>
      <c r="D57" s="2665">
        <f t="shared" si="45"/>
        <v>125.1883408071749</v>
      </c>
      <c r="E57" s="2665">
        <f t="shared" ref="E57:F59" si="76">E58+(E$56-E$60)*K57/SUM(K$56:K$59)</f>
        <v>144.61421319796952</v>
      </c>
      <c r="F57" s="2665">
        <f t="shared" si="76"/>
        <v>108.42008196721311</v>
      </c>
      <c r="G57" s="3750">
        <v>2005</v>
      </c>
      <c r="H57" s="2676">
        <v>3</v>
      </c>
      <c r="I57" s="2676">
        <v>0.46</v>
      </c>
      <c r="J57" s="2676">
        <v>0.32</v>
      </c>
      <c r="K57" s="2676">
        <v>0.42</v>
      </c>
      <c r="L57" s="2677">
        <v>0.64</v>
      </c>
      <c r="N57" s="2708">
        <f t="shared" si="73"/>
        <v>1.3898515951301874E-2</v>
      </c>
      <c r="O57" s="2709">
        <f t="shared" si="73"/>
        <v>1.0585900169080346E-2</v>
      </c>
      <c r="P57" s="2709">
        <f t="shared" si="74"/>
        <v>5.3299492385786795E-2</v>
      </c>
      <c r="Q57" s="2709">
        <f t="shared" si="74"/>
        <v>4.2898728359123568E-3</v>
      </c>
      <c r="R57" s="2662"/>
      <c r="S57" s="2660"/>
      <c r="T57" s="2661"/>
      <c r="U57" s="2661"/>
      <c r="V57" s="2661"/>
      <c r="X57" s="2710"/>
      <c r="Y57" s="2710"/>
      <c r="Z57" s="2710"/>
    </row>
    <row r="58" spans="1:26">
      <c r="A58" s="2651" t="s">
        <v>2617</v>
      </c>
      <c r="B58" s="2665">
        <f t="shared" si="75"/>
        <v>124.29032258064517</v>
      </c>
      <c r="C58" s="2665">
        <f t="shared" si="75"/>
        <v>123.8968609865471</v>
      </c>
      <c r="D58" s="2665">
        <f t="shared" si="45"/>
        <v>123.8968609865471</v>
      </c>
      <c r="E58" s="2665">
        <f t="shared" si="76"/>
        <v>138.00507614213197</v>
      </c>
      <c r="F58" s="2665">
        <f t="shared" si="76"/>
        <v>107.96106557377048</v>
      </c>
      <c r="G58" s="3750">
        <v>2005</v>
      </c>
      <c r="H58" s="2656">
        <v>2</v>
      </c>
      <c r="I58" s="2656">
        <v>0.47</v>
      </c>
      <c r="J58" s="2656">
        <v>0.1</v>
      </c>
      <c r="K58" s="2656">
        <v>0.52</v>
      </c>
      <c r="L58" s="2667">
        <v>0.79</v>
      </c>
      <c r="N58" s="2708">
        <f t="shared" si="73"/>
        <v>1.420065760241713E-2</v>
      </c>
      <c r="O58" s="2709">
        <f t="shared" si="73"/>
        <v>3.3080938028376083E-3</v>
      </c>
      <c r="P58" s="2709">
        <f t="shared" si="74"/>
        <v>6.598984771573603E-2</v>
      </c>
      <c r="Q58" s="2709">
        <f t="shared" si="74"/>
        <v>5.2953117818293153E-3</v>
      </c>
      <c r="R58" s="2662"/>
      <c r="S58" s="2660"/>
      <c r="T58" s="2661"/>
      <c r="U58" s="2661"/>
      <c r="V58" s="2661"/>
      <c r="X58" s="2710"/>
      <c r="Y58" s="2710"/>
      <c r="Z58" s="2710"/>
    </row>
    <row r="59" spans="1:26">
      <c r="A59" s="2651" t="s">
        <v>2618</v>
      </c>
      <c r="B59" s="2665">
        <f t="shared" si="75"/>
        <v>122.57204301075269</v>
      </c>
      <c r="C59" s="2665">
        <f t="shared" si="75"/>
        <v>123.4932735426009</v>
      </c>
      <c r="D59" s="2665">
        <f t="shared" si="45"/>
        <v>123.4932735426009</v>
      </c>
      <c r="E59" s="2665">
        <f t="shared" si="76"/>
        <v>129.82233502538071</v>
      </c>
      <c r="F59" s="2665">
        <f t="shared" si="76"/>
        <v>107.39446721311475</v>
      </c>
      <c r="G59" s="3751">
        <v>2005</v>
      </c>
      <c r="H59" s="2655">
        <v>1</v>
      </c>
      <c r="I59" s="2655">
        <v>0.43</v>
      </c>
      <c r="J59" s="2655">
        <v>0.37</v>
      </c>
      <c r="K59" s="2655">
        <v>0.37</v>
      </c>
      <c r="L59" s="2666">
        <v>0.55000000000000004</v>
      </c>
      <c r="N59" s="2711">
        <f t="shared" si="73"/>
        <v>1.2992090997956099E-2</v>
      </c>
      <c r="O59" s="2712">
        <f t="shared" si="73"/>
        <v>1.2239947070499151E-2</v>
      </c>
      <c r="P59" s="2712">
        <f t="shared" si="74"/>
        <v>4.6954314720812178E-2</v>
      </c>
      <c r="Q59" s="2712">
        <f t="shared" si="74"/>
        <v>3.6866094683621815E-3</v>
      </c>
      <c r="R59" s="2662"/>
      <c r="S59" s="2668">
        <f>B59/B60-1</f>
        <v>1.2992090997956174E-2</v>
      </c>
      <c r="T59" s="2669">
        <f>C59/C60-1</f>
        <v>1.2239947070499246E-2</v>
      </c>
      <c r="U59" s="2669">
        <f>E59/E60-1</f>
        <v>4.695431472081224E-2</v>
      </c>
      <c r="V59" s="2669">
        <f>F59/F60-1</f>
        <v>3.6866094683620787E-3</v>
      </c>
      <c r="X59" s="2710"/>
      <c r="Y59" s="2710"/>
      <c r="Z59" s="2710"/>
    </row>
    <row r="60" spans="1:26" ht="13.5" thickBot="1">
      <c r="A60" s="2651" t="s">
        <v>2619</v>
      </c>
      <c r="B60" s="2695">
        <v>121</v>
      </c>
      <c r="C60" s="2695">
        <v>122</v>
      </c>
      <c r="D60" s="2695">
        <f t="shared" si="45"/>
        <v>122</v>
      </c>
      <c r="E60" s="2695">
        <v>124</v>
      </c>
      <c r="F60" s="2696">
        <v>107</v>
      </c>
      <c r="G60" s="3749">
        <v>2004</v>
      </c>
      <c r="H60" s="2671">
        <v>4</v>
      </c>
      <c r="I60" s="2671">
        <v>0.33</v>
      </c>
      <c r="J60" s="2671">
        <v>0.5</v>
      </c>
      <c r="K60" s="2671">
        <v>0.5</v>
      </c>
      <c r="L60" s="2672">
        <v>0</v>
      </c>
      <c r="N60" s="2708">
        <f t="shared" ref="N60:O63" si="77">I60/SUM(I$60:I$63)*(B$60/B$64-1)</f>
        <v>1.3391770148526898E-2</v>
      </c>
      <c r="O60" s="2709">
        <f t="shared" si="77"/>
        <v>1.063264221158958E-2</v>
      </c>
      <c r="P60" s="2709">
        <f t="shared" ref="P60:Q63" si="78">K60/SUM(K$60:K$63)*(E$60/E$64-1)</f>
        <v>2.2244466688911134E-2</v>
      </c>
      <c r="Q60" s="2709">
        <f t="shared" si="78"/>
        <v>0</v>
      </c>
      <c r="R60" s="2662"/>
      <c r="S60" s="2663"/>
      <c r="T60" s="2664"/>
      <c r="U60" s="2664"/>
      <c r="V60" s="2664"/>
      <c r="X60" s="2710"/>
      <c r="Y60" s="2710"/>
      <c r="Z60" s="2710"/>
    </row>
    <row r="61" spans="1:26">
      <c r="A61" s="2651" t="s">
        <v>2620</v>
      </c>
      <c r="B61" s="2665">
        <f t="shared" ref="B61:C63" si="79">B62+(B$60-B$64)*I61/SUM(I$60:I$63)</f>
        <v>119.51351351351352</v>
      </c>
      <c r="C61" s="2665">
        <f t="shared" si="79"/>
        <v>120.7878787878788</v>
      </c>
      <c r="D61" s="2665">
        <f t="shared" si="45"/>
        <v>120.7878787878788</v>
      </c>
      <c r="E61" s="2665">
        <f t="shared" ref="E61:F63" si="80">E62+(E$60-E$64)*K61/SUM(K$60:K$63)</f>
        <v>121.5975975975976</v>
      </c>
      <c r="F61" s="2665">
        <f t="shared" si="80"/>
        <v>107</v>
      </c>
      <c r="G61" s="3750">
        <v>2004</v>
      </c>
      <c r="H61" s="2676">
        <v>3</v>
      </c>
      <c r="I61" s="2676">
        <v>0.56000000000000005</v>
      </c>
      <c r="J61" s="2676">
        <v>0.8</v>
      </c>
      <c r="K61" s="2676">
        <v>0.83</v>
      </c>
      <c r="L61" s="2677">
        <v>0.06</v>
      </c>
      <c r="N61" s="2708">
        <f t="shared" si="77"/>
        <v>2.2725428130833527E-2</v>
      </c>
      <c r="O61" s="2709">
        <f t="shared" si="77"/>
        <v>1.7012227538543329E-2</v>
      </c>
      <c r="P61" s="2709">
        <f t="shared" si="78"/>
        <v>3.6925814703592477E-2</v>
      </c>
      <c r="Q61" s="2709">
        <f t="shared" si="78"/>
        <v>2.8846153846153744E-2</v>
      </c>
      <c r="R61" s="2662"/>
      <c r="S61" s="2660"/>
      <c r="T61" s="2661"/>
      <c r="U61" s="2661"/>
      <c r="V61" s="2661"/>
      <c r="X61" s="2710"/>
      <c r="Y61" s="2710"/>
      <c r="Z61" s="2710"/>
    </row>
    <row r="62" spans="1:26">
      <c r="A62" s="2651" t="s">
        <v>2621</v>
      </c>
      <c r="B62" s="2665">
        <f t="shared" si="79"/>
        <v>116.99099099099099</v>
      </c>
      <c r="C62" s="2665">
        <f t="shared" si="79"/>
        <v>118.84848484848486</v>
      </c>
      <c r="D62" s="2665">
        <f t="shared" si="45"/>
        <v>118.84848484848486</v>
      </c>
      <c r="E62" s="2665">
        <f t="shared" si="80"/>
        <v>117.60960960960961</v>
      </c>
      <c r="F62" s="2665">
        <f t="shared" si="80"/>
        <v>104</v>
      </c>
      <c r="G62" s="3750">
        <v>2004</v>
      </c>
      <c r="H62" s="2656">
        <v>2</v>
      </c>
      <c r="I62" s="2656">
        <v>1</v>
      </c>
      <c r="J62" s="2656">
        <v>1.5</v>
      </c>
      <c r="K62" s="2656">
        <v>1.5</v>
      </c>
      <c r="L62" s="2667">
        <v>0</v>
      </c>
      <c r="N62" s="2708">
        <f t="shared" si="77"/>
        <v>4.0581121662202721E-2</v>
      </c>
      <c r="O62" s="2709">
        <f t="shared" si="77"/>
        <v>3.1897926634768738E-2</v>
      </c>
      <c r="P62" s="2709">
        <f t="shared" si="78"/>
        <v>6.6733400066733395E-2</v>
      </c>
      <c r="Q62" s="2709">
        <f t="shared" si="78"/>
        <v>0</v>
      </c>
      <c r="R62" s="2662"/>
      <c r="S62" s="2660"/>
      <c r="T62" s="2661"/>
      <c r="U62" s="2661"/>
      <c r="V62" s="2661"/>
      <c r="X62" s="2710"/>
      <c r="Y62" s="2710"/>
      <c r="Z62" s="2710"/>
    </row>
    <row r="63" spans="1:26" s="2701" customFormat="1" ht="13.5" thickBot="1">
      <c r="A63" s="2651" t="s">
        <v>2622</v>
      </c>
      <c r="B63" s="2698">
        <f t="shared" si="79"/>
        <v>112.48648648648648</v>
      </c>
      <c r="C63" s="2698">
        <f t="shared" si="79"/>
        <v>115.21212121212122</v>
      </c>
      <c r="D63" s="2698">
        <f t="shared" si="45"/>
        <v>115.21212121212122</v>
      </c>
      <c r="E63" s="2698">
        <f t="shared" si="80"/>
        <v>110.4024024024024</v>
      </c>
      <c r="F63" s="2698">
        <f t="shared" si="80"/>
        <v>104</v>
      </c>
      <c r="G63" s="3751">
        <v>2004</v>
      </c>
      <c r="H63" s="2699">
        <v>1</v>
      </c>
      <c r="I63" s="2699">
        <v>0.33</v>
      </c>
      <c r="J63" s="2699">
        <v>0.5</v>
      </c>
      <c r="K63" s="2699">
        <v>0.5</v>
      </c>
      <c r="L63" s="2700">
        <v>0</v>
      </c>
      <c r="N63" s="2713">
        <f t="shared" si="77"/>
        <v>1.3391770148526898E-2</v>
      </c>
      <c r="O63" s="2714">
        <f t="shared" si="77"/>
        <v>1.063264221158958E-2</v>
      </c>
      <c r="P63" s="2714">
        <f t="shared" si="78"/>
        <v>2.2244466688911134E-2</v>
      </c>
      <c r="Q63" s="2714">
        <f t="shared" si="78"/>
        <v>0</v>
      </c>
      <c r="R63" s="2704"/>
      <c r="S63" s="2702">
        <f>B63/B64-1</f>
        <v>1.3391770148526883E-2</v>
      </c>
      <c r="T63" s="2703">
        <f>C63/C64-1</f>
        <v>1.063264221158966E-2</v>
      </c>
      <c r="U63" s="2703">
        <f>E63/E64-1</f>
        <v>2.2244466688911224E-2</v>
      </c>
      <c r="V63" s="2703">
        <f>F63/F64-1</f>
        <v>0</v>
      </c>
      <c r="X63" s="2715"/>
      <c r="Y63" s="2715"/>
      <c r="Z63" s="2715"/>
    </row>
    <row r="64" spans="1:26" ht="13.5" thickBot="1">
      <c r="A64" s="2651" t="s">
        <v>2623</v>
      </c>
      <c r="B64" s="2716">
        <v>111</v>
      </c>
      <c r="C64" s="2716">
        <v>114</v>
      </c>
      <c r="D64" s="2716">
        <f t="shared" si="45"/>
        <v>114</v>
      </c>
      <c r="E64" s="2716">
        <v>108</v>
      </c>
      <c r="F64" s="2717">
        <v>104</v>
      </c>
      <c r="G64" s="3749">
        <v>2003</v>
      </c>
      <c r="H64" s="2706">
        <v>4</v>
      </c>
      <c r="I64" s="2718"/>
      <c r="J64" s="2718"/>
      <c r="K64" s="2718"/>
      <c r="L64" s="2718"/>
      <c r="N64" s="2719"/>
      <c r="O64" s="2718"/>
      <c r="P64" s="2718"/>
      <c r="Q64" s="2718"/>
      <c r="S64" s="2719"/>
      <c r="T64" s="2718"/>
      <c r="U64" s="2718"/>
      <c r="V64" s="2718"/>
      <c r="X64" s="2710"/>
      <c r="Y64" s="2710"/>
      <c r="Z64" s="2710"/>
    </row>
    <row r="65" spans="1:26">
      <c r="A65" s="2651" t="s">
        <v>2624</v>
      </c>
      <c r="B65" s="2720">
        <f t="shared" ref="B65:C67" si="81">B66+(B$64-B$68)/4</f>
        <v>109.75</v>
      </c>
      <c r="C65" s="2720">
        <f t="shared" si="81"/>
        <v>112.25</v>
      </c>
      <c r="D65" s="2720">
        <f t="shared" si="45"/>
        <v>112.25</v>
      </c>
      <c r="E65" s="2720">
        <f t="shared" ref="E65:F67" si="82">E66+(E$64-E$68)/4</f>
        <v>107.25</v>
      </c>
      <c r="F65" s="2720">
        <f t="shared" si="82"/>
        <v>103.5</v>
      </c>
      <c r="G65" s="3750">
        <v>2003</v>
      </c>
      <c r="H65" s="2676">
        <v>3</v>
      </c>
      <c r="I65" s="2718"/>
      <c r="J65" s="2718"/>
      <c r="K65" s="2718"/>
      <c r="L65" s="2718"/>
      <c r="X65" s="2710"/>
      <c r="Y65" s="2710"/>
      <c r="Z65" s="2710"/>
    </row>
    <row r="66" spans="1:26">
      <c r="A66" s="2651" t="s">
        <v>2625</v>
      </c>
      <c r="B66" s="2720">
        <f t="shared" si="81"/>
        <v>108.5</v>
      </c>
      <c r="C66" s="2720">
        <f t="shared" si="81"/>
        <v>110.5</v>
      </c>
      <c r="D66" s="2720">
        <f t="shared" si="45"/>
        <v>110.5</v>
      </c>
      <c r="E66" s="2720">
        <f t="shared" si="82"/>
        <v>106.5</v>
      </c>
      <c r="F66" s="2720">
        <f t="shared" si="82"/>
        <v>103</v>
      </c>
      <c r="G66" s="3750">
        <v>2003</v>
      </c>
      <c r="H66" s="2656">
        <v>2</v>
      </c>
      <c r="I66" s="2718"/>
      <c r="J66" s="2718"/>
      <c r="K66" s="2718"/>
      <c r="L66" s="2718"/>
      <c r="X66" s="2710"/>
      <c r="Y66" s="2710"/>
      <c r="Z66" s="2710"/>
    </row>
    <row r="67" spans="1:26" ht="13.5" thickBot="1">
      <c r="A67" s="2651" t="s">
        <v>2626</v>
      </c>
      <c r="B67" s="2720">
        <f t="shared" si="81"/>
        <v>107.25</v>
      </c>
      <c r="C67" s="2720">
        <f t="shared" si="81"/>
        <v>108.75</v>
      </c>
      <c r="D67" s="2720">
        <f t="shared" si="45"/>
        <v>108.75</v>
      </c>
      <c r="E67" s="2720">
        <f t="shared" si="82"/>
        <v>105.75</v>
      </c>
      <c r="F67" s="2720">
        <f t="shared" si="82"/>
        <v>102.5</v>
      </c>
      <c r="G67" s="3751">
        <v>2003</v>
      </c>
      <c r="H67" s="2721">
        <v>1</v>
      </c>
      <c r="I67" s="2718"/>
      <c r="J67" s="2718"/>
      <c r="K67" s="2718"/>
      <c r="L67" s="2718"/>
      <c r="S67" s="2660"/>
      <c r="T67" s="2661"/>
      <c r="U67" s="2661"/>
      <c r="X67" s="2710"/>
      <c r="Y67" s="2710"/>
      <c r="Z67" s="2710"/>
    </row>
    <row r="68" spans="1:26" ht="13.5" thickBot="1">
      <c r="A68" s="2651" t="s">
        <v>2627</v>
      </c>
      <c r="B68" s="2722">
        <v>106</v>
      </c>
      <c r="C68" s="2722">
        <v>107</v>
      </c>
      <c r="D68" s="2722">
        <f t="shared" si="45"/>
        <v>107</v>
      </c>
      <c r="E68" s="2722">
        <v>105</v>
      </c>
      <c r="F68" s="2723">
        <v>102</v>
      </c>
      <c r="G68" s="3749">
        <v>2002</v>
      </c>
      <c r="H68" s="2671">
        <v>4</v>
      </c>
      <c r="I68" s="2718"/>
      <c r="J68" s="2718"/>
      <c r="K68" s="2718"/>
      <c r="L68" s="2718"/>
      <c r="N68" s="2719"/>
      <c r="O68" s="2718"/>
      <c r="P68" s="2718"/>
      <c r="Q68" s="2718"/>
      <c r="S68" s="2719"/>
      <c r="T68" s="2718"/>
      <c r="U68" s="2718"/>
      <c r="V68" s="2718"/>
      <c r="X68" s="2710"/>
      <c r="Y68" s="2710"/>
      <c r="Z68" s="2710"/>
    </row>
    <row r="69" spans="1:26">
      <c r="A69" s="2651" t="s">
        <v>2628</v>
      </c>
      <c r="B69" s="2720">
        <f t="shared" ref="B69:C71" si="83">B70+(B$68-B$72)/4</f>
        <v>105</v>
      </c>
      <c r="C69" s="2720">
        <f t="shared" si="83"/>
        <v>106</v>
      </c>
      <c r="D69" s="2720">
        <f t="shared" si="45"/>
        <v>106</v>
      </c>
      <c r="E69" s="2720">
        <f t="shared" ref="E69:F71" si="84">E70+(E$68-E$72)/4</f>
        <v>104.5</v>
      </c>
      <c r="F69" s="2720">
        <f t="shared" si="84"/>
        <v>101.5</v>
      </c>
      <c r="G69" s="3750">
        <v>2002</v>
      </c>
      <c r="H69" s="2676">
        <v>3</v>
      </c>
      <c r="I69" s="2718"/>
      <c r="J69" s="2718"/>
      <c r="K69" s="2718"/>
      <c r="L69" s="2718"/>
      <c r="X69" s="2710"/>
      <c r="Y69" s="2710"/>
      <c r="Z69" s="2710"/>
    </row>
    <row r="70" spans="1:26">
      <c r="A70" s="2651" t="s">
        <v>2629</v>
      </c>
      <c r="B70" s="2720">
        <f t="shared" si="83"/>
        <v>104</v>
      </c>
      <c r="C70" s="2720">
        <f t="shared" si="83"/>
        <v>105</v>
      </c>
      <c r="D70" s="2720">
        <f t="shared" si="45"/>
        <v>105</v>
      </c>
      <c r="E70" s="2720">
        <f t="shared" si="84"/>
        <v>104</v>
      </c>
      <c r="F70" s="2720">
        <f t="shared" si="84"/>
        <v>101</v>
      </c>
      <c r="G70" s="3750">
        <v>2002</v>
      </c>
      <c r="H70" s="2656">
        <v>2</v>
      </c>
      <c r="I70" s="2718"/>
      <c r="J70" s="2718"/>
      <c r="K70" s="2718"/>
      <c r="L70" s="2718"/>
      <c r="X70" s="2710"/>
      <c r="Y70" s="2710"/>
      <c r="Z70" s="2710"/>
    </row>
    <row r="71" spans="1:26" s="2687" customFormat="1" ht="13.5" thickBot="1">
      <c r="A71" s="2683" t="s">
        <v>2630</v>
      </c>
      <c r="B71" s="2724">
        <f t="shared" si="83"/>
        <v>103</v>
      </c>
      <c r="C71" s="2724">
        <f t="shared" si="83"/>
        <v>104</v>
      </c>
      <c r="D71" s="2724">
        <f t="shared" si="45"/>
        <v>104</v>
      </c>
      <c r="E71" s="2724">
        <f t="shared" si="84"/>
        <v>103.5</v>
      </c>
      <c r="F71" s="2724">
        <f t="shared" si="84"/>
        <v>100.5</v>
      </c>
      <c r="G71" s="3751">
        <v>2002</v>
      </c>
      <c r="H71" s="2725">
        <v>1</v>
      </c>
      <c r="I71" s="2726"/>
      <c r="J71" s="2726"/>
      <c r="K71" s="2726"/>
      <c r="L71" s="2726"/>
      <c r="N71" s="2727"/>
      <c r="S71" s="2727"/>
      <c r="X71" s="2728"/>
      <c r="Y71" s="2728"/>
      <c r="Z71" s="2728"/>
    </row>
    <row r="72" spans="1:26" ht="13.5" thickBot="1">
      <c r="B72" s="2729">
        <v>102</v>
      </c>
      <c r="C72" s="2730">
        <v>103</v>
      </c>
      <c r="D72" s="2730">
        <f t="shared" si="45"/>
        <v>103</v>
      </c>
      <c r="E72" s="2730">
        <v>103</v>
      </c>
      <c r="F72" s="2731">
        <v>100</v>
      </c>
      <c r="I72" s="2718"/>
      <c r="J72" s="2718"/>
      <c r="K72" s="2718"/>
      <c r="L72" s="2718"/>
      <c r="N72" s="2719"/>
      <c r="O72" s="2718"/>
      <c r="P72" s="2718"/>
      <c r="Q72" s="2718"/>
      <c r="S72" s="2719"/>
      <c r="T72" s="2718"/>
      <c r="U72" s="2718"/>
      <c r="V72" s="2718"/>
      <c r="X72" s="2664"/>
      <c r="Y72" s="2664"/>
      <c r="Z72" s="2664"/>
    </row>
    <row r="74" spans="1:26" s="2733" customFormat="1">
      <c r="A74" s="2732" t="s">
        <v>2631</v>
      </c>
      <c r="G74" s="2734"/>
      <c r="N74" s="2734"/>
      <c r="S74" s="2734"/>
    </row>
    <row r="75" spans="1:26" s="2733" customFormat="1">
      <c r="A75" s="2733" t="s">
        <v>2632</v>
      </c>
      <c r="G75" s="2734"/>
      <c r="N75" s="2734"/>
      <c r="S75" s="2734"/>
    </row>
    <row r="76" spans="1:26" s="2733" customFormat="1">
      <c r="A76" s="2733" t="s">
        <v>2633</v>
      </c>
      <c r="G76" s="2734"/>
      <c r="I76" s="2735"/>
      <c r="J76" s="2735"/>
      <c r="K76" s="2735"/>
      <c r="L76" s="2735"/>
      <c r="N76" s="2736"/>
      <c r="O76" s="2735"/>
      <c r="P76" s="2735"/>
      <c r="Q76" s="2735"/>
      <c r="S76" s="2736"/>
      <c r="T76" s="2735"/>
      <c r="U76" s="2735"/>
      <c r="V76" s="2735"/>
    </row>
    <row r="77" spans="1:26" s="2733" customFormat="1">
      <c r="A77" s="2733" t="s">
        <v>2634</v>
      </c>
      <c r="G77" s="2734"/>
      <c r="N77" s="2734"/>
      <c r="S77" s="2734"/>
    </row>
    <row r="84" spans="7:22" ht="13.5" thickBot="1"/>
    <row r="85" spans="7:22">
      <c r="G85" s="2659"/>
      <c r="S85" s="2737" t="s">
        <v>2635</v>
      </c>
      <c r="T85" s="2738" t="s">
        <v>2636</v>
      </c>
      <c r="U85" s="2738" t="s">
        <v>2637</v>
      </c>
      <c r="V85" s="2738" t="s">
        <v>2638</v>
      </c>
    </row>
    <row r="86" spans="7:22">
      <c r="G86" s="2659"/>
      <c r="N86" s="2663"/>
      <c r="O86" s="2664"/>
      <c r="P86" s="2664"/>
      <c r="Q86" s="2664"/>
      <c r="S86" s="2739">
        <v>2006</v>
      </c>
      <c r="T86" s="2740">
        <v>15.1</v>
      </c>
      <c r="U86" s="2740">
        <v>7.43</v>
      </c>
      <c r="V86" s="2740">
        <v>26.26</v>
      </c>
    </row>
    <row r="87" spans="7:22">
      <c r="G87" s="2659"/>
      <c r="N87" s="2663"/>
      <c r="O87" s="2664"/>
      <c r="P87" s="2664"/>
      <c r="Q87" s="2664"/>
      <c r="S87" s="2742">
        <v>2005</v>
      </c>
      <c r="T87" s="2741">
        <v>13.9</v>
      </c>
      <c r="U87" s="2741">
        <v>7.49</v>
      </c>
      <c r="V87" s="2741">
        <v>24.92</v>
      </c>
    </row>
    <row r="88" spans="7:22">
      <c r="G88" s="2659"/>
      <c r="N88" s="2663"/>
      <c r="O88" s="2664"/>
      <c r="P88" s="2664"/>
      <c r="Q88" s="2664"/>
      <c r="S88" s="2739">
        <v>2004</v>
      </c>
      <c r="T88" s="2740">
        <v>9.48</v>
      </c>
      <c r="U88" s="2740">
        <v>7.2</v>
      </c>
      <c r="V88" s="2740">
        <v>14.68</v>
      </c>
    </row>
    <row r="89" spans="7:22">
      <c r="G89" s="2659"/>
      <c r="N89" s="2663"/>
      <c r="O89" s="2664"/>
      <c r="P89" s="2664"/>
      <c r="Q89" s="2664"/>
      <c r="S89" s="2742">
        <v>2003</v>
      </c>
      <c r="T89" s="2741">
        <v>4.5</v>
      </c>
      <c r="U89" s="2741">
        <v>6.12</v>
      </c>
      <c r="V89" s="2741">
        <v>2.34</v>
      </c>
    </row>
    <row r="90" spans="7:22" ht="13.5" thickBot="1">
      <c r="G90" s="2659"/>
      <c r="N90" s="2663"/>
      <c r="O90" s="2664"/>
      <c r="P90" s="2664"/>
      <c r="Q90" s="2664"/>
      <c r="S90" s="2743">
        <v>2002</v>
      </c>
      <c r="T90" s="2744">
        <v>3.59</v>
      </c>
      <c r="U90" s="2744">
        <v>4.54</v>
      </c>
      <c r="V90" s="2744">
        <v>2.5499999999999998</v>
      </c>
    </row>
    <row r="91" spans="7:22">
      <c r="G91" s="2659"/>
      <c r="N91" s="2663"/>
      <c r="O91" s="2664"/>
      <c r="P91" s="2664"/>
      <c r="Q91" s="2664"/>
    </row>
    <row r="92" spans="7:22">
      <c r="G92" s="2659"/>
      <c r="N92" s="2663"/>
      <c r="O92" s="2664"/>
      <c r="P92" s="2664"/>
      <c r="Q92" s="2664"/>
    </row>
    <row r="93" spans="7:22">
      <c r="G93" s="2659"/>
      <c r="N93" s="2663"/>
      <c r="O93" s="2664"/>
      <c r="P93" s="2664"/>
      <c r="Q93" s="2664"/>
    </row>
    <row r="94" spans="7:22">
      <c r="G94" s="2659"/>
      <c r="N94" s="2663"/>
      <c r="O94" s="2664"/>
      <c r="P94" s="2664"/>
      <c r="Q94" s="2664"/>
    </row>
    <row r="95" spans="7:22">
      <c r="G95" s="2659"/>
      <c r="N95" s="2663"/>
      <c r="O95" s="2664"/>
      <c r="P95" s="2664"/>
      <c r="Q95" s="2664"/>
    </row>
    <row r="96" spans="7:22">
      <c r="G96" s="2659"/>
      <c r="N96" s="2663"/>
      <c r="O96" s="2664"/>
      <c r="P96" s="2664"/>
      <c r="Q96" s="2664"/>
    </row>
    <row r="97" spans="7:19">
      <c r="G97" s="2659"/>
      <c r="N97" s="2663"/>
      <c r="O97" s="2664"/>
      <c r="P97" s="2664"/>
      <c r="Q97" s="2664"/>
    </row>
    <row r="98" spans="7:19">
      <c r="G98" s="2659"/>
      <c r="N98" s="2663"/>
      <c r="O98" s="2664"/>
      <c r="P98" s="2664"/>
      <c r="Q98" s="2664"/>
    </row>
    <row r="99" spans="7:19">
      <c r="G99" s="2659"/>
      <c r="N99" s="2663"/>
      <c r="O99" s="2664"/>
      <c r="P99" s="2664"/>
      <c r="Q99" s="2664"/>
    </row>
    <row r="100" spans="7:19">
      <c r="G100" s="2659"/>
      <c r="N100" s="2663"/>
      <c r="O100" s="2664"/>
      <c r="P100" s="2664"/>
      <c r="Q100" s="2664"/>
    </row>
    <row r="101" spans="7:19">
      <c r="G101" s="2659"/>
      <c r="N101" s="2663"/>
      <c r="O101" s="2664"/>
      <c r="P101" s="2664"/>
      <c r="Q101" s="2664"/>
      <c r="S101" s="2659"/>
    </row>
    <row r="102" spans="7:19">
      <c r="G102" s="2659"/>
      <c r="N102" s="2663"/>
      <c r="O102" s="2664"/>
      <c r="P102" s="2664"/>
      <c r="Q102" s="2664"/>
      <c r="S102" s="2659"/>
    </row>
    <row r="103" spans="7:19">
      <c r="G103" s="2659"/>
      <c r="N103" s="2663"/>
      <c r="O103" s="2664"/>
      <c r="P103" s="2664"/>
      <c r="Q103" s="2664"/>
      <c r="S103" s="2659"/>
    </row>
    <row r="104" spans="7:19">
      <c r="G104" s="2659"/>
      <c r="N104" s="2663"/>
      <c r="O104" s="2664"/>
      <c r="P104" s="2664"/>
      <c r="Q104" s="2664"/>
      <c r="S104" s="2659"/>
    </row>
    <row r="105" spans="7:19">
      <c r="G105" s="2659"/>
      <c r="N105" s="2663"/>
      <c r="O105" s="2664"/>
      <c r="P105" s="2664"/>
      <c r="Q105" s="2664"/>
      <c r="S105" s="2659"/>
    </row>
    <row r="106" spans="7:19">
      <c r="G106" s="2659"/>
      <c r="N106" s="2663"/>
      <c r="O106" s="2664"/>
      <c r="P106" s="2664"/>
      <c r="Q106" s="2664"/>
      <c r="S106" s="2659"/>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I31" sqref="I31"/>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466</v>
      </c>
      <c r="B1" s="2805"/>
      <c r="C1" s="2100"/>
      <c r="D1" s="2100"/>
      <c r="E1" s="2100"/>
      <c r="F1" s="2100"/>
      <c r="G1" s="2100"/>
      <c r="H1" s="2100"/>
      <c r="I1" s="2100"/>
      <c r="J1" s="2100"/>
      <c r="K1" s="420">
        <f>MATCH(B1,'数据-取费表'!A6:A16,0)+5</f>
        <v>11</v>
      </c>
    </row>
    <row r="2" spans="1:31" s="2037" customFormat="1" ht="18" customHeight="1">
      <c r="A2" s="2097" t="s">
        <v>467</v>
      </c>
      <c r="B2" s="2101">
        <f ca="1">C36</f>
        <v>87258</v>
      </c>
      <c r="C2" s="2100"/>
      <c r="D2" s="2100"/>
      <c r="E2" s="2100"/>
      <c r="F2" s="2100"/>
      <c r="G2" s="2100"/>
      <c r="H2" s="2100"/>
      <c r="I2" s="2100"/>
      <c r="J2" s="2100"/>
      <c r="K2" s="2100"/>
    </row>
    <row r="3" spans="1:31" s="2037" customFormat="1" ht="18" customHeight="1">
      <c r="A3" s="2102" t="s">
        <v>1685</v>
      </c>
      <c r="B3" s="2103">
        <f ca="1">ROUND(B2*10000/IF(B1="",'数据-汇总表'!E3,INDIRECT("'数据-取费表'!K"&amp;$K$1)),0)</f>
        <v>4826</v>
      </c>
      <c r="C3" s="2100"/>
      <c r="D3" s="2100"/>
      <c r="E3" s="2100"/>
      <c r="F3" s="2100"/>
      <c r="G3" s="2100"/>
      <c r="H3" s="2100"/>
      <c r="I3" s="2100"/>
      <c r="J3" s="2100"/>
      <c r="K3" s="2100"/>
    </row>
    <row r="4" spans="1:31" s="2037" customFormat="1" ht="18" customHeight="1">
      <c r="A4" s="424" t="s">
        <v>468</v>
      </c>
      <c r="B4" s="425">
        <f ca="1">ROUND(B2*10000/IF(B1="",'数据-汇总表'!D3,INDIRECT("'数据-取费表'!R"&amp;$K$1)),0)</f>
        <v>11978</v>
      </c>
      <c r="C4" s="426"/>
      <c r="D4" s="420"/>
      <c r="E4" s="420"/>
      <c r="F4" s="420"/>
      <c r="G4" s="420"/>
      <c r="H4" s="420"/>
      <c r="I4" s="420"/>
      <c r="J4" s="420"/>
      <c r="K4" s="420"/>
    </row>
    <row r="5" spans="1:31" s="2037" customFormat="1" ht="18" customHeight="1" thickBot="1">
      <c r="A5" s="427"/>
      <c r="B5" s="428">
        <f ca="1">ROUND(B2/(IF(B1="",'数据-汇总表'!D3,INDIRECT("'数据-取费表'!R"&amp;$K$1))/666.67),0)</f>
        <v>799</v>
      </c>
      <c r="C5" s="429" t="s">
        <v>469</v>
      </c>
      <c r="D5" s="420"/>
      <c r="E5" s="420"/>
      <c r="F5" s="420"/>
      <c r="G5" s="420"/>
      <c r="H5" s="420"/>
      <c r="I5" s="420"/>
      <c r="J5" s="420"/>
      <c r="K5" s="420"/>
    </row>
    <row r="6" spans="1:31" s="2107" customFormat="1" ht="16.5" customHeight="1">
      <c r="A6" s="2824" t="s">
        <v>1843</v>
      </c>
      <c r="B6" s="2825"/>
      <c r="C6" s="2826">
        <f ca="1">SUM(C10:K10)</f>
        <v>177994.0968</v>
      </c>
      <c r="D6" s="2825"/>
      <c r="E6" s="2825"/>
      <c r="F6" s="2825"/>
      <c r="G6" s="2825"/>
      <c r="H6" s="2825"/>
      <c r="I6" s="2825"/>
      <c r="J6" s="2825"/>
      <c r="K6" s="2827"/>
    </row>
    <row r="7" spans="1:31" s="2109" customFormat="1" ht="15">
      <c r="A7" s="2828" t="s">
        <v>470</v>
      </c>
      <c r="B7" s="2829" t="s">
        <v>471</v>
      </c>
      <c r="C7" s="434" t="s">
        <v>3169</v>
      </c>
      <c r="D7" s="434" t="s">
        <v>3171</v>
      </c>
      <c r="E7" s="434" t="s">
        <v>2994</v>
      </c>
      <c r="F7" s="434" t="s">
        <v>3174</v>
      </c>
      <c r="G7" s="434" t="s">
        <v>3176</v>
      </c>
      <c r="H7" s="434"/>
      <c r="I7" s="434"/>
      <c r="J7" s="434"/>
      <c r="K7" s="435"/>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1" t="s">
        <v>1846</v>
      </c>
      <c r="B8" s="259" t="s">
        <v>472</v>
      </c>
      <c r="C8" s="2830">
        <f>'不动产比较法-住宅（高层）'!B3</f>
        <v>12170</v>
      </c>
      <c r="D8" s="2830">
        <f>'不动产比较法-住宅（联排）'!B3</f>
        <v>19042</v>
      </c>
      <c r="E8" s="2830">
        <f ca="1">'不动产收益法（商业）'!B3</f>
        <v>15543</v>
      </c>
      <c r="F8" s="2830">
        <f ca="1">'不动产收益法（车位）'!B3</f>
        <v>4451</v>
      </c>
      <c r="G8" s="2830">
        <v>7992</v>
      </c>
      <c r="H8" s="2830"/>
      <c r="I8" s="2830"/>
      <c r="J8" s="2830"/>
      <c r="K8" s="2831"/>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1" t="s">
        <v>1847</v>
      </c>
      <c r="B9" s="259" t="s">
        <v>473</v>
      </c>
      <c r="C9" s="439">
        <f>SUMIF('数据-汇总表'!$C19:$C33,'剩余法-待开发'!C7,'数据-汇总表'!$E19:$E33)</f>
        <v>34304</v>
      </c>
      <c r="D9" s="439">
        <f>SUMIF('数据-汇总表'!$C19:$C33,'剩余法-待开发'!D7,'数据-汇总表'!$E19:$E33)</f>
        <v>40890</v>
      </c>
      <c r="E9" s="439">
        <f>SUMIF('数据-汇总表'!$C19:$C33,'剩余法-待开发'!E7,'数据-汇总表'!$E19:$E33)</f>
        <v>3738</v>
      </c>
      <c r="F9" s="439">
        <f>SUMIF('数据-汇总表'!$C19:$C33,'剩余法-待开发'!F7,'数据-汇总表'!$E19:$E33)</f>
        <v>28104</v>
      </c>
      <c r="G9" s="439">
        <f>SUMIF('数据-汇总表'!$C19:$C33,'剩余法-待开发'!G7,'数据-汇总表'!$E19:$E33)</f>
        <v>50129</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32" t="s">
        <v>1848</v>
      </c>
      <c r="B10" s="2818" t="s">
        <v>474</v>
      </c>
      <c r="C10" s="3024">
        <f>'不动产比较法-住宅（高层）'!B2</f>
        <v>41748</v>
      </c>
      <c r="D10" s="3024">
        <f>'不动产比较法-住宅（联排）'!B2</f>
        <v>77863</v>
      </c>
      <c r="E10" s="3024">
        <f ca="1">'不动产收益法（商业）'!B2</f>
        <v>5810</v>
      </c>
      <c r="F10" s="2833">
        <f ca="1">'不动产收益法（车位）'!B2</f>
        <v>12510</v>
      </c>
      <c r="G10" s="2833">
        <f>G8*G9/10000</f>
        <v>40063.096799999999</v>
      </c>
      <c r="H10" s="2833"/>
      <c r="I10" s="2833"/>
      <c r="J10" s="2833"/>
      <c r="K10" s="2834"/>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35" t="s">
        <v>1844</v>
      </c>
      <c r="B11" s="2825"/>
      <c r="C11" s="2825"/>
      <c r="D11" s="2825"/>
      <c r="E11" s="2825"/>
      <c r="F11" s="2825"/>
      <c r="G11" s="2825"/>
      <c r="H11" s="2825"/>
      <c r="I11" s="2825"/>
      <c r="J11" s="2825"/>
      <c r="K11" s="2827"/>
    </row>
    <row r="12" spans="1:31" s="2081" customFormat="1" ht="13.5" customHeight="1">
      <c r="A12" s="2836" t="s">
        <v>470</v>
      </c>
      <c r="B12" s="2808" t="s">
        <v>471</v>
      </c>
      <c r="C12" s="2837" t="s">
        <v>475</v>
      </c>
      <c r="D12" s="2804" t="s">
        <v>476</v>
      </c>
      <c r="E12" s="2804" t="s">
        <v>477</v>
      </c>
      <c r="F12" s="2804" t="s">
        <v>478</v>
      </c>
      <c r="G12" s="2808"/>
      <c r="H12" s="2809"/>
      <c r="I12" s="2809"/>
      <c r="J12" s="2809"/>
      <c r="K12" s="2810"/>
    </row>
    <row r="13" spans="1:31" s="2112" customFormat="1" ht="13.5" customHeight="1">
      <c r="A13" s="2838" t="s">
        <v>1849</v>
      </c>
      <c r="B13" s="2839" t="s">
        <v>479</v>
      </c>
      <c r="C13" s="448">
        <f ca="1">IF(B1="",'数据-取费表'!P16,INDIRECT("'数据-取费表'!p"&amp;$K$1)+INDIRECT("'数据-取费表'!t"&amp;$K$1))</f>
        <v>44677</v>
      </c>
      <c r="D13" s="2840"/>
      <c r="E13" s="2841"/>
      <c r="F13" s="2842"/>
      <c r="G13" s="2808"/>
      <c r="H13" s="2809"/>
      <c r="I13" s="2809"/>
      <c r="J13" s="2809"/>
      <c r="K13" s="2810"/>
    </row>
    <row r="14" spans="1:31" s="2112" customFormat="1" ht="13.5" customHeight="1">
      <c r="A14" s="2838" t="s">
        <v>1850</v>
      </c>
      <c r="B14" s="2839" t="s">
        <v>480</v>
      </c>
      <c r="C14" s="53">
        <f ca="1">ROUND(C13*F14,0)</f>
        <v>1340</v>
      </c>
      <c r="D14" s="2840"/>
      <c r="E14" s="2841"/>
      <c r="F14" s="2843">
        <f>'数据-取费表'!B33</f>
        <v>0.03</v>
      </c>
      <c r="G14" s="2808" t="s">
        <v>481</v>
      </c>
      <c r="H14" s="2809"/>
      <c r="I14" s="2809"/>
      <c r="J14" s="2809"/>
      <c r="K14" s="2810"/>
    </row>
    <row r="15" spans="1:31" s="2112" customFormat="1" ht="13.5" customHeight="1">
      <c r="A15" s="2838" t="s">
        <v>1851</v>
      </c>
      <c r="B15" s="2839" t="s">
        <v>482</v>
      </c>
      <c r="C15" s="53">
        <f ca="1">ROUND(IF(B1="",SUMIF('数据-取费表'!C:C,"住宅",'数据-取费表'!P:P)*F15,IF(INDIRECT("'数据-取费表'!c"&amp;$K$1)="住宅",INDIRECT("'数据-取费表'!P"&amp;$K$1)*F15,0)),0)</f>
        <v>675</v>
      </c>
      <c r="D15" s="2840"/>
      <c r="E15" s="2841"/>
      <c r="F15" s="2843">
        <f>'数据-取费表'!B34</f>
        <v>0.02</v>
      </c>
      <c r="G15" s="2808" t="s">
        <v>483</v>
      </c>
      <c r="H15" s="2809"/>
      <c r="I15" s="2809"/>
      <c r="J15" s="2809"/>
      <c r="K15" s="2810"/>
    </row>
    <row r="16" spans="1:31" s="2113" customFormat="1" ht="13.5" customHeight="1">
      <c r="A16" s="2838" t="s">
        <v>1852</v>
      </c>
      <c r="B16" s="2839" t="s">
        <v>484</v>
      </c>
      <c r="C16" s="53">
        <f ca="1">ROUND(D16*E16/10000,0)</f>
        <v>3616</v>
      </c>
      <c r="D16" s="2840">
        <f ca="1">IF(B1="",'数据-汇总表'!E3,INDIRECT("'数据-取费表'!K"&amp;$K$1)+INDIRECT("'数据-取费表'!S"&amp;$K$1))</f>
        <v>180792</v>
      </c>
      <c r="E16" s="53">
        <f>'数据-取费表'!B35</f>
        <v>200</v>
      </c>
      <c r="F16" s="2843"/>
      <c r="G16" s="2808"/>
      <c r="H16" s="2809"/>
      <c r="I16" s="2809"/>
      <c r="J16" s="2809"/>
      <c r="K16" s="2810"/>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38" t="s">
        <v>1853</v>
      </c>
      <c r="B17" s="2839" t="s">
        <v>485</v>
      </c>
      <c r="C17" s="2844">
        <f ca="1">ROUND(C13*F17,0)</f>
        <v>670</v>
      </c>
      <c r="D17" s="473"/>
      <c r="E17" s="2844"/>
      <c r="F17" s="2845">
        <f>'数据-取费表'!B36</f>
        <v>1.4999999999999999E-2</v>
      </c>
      <c r="G17" s="259" t="s">
        <v>486</v>
      </c>
      <c r="H17" s="2811"/>
      <c r="I17" s="2811"/>
      <c r="J17" s="2811"/>
      <c r="K17" s="277"/>
    </row>
    <row r="18" spans="1:14" s="2112" customFormat="1" ht="13.5" customHeight="1">
      <c r="A18" s="2846" t="s">
        <v>1854</v>
      </c>
      <c r="B18" s="2847" t="s">
        <v>487</v>
      </c>
      <c r="C18" s="2848">
        <f ca="1">SUM(C13:C17)</f>
        <v>50978</v>
      </c>
      <c r="D18" s="2849"/>
      <c r="E18" s="466"/>
      <c r="F18" s="466"/>
      <c r="G18" s="2812" t="s">
        <v>2430</v>
      </c>
      <c r="H18" s="2813"/>
      <c r="I18" s="2813"/>
      <c r="J18" s="2813"/>
      <c r="K18" s="2814"/>
    </row>
    <row r="19" spans="1:14" s="2112" customFormat="1" ht="13.5" customHeight="1">
      <c r="A19" s="2846" t="s">
        <v>1855</v>
      </c>
      <c r="B19" s="2847" t="s">
        <v>488</v>
      </c>
      <c r="C19" s="2804">
        <f ca="1">ROUND(D19*E19/10000,0)</f>
        <v>0</v>
      </c>
      <c r="D19" s="2850">
        <f ca="1">D16</f>
        <v>180792</v>
      </c>
      <c r="E19" s="2804">
        <f>'数据-取费表'!B32</f>
        <v>0</v>
      </c>
      <c r="F19" s="466"/>
      <c r="G19" s="2808" t="s">
        <v>489</v>
      </c>
      <c r="H19" s="2809"/>
      <c r="I19" s="2813"/>
      <c r="J19" s="2813"/>
      <c r="K19" s="2814"/>
    </row>
    <row r="20" spans="1:14" s="2112" customFormat="1" ht="13.5" customHeight="1">
      <c r="A20" s="2846" t="s">
        <v>1856</v>
      </c>
      <c r="B20" s="2847" t="s">
        <v>490</v>
      </c>
      <c r="C20" s="2804">
        <f ca="1">C21+C22-IF(B1="",'数据-取费表'!B29,IF(G20="已全部缴纳",C21+C22,H20))</f>
        <v>5197</v>
      </c>
      <c r="D20" s="2850"/>
      <c r="E20" s="2804"/>
      <c r="F20" s="2851"/>
      <c r="G20" s="3084"/>
      <c r="H20" s="2806"/>
      <c r="I20" s="2807" t="s">
        <v>2650</v>
      </c>
      <c r="J20" s="2813"/>
      <c r="K20" s="2814"/>
    </row>
    <row r="21" spans="1:14" s="2112" customFormat="1" ht="13.5" customHeight="1">
      <c r="A21" s="2838" t="s">
        <v>1857</v>
      </c>
      <c r="B21" s="2839" t="s">
        <v>491</v>
      </c>
      <c r="C21" s="53">
        <f ca="1">ROUND(D21*E21/10000,0)</f>
        <v>3672</v>
      </c>
      <c r="D21" s="2840">
        <f ca="1">IF(B1="",'数据-汇总表'!E5,IF(INDIRECT("'数据-取费表'!c"&amp;$K$1)="住宅",INDIRECT("'数据-取费表'!k"&amp;$K$1),0))</f>
        <v>125323</v>
      </c>
      <c r="E21" s="53">
        <f>'数据-取费表'!B27</f>
        <v>293</v>
      </c>
      <c r="F21" s="2843"/>
      <c r="G21" s="26"/>
      <c r="H21" s="51"/>
      <c r="I21" s="51"/>
      <c r="J21" s="51"/>
      <c r="K21" s="2815"/>
    </row>
    <row r="22" spans="1:14" s="2112" customFormat="1" ht="13.5" customHeight="1">
      <c r="A22" s="2838" t="s">
        <v>1858</v>
      </c>
      <c r="B22" s="2839" t="s">
        <v>492</v>
      </c>
      <c r="C22" s="53">
        <f ca="1">ROUND(D22*E22/10000,0)</f>
        <v>1525</v>
      </c>
      <c r="D22" s="2840">
        <f ca="1">IF(B1="",'数据-汇总表'!E6,IF(INDIRECT("'数据-取费表'!c"&amp;$K$1)="住宅",INDIRECT("'数据-取费表'!s"&amp;$K$1),INDIRECT("'数据-取费表'!k"&amp;$K$1)+INDIRECT("'数据-取费表'!s"&amp;$K$1)))</f>
        <v>55469</v>
      </c>
      <c r="E22" s="53">
        <f>'数据-取费表'!B28</f>
        <v>275</v>
      </c>
      <c r="F22" s="2843"/>
      <c r="G22" s="26"/>
      <c r="H22" s="51"/>
      <c r="I22" s="51"/>
      <c r="J22" s="51"/>
      <c r="K22" s="2815"/>
    </row>
    <row r="23" spans="1:14" s="2112" customFormat="1" ht="13.5" customHeight="1">
      <c r="A23" s="2846" t="s">
        <v>1859</v>
      </c>
      <c r="B23" s="3030" t="s">
        <v>2833</v>
      </c>
      <c r="C23" s="2848">
        <f ca="1">ROUND((C18+C19+C20)*F23,0)</f>
        <v>843</v>
      </c>
      <c r="D23" s="466"/>
      <c r="E23" s="466"/>
      <c r="F23" s="2852">
        <f>'数据-取费表'!B37</f>
        <v>1.4999999999999999E-2</v>
      </c>
      <c r="G23" s="2808" t="s">
        <v>2431</v>
      </c>
      <c r="H23" s="2809"/>
      <c r="I23" s="2809"/>
      <c r="J23" s="2809"/>
      <c r="K23" s="2810"/>
      <c r="L23" s="2114"/>
      <c r="M23" s="2114"/>
      <c r="N23" s="2114"/>
    </row>
    <row r="24" spans="1:14" s="2112" customFormat="1" ht="13.5" customHeight="1">
      <c r="A24" s="2846" t="s">
        <v>1860</v>
      </c>
      <c r="B24" s="3030" t="s">
        <v>2836</v>
      </c>
      <c r="C24" s="2848">
        <f ca="1">ROUND(C6*F24,0)</f>
        <v>1780</v>
      </c>
      <c r="D24" s="473"/>
      <c r="E24" s="471"/>
      <c r="F24" s="2852">
        <f>'数据-取费表'!B38</f>
        <v>0.01</v>
      </c>
      <c r="G24" s="2817" t="s">
        <v>499</v>
      </c>
      <c r="H24" s="2811"/>
      <c r="I24" s="2811"/>
      <c r="J24" s="2811"/>
      <c r="K24" s="277"/>
      <c r="L24" s="2114"/>
      <c r="M24" s="2114"/>
      <c r="N24" s="2114"/>
    </row>
    <row r="25" spans="1:14" s="2115" customFormat="1" ht="13.5" customHeight="1">
      <c r="A25" s="2846" t="s">
        <v>1861</v>
      </c>
      <c r="B25" s="3030" t="s">
        <v>2834</v>
      </c>
      <c r="C25" s="465">
        <f>ROUND(F25/(1+'数据-取费表'!C42),4)</f>
        <v>3.8600000000000002E-2</v>
      </c>
      <c r="D25" s="460" t="s">
        <v>2828</v>
      </c>
      <c r="E25" s="467"/>
      <c r="F25" s="2852">
        <f>'数据-取费表'!B48+'数据-取费表'!B49</f>
        <v>4.0500000000000001E-2</v>
      </c>
      <c r="G25" s="2816" t="s">
        <v>2289</v>
      </c>
      <c r="H25" s="2809"/>
      <c r="I25" s="2809"/>
      <c r="J25" s="2809"/>
      <c r="K25" s="2810"/>
    </row>
    <row r="26" spans="1:14" s="2114" customFormat="1" ht="13.5" customHeight="1">
      <c r="A26" s="2846" t="s">
        <v>1862</v>
      </c>
      <c r="B26" s="3031" t="s">
        <v>2835</v>
      </c>
      <c r="C26" s="2853">
        <f ca="1">C28</f>
        <v>2082</v>
      </c>
      <c r="D26" s="465">
        <f ca="1">C27</f>
        <v>7.4899999999999994E-2</v>
      </c>
      <c r="E26" s="467" t="s">
        <v>495</v>
      </c>
      <c r="F26" s="469">
        <f ca="1">'数据-取费表'!B40</f>
        <v>4.7500000000000001E-2</v>
      </c>
      <c r="G26" s="2568" t="str">
        <f>IF('数据-取费表'!B22&lt;=1,"单利计息。","复利计息。")&amp;"后续开发成本、管理费用及销售费用产生的利息。"</f>
        <v>复利计息。后续开发成本、管理费用及销售费用产生的利息。</v>
      </c>
      <c r="H26" s="2813"/>
      <c r="I26" s="2813"/>
      <c r="J26" s="2813"/>
      <c r="K26" s="2814"/>
    </row>
    <row r="27" spans="1:14" s="2116" customFormat="1" ht="13.5" customHeight="1">
      <c r="A27" s="801" t="s">
        <v>1857</v>
      </c>
      <c r="B27" s="2854" t="s">
        <v>496</v>
      </c>
      <c r="C27" s="2855">
        <f ca="1">ROUND(IF('数据-取费表'!B22&lt;=1,(1+C25)*F26*'数据-取费表'!B24,(1+C25)*(POWER((1+F26),'数据-取费表'!B24)-1)),4)</f>
        <v>7.4899999999999994E-2</v>
      </c>
      <c r="D27" s="470"/>
      <c r="E27" s="471"/>
      <c r="F27" s="472"/>
      <c r="G27" s="2568" t="str">
        <f>IF('数据-取费表'!B22&lt;=1,"（1+取得税费率/(1+5%)）×年利率×建设期","（1+取得税费率）/(1+5%)×((1+年利率)^建设期-1)")</f>
        <v>（1+取得税费率）/(1+5%)×((1+年利率)^建设期-1)</v>
      </c>
      <c r="H27" s="2811"/>
      <c r="I27" s="2811"/>
      <c r="J27" s="2811"/>
      <c r="K27" s="277"/>
    </row>
    <row r="28" spans="1:14" s="2116" customFormat="1" ht="13.5" customHeight="1">
      <c r="A28" s="801" t="s">
        <v>1858</v>
      </c>
      <c r="B28" s="2854" t="s">
        <v>2837</v>
      </c>
      <c r="C28" s="2856">
        <f ca="1">ROUND(IF('数据-取费表'!B22&lt;=1,(C18+C19+C20+C23+C24)*F26*'数据-取费表'!B24/2,(C18+C19+C20+C23+C24)*(POWER((1+F26),'数据-取费表'!B24/2)-1)),0)</f>
        <v>2082</v>
      </c>
      <c r="D28" s="470"/>
      <c r="E28" s="471"/>
      <c r="F28" s="472"/>
      <c r="G28" s="2568" t="str">
        <f>IF('数据-取费表'!B22&lt;=1,"（1）-（4）项×年利率×建设期÷2","（1）-（4）项×((1+年利率)^(建设期÷2)-1)")</f>
        <v>（1）-（4）项×((1+年利率)^(建设期÷2)-1)</v>
      </c>
      <c r="H28" s="2811"/>
      <c r="I28" s="2811"/>
      <c r="J28" s="2811"/>
      <c r="K28" s="277"/>
    </row>
    <row r="29" spans="1:14" s="2116" customFormat="1" ht="13.5" customHeight="1">
      <c r="A29" s="2857" t="s">
        <v>1863</v>
      </c>
      <c r="B29" s="2847" t="s">
        <v>497</v>
      </c>
      <c r="C29" s="2848">
        <f ca="1">ROUND(C6*F29/(1+'数据-取费表'!C42),0)</f>
        <v>9493</v>
      </c>
      <c r="D29" s="466"/>
      <c r="E29" s="466"/>
      <c r="F29" s="3032">
        <f>'数据-取费表'!B41</f>
        <v>5.6000000000000001E-2</v>
      </c>
      <c r="G29" s="2817" t="s">
        <v>498</v>
      </c>
      <c r="H29" s="2809"/>
      <c r="I29" s="2809"/>
      <c r="J29" s="2809"/>
      <c r="K29" s="2810"/>
    </row>
    <row r="30" spans="1:14" s="2117" customFormat="1" ht="13.5" customHeight="1">
      <c r="A30" s="1630" t="s">
        <v>1864</v>
      </c>
      <c r="B30" s="2858" t="s">
        <v>500</v>
      </c>
      <c r="C30" s="2853">
        <f ca="1">C31</f>
        <v>70373</v>
      </c>
      <c r="D30" s="475">
        <f ca="1">C32</f>
        <v>0.1135</v>
      </c>
      <c r="E30" s="467" t="s">
        <v>495</v>
      </c>
      <c r="F30" s="469"/>
      <c r="G30" s="2816" t="s">
        <v>2973</v>
      </c>
      <c r="H30" s="2809"/>
      <c r="I30" s="2809"/>
      <c r="J30" s="2809"/>
      <c r="K30" s="2810"/>
    </row>
    <row r="31" spans="1:14" s="2116" customFormat="1" ht="13.5" customHeight="1">
      <c r="A31" s="801" t="s">
        <v>1857</v>
      </c>
      <c r="B31" s="2854"/>
      <c r="C31" s="448">
        <f ca="1">C18+C19+C20+C23+C24+C26+C29</f>
        <v>70373</v>
      </c>
      <c r="D31" s="470"/>
      <c r="E31" s="471"/>
      <c r="F31" s="472"/>
      <c r="G31" s="259"/>
      <c r="H31" s="2811"/>
      <c r="I31" s="2811"/>
      <c r="J31" s="2811"/>
      <c r="K31" s="277"/>
    </row>
    <row r="32" spans="1:14" s="2116" customFormat="1" ht="13.5" customHeight="1">
      <c r="A32" s="801" t="s">
        <v>1858</v>
      </c>
      <c r="B32" s="2854"/>
      <c r="C32" s="53">
        <f ca="1">ROUND(C25+D26,4)</f>
        <v>0.1135</v>
      </c>
      <c r="D32" s="470"/>
      <c r="E32" s="471"/>
      <c r="F32" s="472"/>
      <c r="G32" s="259"/>
      <c r="H32" s="2811"/>
      <c r="I32" s="2811"/>
      <c r="J32" s="2811"/>
      <c r="K32" s="277"/>
    </row>
    <row r="33" spans="1:11" s="2118" customFormat="1" ht="13.5" customHeight="1">
      <c r="A33" s="3029" t="s">
        <v>2832</v>
      </c>
      <c r="B33" s="3027" t="s">
        <v>2830</v>
      </c>
      <c r="C33" s="476">
        <f ca="1">C35</f>
        <v>4116</v>
      </c>
      <c r="D33" s="465">
        <f ca="1">C34</f>
        <v>7.2700000000000001E-2</v>
      </c>
      <c r="E33" s="467" t="s">
        <v>495</v>
      </c>
      <c r="F33" s="477">
        <f ca="1">IF(B1="",'数据-取费表'!Q16,INDIRECT("'数据-取费表'!q"&amp;$K$1))</f>
        <v>7.0000000000000007E-2</v>
      </c>
      <c r="G33" s="2812"/>
      <c r="H33" s="2813"/>
      <c r="I33" s="2813"/>
      <c r="J33" s="2813"/>
      <c r="K33" s="2814"/>
    </row>
    <row r="34" spans="1:11" s="2119" customFormat="1" ht="13.5" customHeight="1">
      <c r="A34" s="373" t="s">
        <v>1857</v>
      </c>
      <c r="B34" s="2859" t="s">
        <v>501</v>
      </c>
      <c r="C34" s="470">
        <f ca="1">ROUND((1+C25)*F33,4)</f>
        <v>7.2700000000000001E-2</v>
      </c>
      <c r="D34" s="470"/>
      <c r="E34" s="471"/>
      <c r="F34" s="478"/>
      <c r="G34" s="259" t="s">
        <v>2290</v>
      </c>
      <c r="H34" s="2811"/>
      <c r="I34" s="2811"/>
      <c r="J34" s="2811"/>
      <c r="K34" s="277"/>
    </row>
    <row r="35" spans="1:11" s="2119" customFormat="1" ht="13.5" customHeight="1" thickBot="1">
      <c r="A35" s="1631" t="s">
        <v>1858</v>
      </c>
      <c r="B35" s="3028" t="s">
        <v>2838</v>
      </c>
      <c r="C35" s="1623">
        <f ca="1">ROUND((C18+C19+C20+C23+C24)*F33,0)</f>
        <v>4116</v>
      </c>
      <c r="D35" s="1624"/>
      <c r="E35" s="2860"/>
      <c r="F35" s="1625"/>
      <c r="G35" s="2818"/>
      <c r="H35" s="2819"/>
      <c r="I35" s="2819"/>
      <c r="J35" s="2819"/>
      <c r="K35" s="2820"/>
    </row>
    <row r="36" spans="1:11" s="2081" customFormat="1" ht="13.5" customHeight="1" thickBot="1">
      <c r="A36" s="282" t="s">
        <v>1845</v>
      </c>
      <c r="B36" s="2822"/>
      <c r="C36" s="2861">
        <f ca="1">ROUND((C6-C30-C33)/(1+D30+D33),0)</f>
        <v>87258</v>
      </c>
      <c r="D36" s="2822"/>
      <c r="E36" s="2822"/>
      <c r="F36" s="2822"/>
      <c r="G36" s="2821" t="s">
        <v>2839</v>
      </c>
      <c r="H36" s="2822"/>
      <c r="I36" s="2822"/>
      <c r="J36" s="2822"/>
      <c r="K36" s="282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E58"/>
  <sheetViews>
    <sheetView showZeros="0" topLeftCell="A4" zoomScale="90" zoomScaleNormal="90" zoomScaleSheetLayoutView="103" workbookViewId="0">
      <selection activeCell="I57" sqref="I57"/>
    </sheetView>
  </sheetViews>
  <sheetFormatPr defaultRowHeight="15.75"/>
  <cols>
    <col min="1" max="1" width="3" style="3454" customWidth="1"/>
    <col min="2" max="2" width="5.125" style="3454" customWidth="1"/>
    <col min="3" max="3" width="28.375" style="3454" customWidth="1"/>
    <col min="4" max="4" width="8.125" style="3454" customWidth="1"/>
    <col min="5" max="5" width="9.125" style="3454" customWidth="1"/>
    <col min="6" max="6" width="5" style="3454" customWidth="1"/>
    <col min="7" max="7" width="8.25" style="3454" customWidth="1"/>
    <col min="8" max="27" width="7.375" style="3454" customWidth="1"/>
    <col min="28" max="28" width="10.875" style="3454" customWidth="1"/>
    <col min="29" max="29" width="12.625" style="3454" customWidth="1"/>
    <col min="30" max="30" width="12.75" style="3454" customWidth="1"/>
    <col min="31" max="31" width="13.125" style="3454" bestFit="1" customWidth="1"/>
    <col min="32" max="16384" width="9" style="3454"/>
  </cols>
  <sheetData>
    <row r="1" spans="2:31" s="3391" customFormat="1" ht="21.75" customHeight="1">
      <c r="B1" s="3756" t="s">
        <v>3444</v>
      </c>
      <c r="C1" s="3756"/>
      <c r="D1" s="3756"/>
      <c r="E1" s="3756"/>
      <c r="F1" s="3756"/>
      <c r="G1" s="3756"/>
      <c r="H1" s="3756"/>
      <c r="I1" s="3756"/>
      <c r="J1" s="3756"/>
      <c r="K1" s="3389"/>
      <c r="L1" s="3389"/>
      <c r="M1" s="3389"/>
      <c r="N1" s="3389"/>
      <c r="O1" s="3390"/>
      <c r="P1" s="3390"/>
      <c r="Q1" s="3390"/>
      <c r="R1" s="3390"/>
      <c r="S1" s="3390"/>
      <c r="T1" s="3390"/>
      <c r="U1" s="3390"/>
      <c r="V1" s="3390"/>
      <c r="W1" s="3390"/>
      <c r="X1" s="3390"/>
      <c r="Y1" s="3390"/>
      <c r="Z1" s="3390"/>
      <c r="AA1" s="3390"/>
    </row>
    <row r="2" spans="2:31" s="3391" customFormat="1" ht="15.75" customHeight="1" thickBot="1">
      <c r="B2" s="3757" t="s">
        <v>3445</v>
      </c>
      <c r="C2" s="3757"/>
      <c r="D2" s="3757"/>
      <c r="E2" s="3757"/>
      <c r="F2" s="3757"/>
      <c r="G2" s="3757"/>
      <c r="H2" s="3757"/>
      <c r="I2" s="3757"/>
      <c r="J2" s="3757"/>
      <c r="K2" s="3392"/>
      <c r="L2" s="3392"/>
      <c r="M2" s="3393"/>
      <c r="N2" s="3394"/>
      <c r="O2" s="3394"/>
      <c r="P2" s="3394"/>
      <c r="Q2" s="3394"/>
      <c r="R2" s="3394"/>
      <c r="S2" s="3394"/>
      <c r="T2" s="3394"/>
      <c r="U2" s="3394"/>
      <c r="V2" s="3394"/>
      <c r="W2" s="3394"/>
      <c r="X2" s="3394"/>
      <c r="Y2" s="3394"/>
      <c r="Z2" s="3394"/>
      <c r="AA2" s="3394"/>
    </row>
    <row r="3" spans="2:31" s="3402" customFormat="1" ht="37.5" customHeight="1">
      <c r="B3" s="3395" t="s">
        <v>2375</v>
      </c>
      <c r="C3" s="3396" t="s">
        <v>2376</v>
      </c>
      <c r="D3" s="3397" t="s">
        <v>3446</v>
      </c>
      <c r="E3" s="3397" t="s">
        <v>3447</v>
      </c>
      <c r="F3" s="3397" t="s">
        <v>3448</v>
      </c>
      <c r="G3" s="3397" t="s">
        <v>3449</v>
      </c>
      <c r="H3" s="3397" t="s">
        <v>3450</v>
      </c>
      <c r="I3" s="3397" t="s">
        <v>3451</v>
      </c>
      <c r="J3" s="3398" t="s">
        <v>3452</v>
      </c>
      <c r="K3" s="3399" t="s">
        <v>3453</v>
      </c>
      <c r="L3" s="3397" t="s">
        <v>3454</v>
      </c>
      <c r="M3" s="3397" t="s">
        <v>3455</v>
      </c>
      <c r="N3" s="3397" t="s">
        <v>3456</v>
      </c>
      <c r="O3" s="3397" t="s">
        <v>3457</v>
      </c>
      <c r="P3" s="3397" t="s">
        <v>3458</v>
      </c>
      <c r="Q3" s="3397" t="s">
        <v>3459</v>
      </c>
      <c r="R3" s="3397" t="s">
        <v>3460</v>
      </c>
      <c r="S3" s="3397" t="s">
        <v>3461</v>
      </c>
      <c r="T3" s="3397" t="s">
        <v>3462</v>
      </c>
      <c r="U3" s="3397" t="s">
        <v>3463</v>
      </c>
      <c r="V3" s="3397" t="s">
        <v>3464</v>
      </c>
      <c r="W3" s="3397" t="s">
        <v>3465</v>
      </c>
      <c r="X3" s="3397" t="s">
        <v>3466</v>
      </c>
      <c r="Y3" s="3397" t="s">
        <v>3467</v>
      </c>
      <c r="Z3" s="3397" t="s">
        <v>3468</v>
      </c>
      <c r="AA3" s="3398" t="s">
        <v>3469</v>
      </c>
      <c r="AB3" s="3400" t="s">
        <v>3470</v>
      </c>
      <c r="AC3" s="3401" t="s">
        <v>3471</v>
      </c>
    </row>
    <row r="4" spans="2:31" s="3412" customFormat="1" ht="18" customHeight="1">
      <c r="B4" s="3403" t="s">
        <v>3148</v>
      </c>
      <c r="C4" s="3404" t="s">
        <v>3472</v>
      </c>
      <c r="D4" s="3405">
        <f>SUM(H4:AA4)</f>
        <v>221063.49680000002</v>
      </c>
      <c r="E4" s="3405"/>
      <c r="F4" s="3405"/>
      <c r="G4" s="3405"/>
      <c r="H4" s="3405">
        <f t="shared" ref="H4:AA4" si="0">H5+H30+H39</f>
        <v>74917.948399999994</v>
      </c>
      <c r="I4" s="3405">
        <f t="shared" si="0"/>
        <v>130106.3484</v>
      </c>
      <c r="J4" s="3406">
        <f t="shared" si="0"/>
        <v>16039.2</v>
      </c>
      <c r="K4" s="3407">
        <f t="shared" si="0"/>
        <v>0</v>
      </c>
      <c r="L4" s="3405">
        <f t="shared" si="0"/>
        <v>0</v>
      </c>
      <c r="M4" s="3405">
        <f t="shared" si="0"/>
        <v>0</v>
      </c>
      <c r="N4" s="3405">
        <f t="shared" si="0"/>
        <v>0</v>
      </c>
      <c r="O4" s="3405">
        <f t="shared" si="0"/>
        <v>0</v>
      </c>
      <c r="P4" s="3405">
        <f t="shared" si="0"/>
        <v>0</v>
      </c>
      <c r="Q4" s="3405">
        <f t="shared" si="0"/>
        <v>0</v>
      </c>
      <c r="R4" s="3405">
        <f t="shared" si="0"/>
        <v>0</v>
      </c>
      <c r="S4" s="3405">
        <f t="shared" si="0"/>
        <v>0</v>
      </c>
      <c r="T4" s="3405">
        <f t="shared" si="0"/>
        <v>0</v>
      </c>
      <c r="U4" s="3405">
        <f t="shared" si="0"/>
        <v>0</v>
      </c>
      <c r="V4" s="3405">
        <f t="shared" si="0"/>
        <v>0</v>
      </c>
      <c r="W4" s="3405">
        <f t="shared" si="0"/>
        <v>0</v>
      </c>
      <c r="X4" s="3405">
        <f t="shared" si="0"/>
        <v>0</v>
      </c>
      <c r="Y4" s="3405">
        <f t="shared" si="0"/>
        <v>0</v>
      </c>
      <c r="Z4" s="3405">
        <f t="shared" si="0"/>
        <v>0</v>
      </c>
      <c r="AA4" s="3406">
        <f t="shared" si="0"/>
        <v>0</v>
      </c>
      <c r="AB4" s="3408"/>
      <c r="AC4" s="3409"/>
      <c r="AD4" s="3410"/>
      <c r="AE4" s="3411"/>
    </row>
    <row r="5" spans="2:31" s="3412" customFormat="1" ht="18" customHeight="1">
      <c r="B5" s="3413">
        <v>1</v>
      </c>
      <c r="C5" s="3404" t="s">
        <v>3473</v>
      </c>
      <c r="D5" s="3405">
        <f>SUM(H5:AA5)</f>
        <v>221063.49680000002</v>
      </c>
      <c r="E5" s="3405">
        <f>SUM(E6:E18)</f>
        <v>131123</v>
      </c>
      <c r="F5" s="3405"/>
      <c r="G5" s="3405"/>
      <c r="H5" s="3405">
        <f t="shared" ref="H5:AA5" si="1">H6+H8+H10+H12+H14+H16+H18+H20+H22+H24+H26+H28</f>
        <v>74917.948399999994</v>
      </c>
      <c r="I5" s="3405">
        <f t="shared" si="1"/>
        <v>130106.3484</v>
      </c>
      <c r="J5" s="3406">
        <f t="shared" si="1"/>
        <v>16039.2</v>
      </c>
      <c r="K5" s="3407">
        <f t="shared" si="1"/>
        <v>0</v>
      </c>
      <c r="L5" s="3405">
        <f t="shared" si="1"/>
        <v>0</v>
      </c>
      <c r="M5" s="3405">
        <f t="shared" si="1"/>
        <v>0</v>
      </c>
      <c r="N5" s="3405">
        <f t="shared" si="1"/>
        <v>0</v>
      </c>
      <c r="O5" s="3405">
        <f t="shared" si="1"/>
        <v>0</v>
      </c>
      <c r="P5" s="3405">
        <f t="shared" si="1"/>
        <v>0</v>
      </c>
      <c r="Q5" s="3405">
        <f t="shared" si="1"/>
        <v>0</v>
      </c>
      <c r="R5" s="3405">
        <f t="shared" si="1"/>
        <v>0</v>
      </c>
      <c r="S5" s="3405">
        <f t="shared" si="1"/>
        <v>0</v>
      </c>
      <c r="T5" s="3405">
        <f t="shared" si="1"/>
        <v>0</v>
      </c>
      <c r="U5" s="3405">
        <f t="shared" si="1"/>
        <v>0</v>
      </c>
      <c r="V5" s="3405">
        <f t="shared" si="1"/>
        <v>0</v>
      </c>
      <c r="W5" s="3405">
        <f t="shared" si="1"/>
        <v>0</v>
      </c>
      <c r="X5" s="3405">
        <f t="shared" si="1"/>
        <v>0</v>
      </c>
      <c r="Y5" s="3405">
        <f t="shared" si="1"/>
        <v>0</v>
      </c>
      <c r="Z5" s="3405">
        <f t="shared" si="1"/>
        <v>0</v>
      </c>
      <c r="AA5" s="3405">
        <f t="shared" si="1"/>
        <v>0</v>
      </c>
      <c r="AB5" s="3408"/>
      <c r="AC5" s="3409">
        <f>[2]敏感性分析!I14</f>
        <v>1</v>
      </c>
      <c r="AD5" s="3414" t="s">
        <v>3474</v>
      </c>
      <c r="AE5" s="3411"/>
    </row>
    <row r="6" spans="2:31" s="3423" customFormat="1" ht="18" customHeight="1">
      <c r="B6" s="3415">
        <v>1.1000000000000001</v>
      </c>
      <c r="C6" s="3416" t="str">
        <f>[2]经济指标!C6</f>
        <v>高层</v>
      </c>
      <c r="D6" s="3417">
        <f>SUM(H6:AA6)</f>
        <v>54886.400000000001</v>
      </c>
      <c r="E6" s="3418">
        <f>[2]经济指标!D6</f>
        <v>34304</v>
      </c>
      <c r="F6" s="3419" t="s">
        <v>3475</v>
      </c>
      <c r="G6" s="3417">
        <v>16000</v>
      </c>
      <c r="H6" s="3417">
        <f>G6*E6*H7/10000</f>
        <v>54886.400000000001</v>
      </c>
      <c r="I6" s="3417">
        <f>E6*G6*I7/10000</f>
        <v>0</v>
      </c>
      <c r="J6" s="3420">
        <f>E6*G6*J7/10000</f>
        <v>0</v>
      </c>
      <c r="K6" s="3421">
        <f>E6*G6*K7/10000</f>
        <v>0</v>
      </c>
      <c r="L6" s="3417">
        <f>E6*G6*L7/10000</f>
        <v>0</v>
      </c>
      <c r="M6" s="3417">
        <f>E6*G6*M7/10000</f>
        <v>0</v>
      </c>
      <c r="N6" s="3417"/>
      <c r="O6" s="3417"/>
      <c r="P6" s="3417"/>
      <c r="Q6" s="3417"/>
      <c r="R6" s="3417"/>
      <c r="S6" s="3417"/>
      <c r="T6" s="3417"/>
      <c r="U6" s="3417"/>
      <c r="V6" s="3417"/>
      <c r="W6" s="3417"/>
      <c r="X6" s="3417"/>
      <c r="Y6" s="3417"/>
      <c r="Z6" s="3417"/>
      <c r="AA6" s="3420"/>
      <c r="AB6" s="3408">
        <v>13500</v>
      </c>
      <c r="AC6" s="3422"/>
      <c r="AD6" s="3402">
        <v>13963923457</v>
      </c>
    </row>
    <row r="7" spans="2:31" s="3423" customFormat="1" ht="18" customHeight="1">
      <c r="B7" s="3415"/>
      <c r="C7" s="3416" t="s">
        <v>3476</v>
      </c>
      <c r="D7" s="3417"/>
      <c r="E7" s="3424"/>
      <c r="F7" s="3419"/>
      <c r="G7" s="3425"/>
      <c r="H7" s="3426">
        <v>1</v>
      </c>
      <c r="I7" s="3426">
        <v>0</v>
      </c>
      <c r="J7" s="3427"/>
      <c r="K7" s="3428">
        <v>0</v>
      </c>
      <c r="L7" s="3429">
        <v>0</v>
      </c>
      <c r="M7" s="3429">
        <v>0</v>
      </c>
      <c r="N7" s="3417"/>
      <c r="O7" s="3417"/>
      <c r="P7" s="3417"/>
      <c r="Q7" s="3417"/>
      <c r="R7" s="3417"/>
      <c r="S7" s="3417"/>
      <c r="T7" s="3417"/>
      <c r="U7" s="3417"/>
      <c r="V7" s="3417"/>
      <c r="W7" s="3417"/>
      <c r="X7" s="3417"/>
      <c r="Y7" s="3417"/>
      <c r="Z7" s="3417"/>
      <c r="AA7" s="3420"/>
      <c r="AB7" s="3408"/>
      <c r="AC7" s="3422"/>
      <c r="AD7" s="3402"/>
    </row>
    <row r="8" spans="2:31" s="3423" customFormat="1" ht="18" customHeight="1">
      <c r="B8" s="3415">
        <v>1.2</v>
      </c>
      <c r="C8" s="3416" t="str">
        <f>[2]经济指标!C7</f>
        <v>人才公寓</v>
      </c>
      <c r="D8" s="3417">
        <f>SUM(H8:AA8)</f>
        <v>40063.096799999999</v>
      </c>
      <c r="E8" s="3418">
        <f>[2]经济指标!D7</f>
        <v>50129</v>
      </c>
      <c r="F8" s="3419" t="s">
        <v>3477</v>
      </c>
      <c r="G8" s="3417">
        <v>7992</v>
      </c>
      <c r="H8" s="3417">
        <f>G8*E8*H9/10000</f>
        <v>20031.5484</v>
      </c>
      <c r="I8" s="3417">
        <f>E8*G8*I9/10000</f>
        <v>20031.5484</v>
      </c>
      <c r="J8" s="3420">
        <f>E8*G8*J9/10000</f>
        <v>0</v>
      </c>
      <c r="K8" s="3421">
        <f>E8*G8*K9/10000</f>
        <v>0</v>
      </c>
      <c r="L8" s="3430">
        <f>E8*G8*L9/10000</f>
        <v>0</v>
      </c>
      <c r="M8" s="3430">
        <f>E8*G8*M9/10000</f>
        <v>0</v>
      </c>
      <c r="N8" s="3417"/>
      <c r="O8" s="3417"/>
      <c r="P8" s="3417"/>
      <c r="Q8" s="3417"/>
      <c r="R8" s="3417"/>
      <c r="S8" s="3417"/>
      <c r="T8" s="3417"/>
      <c r="U8" s="3417"/>
      <c r="V8" s="3417"/>
      <c r="W8" s="3417"/>
      <c r="X8" s="3417"/>
      <c r="Y8" s="3417"/>
      <c r="Z8" s="3417"/>
      <c r="AA8" s="3420"/>
      <c r="AB8" s="3408">
        <v>14500</v>
      </c>
      <c r="AC8" s="3422"/>
      <c r="AD8" s="3402"/>
    </row>
    <row r="9" spans="2:31" s="3423" customFormat="1" ht="18" customHeight="1">
      <c r="B9" s="3415"/>
      <c r="C9" s="3416" t="s">
        <v>3476</v>
      </c>
      <c r="D9" s="3417"/>
      <c r="E9" s="3431"/>
      <c r="F9" s="3419"/>
      <c r="G9" s="3417"/>
      <c r="H9" s="3426">
        <v>0.5</v>
      </c>
      <c r="I9" s="3426">
        <v>0.5</v>
      </c>
      <c r="J9" s="3427"/>
      <c r="K9" s="3428"/>
      <c r="L9" s="3429"/>
      <c r="M9" s="3429"/>
      <c r="N9" s="3417"/>
      <c r="O9" s="3417"/>
      <c r="P9" s="3417"/>
      <c r="Q9" s="3417"/>
      <c r="R9" s="3417"/>
      <c r="S9" s="3417"/>
      <c r="T9" s="3417"/>
      <c r="U9" s="3417"/>
      <c r="V9" s="3417"/>
      <c r="W9" s="3417"/>
      <c r="X9" s="3417"/>
      <c r="Y9" s="3417"/>
      <c r="Z9" s="3417"/>
      <c r="AA9" s="3420"/>
      <c r="AB9" s="3408"/>
      <c r="AC9" s="3422"/>
      <c r="AD9" s="3402"/>
    </row>
    <row r="10" spans="2:31" s="3423" customFormat="1" ht="18" customHeight="1">
      <c r="B10" s="3415">
        <v>1.3</v>
      </c>
      <c r="C10" s="3416" t="str">
        <f>[2]经济指标!C8</f>
        <v>联排别墅</v>
      </c>
      <c r="D10" s="3417">
        <f>SUM(H10:AA10)</f>
        <v>98136</v>
      </c>
      <c r="E10" s="3418">
        <f>[2]经济指标!D8</f>
        <v>40890</v>
      </c>
      <c r="F10" s="3419" t="s">
        <v>3477</v>
      </c>
      <c r="G10" s="3417">
        <v>24000</v>
      </c>
      <c r="H10" s="3417">
        <f>G10*E10*H11/10000</f>
        <v>0</v>
      </c>
      <c r="I10" s="3417">
        <f>E10*G10*I11/10000</f>
        <v>98136</v>
      </c>
      <c r="J10" s="3420">
        <f>E10*G10*J11/10000</f>
        <v>0</v>
      </c>
      <c r="K10" s="3421">
        <f>E10*G10*K11/10000</f>
        <v>0</v>
      </c>
      <c r="L10" s="3430">
        <f>E10*G10*L11/10000</f>
        <v>0</v>
      </c>
      <c r="M10" s="3430">
        <f>E10*G10*M11/10000</f>
        <v>0</v>
      </c>
      <c r="N10" s="3417"/>
      <c r="O10" s="3417"/>
      <c r="P10" s="3417"/>
      <c r="Q10" s="3417"/>
      <c r="R10" s="3417"/>
      <c r="S10" s="3417"/>
      <c r="T10" s="3417"/>
      <c r="U10" s="3417"/>
      <c r="V10" s="3417"/>
      <c r="W10" s="3417"/>
      <c r="X10" s="3417"/>
      <c r="Y10" s="3417"/>
      <c r="Z10" s="3417"/>
      <c r="AA10" s="3420"/>
      <c r="AB10" s="3408">
        <v>21000</v>
      </c>
      <c r="AC10" s="3422"/>
      <c r="AD10" s="3402"/>
    </row>
    <row r="11" spans="2:31" s="3423" customFormat="1" ht="18" customHeight="1">
      <c r="B11" s="3415"/>
      <c r="C11" s="3416" t="s">
        <v>3476</v>
      </c>
      <c r="D11" s="3417"/>
      <c r="E11" s="3424"/>
      <c r="F11" s="3419"/>
      <c r="G11" s="3417"/>
      <c r="H11" s="3426">
        <v>0</v>
      </c>
      <c r="I11" s="3426">
        <v>1</v>
      </c>
      <c r="J11" s="3427"/>
      <c r="K11" s="3428"/>
      <c r="L11" s="3429"/>
      <c r="M11" s="3429">
        <v>0</v>
      </c>
      <c r="N11" s="3417"/>
      <c r="O11" s="3417"/>
      <c r="P11" s="3417"/>
      <c r="Q11" s="3417"/>
      <c r="R11" s="3417"/>
      <c r="S11" s="3417"/>
      <c r="T11" s="3417"/>
      <c r="U11" s="3417"/>
      <c r="V11" s="3417"/>
      <c r="W11" s="3417"/>
      <c r="X11" s="3417"/>
      <c r="Y11" s="3417"/>
      <c r="Z11" s="3417"/>
      <c r="AA11" s="3420"/>
      <c r="AB11" s="3408"/>
      <c r="AC11" s="3422"/>
      <c r="AD11" s="3402"/>
    </row>
    <row r="12" spans="2:31" s="3423" customFormat="1" ht="18" customHeight="1">
      <c r="B12" s="3415">
        <v>1.3</v>
      </c>
      <c r="C12" s="3416" t="str">
        <f>[2]经济指标!C9</f>
        <v>商业</v>
      </c>
      <c r="D12" s="3417">
        <f>SUM(H12:AA12)</f>
        <v>7476</v>
      </c>
      <c r="E12" s="3418">
        <f>[2]经济指标!D9</f>
        <v>3738</v>
      </c>
      <c r="F12" s="3419" t="s">
        <v>3477</v>
      </c>
      <c r="G12" s="3417">
        <v>20000</v>
      </c>
      <c r="H12" s="3417">
        <f>G12*E12*H13/10000</f>
        <v>0</v>
      </c>
      <c r="I12" s="3417">
        <f>E12*G12*I13/10000</f>
        <v>3738</v>
      </c>
      <c r="J12" s="3420">
        <f>E12*G12*J13/10000</f>
        <v>3738</v>
      </c>
      <c r="K12" s="3421">
        <f>E12*G12*K13/10000</f>
        <v>0</v>
      </c>
      <c r="L12" s="3430">
        <f>E12*G12*L13/10000</f>
        <v>0</v>
      </c>
      <c r="M12" s="3430">
        <f>E12*G12*M13/10000</f>
        <v>0</v>
      </c>
      <c r="N12" s="3417"/>
      <c r="O12" s="3417"/>
      <c r="P12" s="3417"/>
      <c r="Q12" s="3417"/>
      <c r="R12" s="3417"/>
      <c r="S12" s="3417"/>
      <c r="T12" s="3417"/>
      <c r="U12" s="3417"/>
      <c r="V12" s="3417"/>
      <c r="W12" s="3417"/>
      <c r="X12" s="3417"/>
      <c r="Y12" s="3417"/>
      <c r="Z12" s="3417"/>
      <c r="AA12" s="3420"/>
      <c r="AB12" s="3408">
        <v>23500</v>
      </c>
      <c r="AC12" s="3422"/>
      <c r="AD12" s="3402"/>
    </row>
    <row r="13" spans="2:31" s="3423" customFormat="1" ht="18" customHeight="1">
      <c r="B13" s="3415"/>
      <c r="C13" s="3416" t="s">
        <v>3476</v>
      </c>
      <c r="D13" s="3417"/>
      <c r="E13" s="3424"/>
      <c r="F13" s="3419"/>
      <c r="G13" s="3417"/>
      <c r="H13" s="3426">
        <v>0</v>
      </c>
      <c r="I13" s="3426">
        <v>0.5</v>
      </c>
      <c r="J13" s="3427">
        <v>0.5</v>
      </c>
      <c r="K13" s="3428">
        <v>0</v>
      </c>
      <c r="L13" s="3429"/>
      <c r="M13" s="3429">
        <v>0</v>
      </c>
      <c r="N13" s="3417"/>
      <c r="O13" s="3417"/>
      <c r="P13" s="3417"/>
      <c r="Q13" s="3417"/>
      <c r="R13" s="3417"/>
      <c r="S13" s="3417"/>
      <c r="T13" s="3417"/>
      <c r="U13" s="3417"/>
      <c r="V13" s="3417"/>
      <c r="W13" s="3417"/>
      <c r="X13" s="3417"/>
      <c r="Y13" s="3417"/>
      <c r="Z13" s="3417"/>
      <c r="AA13" s="3420"/>
      <c r="AB13" s="3408"/>
      <c r="AC13" s="3422"/>
      <c r="AD13" s="3402"/>
    </row>
    <row r="14" spans="2:31" s="3423" customFormat="1" ht="18" customHeight="1">
      <c r="B14" s="3415">
        <v>1.4</v>
      </c>
      <c r="C14" s="3416" t="str">
        <f>[2]经济指标!C10</f>
        <v>公建配套</v>
      </c>
      <c r="D14" s="3417">
        <f>SUM(H14:AA14)</f>
        <v>0</v>
      </c>
      <c r="E14" s="3418">
        <f>[2]经济指标!D10</f>
        <v>2062</v>
      </c>
      <c r="F14" s="3419" t="s">
        <v>3475</v>
      </c>
      <c r="G14" s="3417">
        <v>0</v>
      </c>
      <c r="H14" s="3417">
        <f>G14*E14*H15/10000</f>
        <v>0</v>
      </c>
      <c r="I14" s="3417">
        <f>E14*G14*I15/10000</f>
        <v>0</v>
      </c>
      <c r="J14" s="3420">
        <f>E14*G14*J15/10000</f>
        <v>0</v>
      </c>
      <c r="K14" s="3421">
        <f>E14*G14*K15/10000</f>
        <v>0</v>
      </c>
      <c r="L14" s="3430">
        <f>E14*G14*L15/10000</f>
        <v>0</v>
      </c>
      <c r="M14" s="3430">
        <f>E14*G14*M15/10000</f>
        <v>0</v>
      </c>
      <c r="N14" s="3417"/>
      <c r="O14" s="3417"/>
      <c r="P14" s="3417"/>
      <c r="Q14" s="3417"/>
      <c r="R14" s="3417"/>
      <c r="S14" s="3417"/>
      <c r="T14" s="3417"/>
      <c r="U14" s="3417"/>
      <c r="V14" s="3417"/>
      <c r="W14" s="3417"/>
      <c r="X14" s="3417"/>
      <c r="Y14" s="3417"/>
      <c r="Z14" s="3417"/>
      <c r="AA14" s="3420"/>
      <c r="AB14" s="3408">
        <v>12500</v>
      </c>
      <c r="AC14" s="3422"/>
      <c r="AD14" s="3402"/>
    </row>
    <row r="15" spans="2:31" s="3423" customFormat="1" ht="18" customHeight="1">
      <c r="B15" s="3415"/>
      <c r="C15" s="3416" t="s">
        <v>3478</v>
      </c>
      <c r="D15" s="3417"/>
      <c r="E15" s="3431"/>
      <c r="F15" s="3419"/>
      <c r="G15" s="3417"/>
      <c r="H15" s="3426"/>
      <c r="I15" s="3426">
        <v>0.3</v>
      </c>
      <c r="J15" s="3427">
        <v>0.4</v>
      </c>
      <c r="K15" s="3428">
        <v>0.3</v>
      </c>
      <c r="L15" s="3429">
        <v>0</v>
      </c>
      <c r="M15" s="3429">
        <v>0</v>
      </c>
      <c r="N15" s="3417"/>
      <c r="O15" s="3417"/>
      <c r="P15" s="3417"/>
      <c r="Q15" s="3417"/>
      <c r="R15" s="3417"/>
      <c r="S15" s="3417"/>
      <c r="T15" s="3417"/>
      <c r="U15" s="3417"/>
      <c r="V15" s="3417"/>
      <c r="W15" s="3417"/>
      <c r="X15" s="3417"/>
      <c r="Y15" s="3417"/>
      <c r="Z15" s="3417"/>
      <c r="AA15" s="3420"/>
      <c r="AB15" s="3408"/>
      <c r="AC15" s="3422"/>
      <c r="AD15" s="3402"/>
    </row>
    <row r="16" spans="2:31" s="3423" customFormat="1" ht="18" hidden="1" customHeight="1">
      <c r="B16" s="3415">
        <v>1.5</v>
      </c>
      <c r="C16" s="3416">
        <f>[2]经济指标!C11</f>
        <v>0</v>
      </c>
      <c r="D16" s="3417">
        <f>SUM(H16:AA16)</f>
        <v>0</v>
      </c>
      <c r="E16" s="3418">
        <f>[2]经济指标!D11</f>
        <v>0</v>
      </c>
      <c r="F16" s="3419" t="s">
        <v>3475</v>
      </c>
      <c r="G16" s="3417"/>
      <c r="H16" s="3417">
        <f>G16*E16*H17/10000</f>
        <v>0</v>
      </c>
      <c r="I16" s="3417">
        <f>G16*E16*I17/10000</f>
        <v>0</v>
      </c>
      <c r="J16" s="3420">
        <f>G16*E16*J17/10000</f>
        <v>0</v>
      </c>
      <c r="K16" s="3421">
        <f>G16*E16*K17/10000</f>
        <v>0</v>
      </c>
      <c r="L16" s="3432">
        <f>G16*E16*L17/10000</f>
        <v>0</v>
      </c>
      <c r="M16" s="3432">
        <f>L16*J16*M17/10000</f>
        <v>0</v>
      </c>
      <c r="N16" s="3417"/>
      <c r="O16" s="3417"/>
      <c r="P16" s="3417"/>
      <c r="Q16" s="3417"/>
      <c r="R16" s="3417"/>
      <c r="S16" s="3417"/>
      <c r="T16" s="3417"/>
      <c r="U16" s="3417"/>
      <c r="V16" s="3417"/>
      <c r="W16" s="3417"/>
      <c r="X16" s="3417"/>
      <c r="Y16" s="3417"/>
      <c r="Z16" s="3417"/>
      <c r="AA16" s="3420"/>
      <c r="AB16" s="3408">
        <v>12500</v>
      </c>
      <c r="AC16" s="3422"/>
      <c r="AD16" s="3402"/>
    </row>
    <row r="17" spans="2:31" s="3423" customFormat="1" ht="18" hidden="1" customHeight="1">
      <c r="B17" s="3415"/>
      <c r="C17" s="3416" t="s">
        <v>3478</v>
      </c>
      <c r="D17" s="3417"/>
      <c r="E17" s="3431"/>
      <c r="F17" s="3419"/>
      <c r="G17" s="3417"/>
      <c r="H17" s="3426"/>
      <c r="I17" s="3426">
        <v>0.2</v>
      </c>
      <c r="J17" s="3427">
        <v>0.4</v>
      </c>
      <c r="K17" s="3428">
        <v>0.4</v>
      </c>
      <c r="L17" s="3429"/>
      <c r="M17" s="3429">
        <v>0</v>
      </c>
      <c r="N17" s="3417"/>
      <c r="O17" s="3417"/>
      <c r="P17" s="3417"/>
      <c r="Q17" s="3417"/>
      <c r="R17" s="3417"/>
      <c r="S17" s="3417"/>
      <c r="T17" s="3417"/>
      <c r="U17" s="3417"/>
      <c r="V17" s="3417"/>
      <c r="W17" s="3417"/>
      <c r="X17" s="3417"/>
      <c r="Y17" s="3417"/>
      <c r="Z17" s="3417"/>
      <c r="AA17" s="3420"/>
      <c r="AB17" s="3408"/>
      <c r="AC17" s="3422"/>
      <c r="AD17" s="3402"/>
    </row>
    <row r="18" spans="2:31" s="3423" customFormat="1" ht="18" hidden="1" customHeight="1">
      <c r="B18" s="3415">
        <v>1.6</v>
      </c>
      <c r="C18" s="3416">
        <f>[2]经济指标!C12</f>
        <v>0</v>
      </c>
      <c r="D18" s="3417">
        <f>SUM(H18:AA18)</f>
        <v>0</v>
      </c>
      <c r="E18" s="3424">
        <f>[2]经济指标!D12</f>
        <v>0</v>
      </c>
      <c r="F18" s="3419" t="s">
        <v>3475</v>
      </c>
      <c r="G18" s="3417"/>
      <c r="H18" s="3417">
        <f>G18*E18*H19/10000</f>
        <v>0</v>
      </c>
      <c r="I18" s="3417">
        <f>E18*G18*I19/10000</f>
        <v>0</v>
      </c>
      <c r="J18" s="3420">
        <f>E18*G18*J19/10000</f>
        <v>0</v>
      </c>
      <c r="K18" s="3421">
        <f>E18*G18*K19/10000</f>
        <v>0</v>
      </c>
      <c r="L18" s="3430">
        <f>E18*G18*L19/10000</f>
        <v>0</v>
      </c>
      <c r="M18" s="3430">
        <f>E18*G18*M19/10000</f>
        <v>0</v>
      </c>
      <c r="N18" s="3417"/>
      <c r="O18" s="3417"/>
      <c r="P18" s="3417"/>
      <c r="Q18" s="3417"/>
      <c r="R18" s="3417"/>
      <c r="S18" s="3417"/>
      <c r="T18" s="3417"/>
      <c r="U18" s="3417"/>
      <c r="V18" s="3417"/>
      <c r="W18" s="3417"/>
      <c r="X18" s="3417"/>
      <c r="Y18" s="3417"/>
      <c r="Z18" s="3417"/>
      <c r="AA18" s="3420"/>
      <c r="AB18" s="3408">
        <v>22220</v>
      </c>
      <c r="AC18" s="3422"/>
      <c r="AD18" s="3402"/>
    </row>
    <row r="19" spans="2:31" s="3423" customFormat="1" ht="18" hidden="1" customHeight="1">
      <c r="B19" s="3415"/>
      <c r="C19" s="3416" t="s">
        <v>3476</v>
      </c>
      <c r="D19" s="3417"/>
      <c r="E19" s="3431"/>
      <c r="F19" s="3419"/>
      <c r="G19" s="3417"/>
      <c r="H19" s="3426"/>
      <c r="I19" s="3426">
        <v>0.2</v>
      </c>
      <c r="J19" s="3427">
        <v>0.4</v>
      </c>
      <c r="K19" s="3428">
        <v>0.4</v>
      </c>
      <c r="L19" s="3429"/>
      <c r="M19" s="3429"/>
      <c r="N19" s="3417"/>
      <c r="O19" s="3417"/>
      <c r="P19" s="3417"/>
      <c r="Q19" s="3417"/>
      <c r="R19" s="3417"/>
      <c r="S19" s="3417"/>
      <c r="T19" s="3417"/>
      <c r="U19" s="3417"/>
      <c r="V19" s="3417"/>
      <c r="W19" s="3417"/>
      <c r="X19" s="3417"/>
      <c r="Y19" s="3417"/>
      <c r="Z19" s="3417"/>
      <c r="AA19" s="3420"/>
      <c r="AB19" s="3408"/>
      <c r="AC19" s="3422"/>
      <c r="AD19" s="3402"/>
    </row>
    <row r="20" spans="2:31" s="3423" customFormat="1" ht="18" customHeight="1">
      <c r="B20" s="3415">
        <v>1.7</v>
      </c>
      <c r="C20" s="3416" t="str">
        <f>[2]经济指标!C19</f>
        <v>人防车库（40%）</v>
      </c>
      <c r="D20" s="3417">
        <f>SUM(H20:AA20)</f>
        <v>8200.7999999999993</v>
      </c>
      <c r="E20" s="3424">
        <f>[2]经济指标!D28*40%</f>
        <v>482.40000000000003</v>
      </c>
      <c r="F20" s="3419" t="s">
        <v>3479</v>
      </c>
      <c r="G20" s="3417">
        <v>170000</v>
      </c>
      <c r="H20" s="3417">
        <f>G20*E20*H21/10000</f>
        <v>0</v>
      </c>
      <c r="I20" s="3417">
        <f>E20*G20*I21/10000</f>
        <v>3280.32</v>
      </c>
      <c r="J20" s="3420">
        <f>E20*G20*J21/10000</f>
        <v>4920.4799999999996</v>
      </c>
      <c r="K20" s="3421">
        <f>E20*G20*K21/10000</f>
        <v>0</v>
      </c>
      <c r="L20" s="3430">
        <f>E20*G20*L21/10000</f>
        <v>0</v>
      </c>
      <c r="M20" s="3430">
        <f>E20*G20*M21/10000</f>
        <v>0</v>
      </c>
      <c r="N20" s="3417"/>
      <c r="O20" s="3417"/>
      <c r="P20" s="3417"/>
      <c r="Q20" s="3417"/>
      <c r="R20" s="3417"/>
      <c r="S20" s="3417"/>
      <c r="T20" s="3417"/>
      <c r="U20" s="3417"/>
      <c r="V20" s="3417"/>
      <c r="W20" s="3417"/>
      <c r="X20" s="3417"/>
      <c r="Y20" s="3417"/>
      <c r="Z20" s="3417"/>
      <c r="AA20" s="3420"/>
      <c r="AB20" s="3408">
        <v>5500</v>
      </c>
      <c r="AC20" s="3422"/>
      <c r="AD20" s="3402"/>
    </row>
    <row r="21" spans="2:31" s="3423" customFormat="1" ht="18" customHeight="1">
      <c r="B21" s="3415"/>
      <c r="C21" s="3416" t="s">
        <v>3476</v>
      </c>
      <c r="D21" s="3417"/>
      <c r="E21" s="3431"/>
      <c r="F21" s="3419"/>
      <c r="G21" s="3417"/>
      <c r="H21" s="3426"/>
      <c r="I21" s="3426">
        <v>0.4</v>
      </c>
      <c r="J21" s="3427">
        <v>0.6</v>
      </c>
      <c r="K21" s="3428">
        <v>0</v>
      </c>
      <c r="L21" s="3429"/>
      <c r="M21" s="3429"/>
      <c r="N21" s="3417"/>
      <c r="O21" s="3417"/>
      <c r="P21" s="3417"/>
      <c r="Q21" s="3417"/>
      <c r="R21" s="3417"/>
      <c r="S21" s="3417"/>
      <c r="T21" s="3417"/>
      <c r="U21" s="3417"/>
      <c r="V21" s="3417"/>
      <c r="W21" s="3417"/>
      <c r="X21" s="3417"/>
      <c r="Y21" s="3417"/>
      <c r="Z21" s="3417"/>
      <c r="AA21" s="3420"/>
      <c r="AB21" s="3408"/>
      <c r="AC21" s="3422"/>
      <c r="AD21" s="3402"/>
    </row>
    <row r="22" spans="2:31" s="3423" customFormat="1" ht="18" customHeight="1">
      <c r="B22" s="3415">
        <v>1.8</v>
      </c>
      <c r="C22" s="3416" t="str">
        <f>[2]经济指标!C20</f>
        <v>非人防车库（60%）</v>
      </c>
      <c r="D22" s="3417">
        <f>SUM(H22:AA22)</f>
        <v>12301.2</v>
      </c>
      <c r="E22" s="3433">
        <f>[2]经济指标!D28*60%</f>
        <v>723.6</v>
      </c>
      <c r="F22" s="3419" t="s">
        <v>3479</v>
      </c>
      <c r="G22" s="3417">
        <v>170000</v>
      </c>
      <c r="H22" s="3417">
        <f>G22*E22*H23/10000</f>
        <v>0</v>
      </c>
      <c r="I22" s="3417">
        <f>E22*G22*I23/10000</f>
        <v>4920.4799999999996</v>
      </c>
      <c r="J22" s="3420">
        <f>E22*G22*J23/10000</f>
        <v>7380.72</v>
      </c>
      <c r="K22" s="3421">
        <f>E22*G22*K23/10000</f>
        <v>0</v>
      </c>
      <c r="L22" s="3430">
        <f>E22*G22*L23/10000</f>
        <v>0</v>
      </c>
      <c r="M22" s="3430">
        <f>E22*G22*M23/10000</f>
        <v>0</v>
      </c>
      <c r="N22" s="3417"/>
      <c r="O22" s="3417"/>
      <c r="P22" s="3417"/>
      <c r="Q22" s="3417"/>
      <c r="R22" s="3417"/>
      <c r="S22" s="3417"/>
      <c r="T22" s="3417"/>
      <c r="U22" s="3417"/>
      <c r="V22" s="3417"/>
      <c r="W22" s="3417"/>
      <c r="X22" s="3417"/>
      <c r="Y22" s="3417"/>
      <c r="Z22" s="3417"/>
      <c r="AA22" s="3420"/>
      <c r="AB22" s="3408">
        <v>100000</v>
      </c>
      <c r="AC22" s="3422"/>
      <c r="AD22" s="3402"/>
    </row>
    <row r="23" spans="2:31" s="3423" customFormat="1" ht="18" customHeight="1">
      <c r="B23" s="3415"/>
      <c r="C23" s="3416" t="s">
        <v>3476</v>
      </c>
      <c r="D23" s="3417"/>
      <c r="E23" s="3431"/>
      <c r="F23" s="3419"/>
      <c r="G23" s="3417"/>
      <c r="H23" s="3426"/>
      <c r="I23" s="3426">
        <v>0.4</v>
      </c>
      <c r="J23" s="3427">
        <v>0.6</v>
      </c>
      <c r="K23" s="3428">
        <v>0</v>
      </c>
      <c r="L23" s="3429"/>
      <c r="M23" s="3429"/>
      <c r="N23" s="3417"/>
      <c r="O23" s="3417"/>
      <c r="P23" s="3417"/>
      <c r="Q23" s="3417"/>
      <c r="R23" s="3417"/>
      <c r="S23" s="3417"/>
      <c r="T23" s="3417"/>
      <c r="U23" s="3417"/>
      <c r="V23" s="3417"/>
      <c r="W23" s="3417"/>
      <c r="X23" s="3417"/>
      <c r="Y23" s="3417"/>
      <c r="Z23" s="3417"/>
      <c r="AA23" s="3420"/>
      <c r="AB23" s="3408"/>
      <c r="AC23" s="3422"/>
      <c r="AD23" s="3402"/>
    </row>
    <row r="24" spans="2:31" s="3423" customFormat="1" ht="18" hidden="1" customHeight="1">
      <c r="B24" s="3434" t="s">
        <v>3480</v>
      </c>
      <c r="C24" s="3435">
        <f>[2]经济指标!C11</f>
        <v>0</v>
      </c>
      <c r="D24" s="3417">
        <f>SUM(H24:AA24)</f>
        <v>0</v>
      </c>
      <c r="E24" s="3424"/>
      <c r="F24" s="3419" t="s">
        <v>3475</v>
      </c>
      <c r="G24" s="3417"/>
      <c r="H24" s="3417">
        <f>G24*E24*H25/10000</f>
        <v>0</v>
      </c>
      <c r="I24" s="3417">
        <f>E24*G24*I25/10000</f>
        <v>0</v>
      </c>
      <c r="J24" s="3420">
        <f>E24*G24*J25/10000</f>
        <v>0</v>
      </c>
      <c r="K24" s="3421">
        <f>E24*G24*K25/10000</f>
        <v>0</v>
      </c>
      <c r="L24" s="3430">
        <f>E24*G24*L25/10000</f>
        <v>0</v>
      </c>
      <c r="M24" s="3430">
        <f>E24*G24*M25/10000</f>
        <v>0</v>
      </c>
      <c r="N24" s="3417"/>
      <c r="O24" s="3417"/>
      <c r="P24" s="3417"/>
      <c r="Q24" s="3417"/>
      <c r="R24" s="3417"/>
      <c r="S24" s="3417"/>
      <c r="T24" s="3417"/>
      <c r="U24" s="3417"/>
      <c r="V24" s="3417"/>
      <c r="W24" s="3417"/>
      <c r="X24" s="3417"/>
      <c r="Y24" s="3417"/>
      <c r="Z24" s="3417"/>
      <c r="AA24" s="3420"/>
      <c r="AB24" s="3408">
        <v>5000</v>
      </c>
      <c r="AC24" s="3422"/>
      <c r="AD24" s="3402"/>
    </row>
    <row r="25" spans="2:31" s="3423" customFormat="1" ht="18" hidden="1" customHeight="1">
      <c r="B25" s="3415"/>
      <c r="C25" s="3416"/>
      <c r="D25" s="3417"/>
      <c r="E25" s="3424"/>
      <c r="F25" s="3419"/>
      <c r="G25" s="3417"/>
      <c r="H25" s="3426"/>
      <c r="I25" s="3426"/>
      <c r="J25" s="3427"/>
      <c r="K25" s="3428"/>
      <c r="L25" s="3429">
        <v>1</v>
      </c>
      <c r="M25" s="3429"/>
      <c r="N25" s="3417"/>
      <c r="O25" s="3417"/>
      <c r="P25" s="3417"/>
      <c r="Q25" s="3417"/>
      <c r="R25" s="3417"/>
      <c r="S25" s="3417"/>
      <c r="T25" s="3417"/>
      <c r="U25" s="3417"/>
      <c r="V25" s="3417"/>
      <c r="W25" s="3417"/>
      <c r="X25" s="3417"/>
      <c r="Y25" s="3417"/>
      <c r="Z25" s="3417"/>
      <c r="AA25" s="3420"/>
      <c r="AB25" s="3408"/>
      <c r="AC25" s="3422"/>
      <c r="AD25" s="3402"/>
    </row>
    <row r="26" spans="2:31" s="3423" customFormat="1" ht="18" hidden="1" customHeight="1">
      <c r="B26" s="3434" t="s">
        <v>3481</v>
      </c>
      <c r="C26" s="3416">
        <f>[2]经济指标!C14</f>
        <v>0</v>
      </c>
      <c r="D26" s="3417">
        <f>SUM(H26:AA26)</f>
        <v>0</v>
      </c>
      <c r="E26" s="3424">
        <f>[2]经济指标!D14</f>
        <v>0</v>
      </c>
      <c r="F26" s="3419" t="s">
        <v>3475</v>
      </c>
      <c r="G26" s="3417"/>
      <c r="H26" s="3417">
        <f>G26*E26*H27/10000</f>
        <v>0</v>
      </c>
      <c r="I26" s="3417">
        <f>E26*G26*I27/10000</f>
        <v>0</v>
      </c>
      <c r="J26" s="3420">
        <f>E26*G26*J27/10000</f>
        <v>0</v>
      </c>
      <c r="K26" s="3421">
        <f>E26*G26*K27/10000</f>
        <v>0</v>
      </c>
      <c r="L26" s="3430">
        <f>E26*G26*L27/10000</f>
        <v>0</v>
      </c>
      <c r="M26" s="3430">
        <f>E26*G26*M27/10000</f>
        <v>0</v>
      </c>
      <c r="N26" s="3417"/>
      <c r="O26" s="3417"/>
      <c r="P26" s="3417"/>
      <c r="Q26" s="3417"/>
      <c r="R26" s="3417"/>
      <c r="S26" s="3417"/>
      <c r="T26" s="3417"/>
      <c r="U26" s="3417"/>
      <c r="V26" s="3417"/>
      <c r="W26" s="3417"/>
      <c r="X26" s="3417"/>
      <c r="Y26" s="3417"/>
      <c r="Z26" s="3417"/>
      <c r="AA26" s="3420"/>
      <c r="AB26" s="3408">
        <v>10800</v>
      </c>
      <c r="AC26" s="3422"/>
      <c r="AD26" s="3402"/>
    </row>
    <row r="27" spans="2:31" s="3423" customFormat="1" ht="18" hidden="1" customHeight="1">
      <c r="B27" s="3415"/>
      <c r="C27" s="3416"/>
      <c r="D27" s="3417"/>
      <c r="E27" s="3431"/>
      <c r="F27" s="3419"/>
      <c r="G27" s="3417"/>
      <c r="H27" s="3426"/>
      <c r="I27" s="3426"/>
      <c r="J27" s="3427"/>
      <c r="K27" s="3428"/>
      <c r="L27" s="3429">
        <v>1</v>
      </c>
      <c r="M27" s="3429"/>
      <c r="N27" s="3417"/>
      <c r="O27" s="3417"/>
      <c r="P27" s="3417"/>
      <c r="Q27" s="3417"/>
      <c r="R27" s="3417"/>
      <c r="S27" s="3417"/>
      <c r="T27" s="3417"/>
      <c r="U27" s="3417"/>
      <c r="V27" s="3417"/>
      <c r="W27" s="3417"/>
      <c r="X27" s="3417"/>
      <c r="Y27" s="3417"/>
      <c r="Z27" s="3417"/>
      <c r="AA27" s="3420"/>
      <c r="AB27" s="3408"/>
      <c r="AC27" s="3422"/>
      <c r="AD27" s="3402"/>
    </row>
    <row r="28" spans="2:31" s="3423" customFormat="1" ht="18" hidden="1" customHeight="1">
      <c r="B28" s="3434" t="s">
        <v>3481</v>
      </c>
      <c r="C28" s="3416"/>
      <c r="D28" s="3417">
        <f>SUM(H28:AA28)</f>
        <v>0</v>
      </c>
      <c r="E28" s="3424"/>
      <c r="F28" s="3419" t="s">
        <v>3475</v>
      </c>
      <c r="G28" s="3417">
        <f>AB28*$AC$5</f>
        <v>0</v>
      </c>
      <c r="H28" s="3417">
        <f>G28*E28*H29/10000</f>
        <v>0</v>
      </c>
      <c r="I28" s="3417">
        <f>E28*G28*I29/10000</f>
        <v>0</v>
      </c>
      <c r="J28" s="3420">
        <f>E28*G28*J29/10000</f>
        <v>0</v>
      </c>
      <c r="K28" s="3421">
        <f>E28*G28*K29/10000</f>
        <v>0</v>
      </c>
      <c r="L28" s="3430">
        <f>E28*G28*L29/10000</f>
        <v>0</v>
      </c>
      <c r="M28" s="3430">
        <f>E28*G28*M29/10000</f>
        <v>0</v>
      </c>
      <c r="N28" s="3417"/>
      <c r="O28" s="3417"/>
      <c r="P28" s="3417"/>
      <c r="Q28" s="3417"/>
      <c r="R28" s="3417"/>
      <c r="S28" s="3417"/>
      <c r="T28" s="3417"/>
      <c r="U28" s="3417"/>
      <c r="V28" s="3417"/>
      <c r="W28" s="3417"/>
      <c r="X28" s="3417"/>
      <c r="Y28" s="3417"/>
      <c r="Z28" s="3417"/>
      <c r="AA28" s="3420"/>
      <c r="AB28" s="3408"/>
      <c r="AC28" s="3422"/>
      <c r="AD28" s="3402"/>
    </row>
    <row r="29" spans="2:31" s="3423" customFormat="1" ht="18" hidden="1" customHeight="1">
      <c r="B29" s="3415"/>
      <c r="C29" s="3416"/>
      <c r="D29" s="3417"/>
      <c r="E29" s="3431"/>
      <c r="F29" s="3419"/>
      <c r="G29" s="3417"/>
      <c r="H29" s="3426"/>
      <c r="I29" s="3426"/>
      <c r="J29" s="3427"/>
      <c r="K29" s="3428"/>
      <c r="L29" s="3429">
        <v>1</v>
      </c>
      <c r="M29" s="3429"/>
      <c r="N29" s="3417"/>
      <c r="O29" s="3417"/>
      <c r="P29" s="3417"/>
      <c r="Q29" s="3417"/>
      <c r="R29" s="3417"/>
      <c r="S29" s="3417"/>
      <c r="T29" s="3417"/>
      <c r="U29" s="3417"/>
      <c r="V29" s="3417"/>
      <c r="W29" s="3417"/>
      <c r="X29" s="3417"/>
      <c r="Y29" s="3417"/>
      <c r="Z29" s="3417"/>
      <c r="AA29" s="3420"/>
      <c r="AB29" s="3408"/>
      <c r="AC29" s="3422"/>
      <c r="AD29" s="3402"/>
    </row>
    <row r="30" spans="2:31" s="3412" customFormat="1" ht="18" hidden="1" customHeight="1">
      <c r="B30" s="3413">
        <v>2</v>
      </c>
      <c r="C30" s="3404" t="s">
        <v>3482</v>
      </c>
      <c r="D30" s="3405">
        <f>SUM(H30:AA30)</f>
        <v>0</v>
      </c>
      <c r="E30" s="3436"/>
      <c r="F30" s="3405"/>
      <c r="G30" s="3405"/>
      <c r="H30" s="3405">
        <f t="shared" ref="H30:AA30" si="2">H31+H33+H35+H37</f>
        <v>0</v>
      </c>
      <c r="I30" s="3405">
        <f t="shared" si="2"/>
        <v>0</v>
      </c>
      <c r="J30" s="3406">
        <f t="shared" si="2"/>
        <v>0</v>
      </c>
      <c r="K30" s="3407">
        <f t="shared" si="2"/>
        <v>0</v>
      </c>
      <c r="L30" s="3436">
        <f t="shared" si="2"/>
        <v>0</v>
      </c>
      <c r="M30" s="3436">
        <f t="shared" si="2"/>
        <v>0</v>
      </c>
      <c r="N30" s="3405">
        <f t="shared" si="2"/>
        <v>0</v>
      </c>
      <c r="O30" s="3405">
        <f t="shared" si="2"/>
        <v>0</v>
      </c>
      <c r="P30" s="3405">
        <f t="shared" si="2"/>
        <v>0</v>
      </c>
      <c r="Q30" s="3405">
        <f t="shared" si="2"/>
        <v>0</v>
      </c>
      <c r="R30" s="3405">
        <f t="shared" si="2"/>
        <v>0</v>
      </c>
      <c r="S30" s="3405">
        <f t="shared" si="2"/>
        <v>0</v>
      </c>
      <c r="T30" s="3405">
        <f t="shared" si="2"/>
        <v>0</v>
      </c>
      <c r="U30" s="3405">
        <f t="shared" si="2"/>
        <v>0</v>
      </c>
      <c r="V30" s="3405">
        <f t="shared" si="2"/>
        <v>0</v>
      </c>
      <c r="W30" s="3405">
        <f t="shared" si="2"/>
        <v>0</v>
      </c>
      <c r="X30" s="3405">
        <f t="shared" si="2"/>
        <v>0</v>
      </c>
      <c r="Y30" s="3405">
        <f t="shared" si="2"/>
        <v>0</v>
      </c>
      <c r="Z30" s="3405">
        <f t="shared" si="2"/>
        <v>0</v>
      </c>
      <c r="AA30" s="3406">
        <f t="shared" si="2"/>
        <v>0</v>
      </c>
      <c r="AB30" s="3408"/>
      <c r="AC30" s="3409">
        <f>[2]敏感性分析!I24</f>
        <v>1</v>
      </c>
      <c r="AD30" s="3414" t="s">
        <v>3483</v>
      </c>
      <c r="AE30" s="3411"/>
    </row>
    <row r="31" spans="2:31" s="3423" customFormat="1" ht="18" hidden="1" customHeight="1">
      <c r="B31" s="3415">
        <v>2.1</v>
      </c>
      <c r="C31" s="3435">
        <f>[2]经济指标!C13</f>
        <v>0</v>
      </c>
      <c r="D31" s="3417">
        <f>SUM(H31:AA31)</f>
        <v>0</v>
      </c>
      <c r="E31" s="3424">
        <v>0</v>
      </c>
      <c r="F31" s="3419" t="s">
        <v>3477</v>
      </c>
      <c r="G31" s="3417">
        <f>AB31*AC30</f>
        <v>648</v>
      </c>
      <c r="H31" s="3417">
        <f>$E$31*$G$31*H32/10000</f>
        <v>0</v>
      </c>
      <c r="I31" s="3417">
        <f>$E$31*$G$31*I32/10000</f>
        <v>0</v>
      </c>
      <c r="J31" s="3420">
        <f>$E$31*$G$31*J32/10000</f>
        <v>0</v>
      </c>
      <c r="K31" s="3421">
        <f>$E$31*$G$31*K32/10000</f>
        <v>0</v>
      </c>
      <c r="L31" s="3430">
        <f>$E$31*$G$31*L32/10000/4*3</f>
        <v>0</v>
      </c>
      <c r="M31" s="3430">
        <f t="shared" ref="M31:AA31" si="3">$E$31*$G$31*M32/10000</f>
        <v>0</v>
      </c>
      <c r="N31" s="3417">
        <f t="shared" si="3"/>
        <v>0</v>
      </c>
      <c r="O31" s="3417">
        <f t="shared" si="3"/>
        <v>0</v>
      </c>
      <c r="P31" s="3417">
        <f t="shared" si="3"/>
        <v>0</v>
      </c>
      <c r="Q31" s="3417">
        <f t="shared" si="3"/>
        <v>0</v>
      </c>
      <c r="R31" s="3417">
        <f t="shared" si="3"/>
        <v>0</v>
      </c>
      <c r="S31" s="3417">
        <f t="shared" si="3"/>
        <v>0</v>
      </c>
      <c r="T31" s="3417">
        <f t="shared" si="3"/>
        <v>0</v>
      </c>
      <c r="U31" s="3417">
        <f t="shared" si="3"/>
        <v>0</v>
      </c>
      <c r="V31" s="3417">
        <f t="shared" si="3"/>
        <v>0</v>
      </c>
      <c r="W31" s="3417">
        <f t="shared" si="3"/>
        <v>0</v>
      </c>
      <c r="X31" s="3417">
        <f t="shared" si="3"/>
        <v>0</v>
      </c>
      <c r="Y31" s="3417">
        <f t="shared" si="3"/>
        <v>0</v>
      </c>
      <c r="Z31" s="3417">
        <f t="shared" si="3"/>
        <v>0</v>
      </c>
      <c r="AA31" s="3420">
        <f t="shared" si="3"/>
        <v>0</v>
      </c>
      <c r="AB31" s="3408">
        <f>360*1.8</f>
        <v>648</v>
      </c>
      <c r="AC31" s="3422" t="s">
        <v>3484</v>
      </c>
      <c r="AD31" s="3402"/>
    </row>
    <row r="32" spans="2:31" s="3423" customFormat="1" ht="18" hidden="1" customHeight="1">
      <c r="B32" s="3415"/>
      <c r="C32" s="3416" t="s">
        <v>3485</v>
      </c>
      <c r="D32" s="3417"/>
      <c r="E32" s="3424"/>
      <c r="F32" s="3419"/>
      <c r="G32" s="3425"/>
      <c r="H32" s="3426"/>
      <c r="I32" s="3426"/>
      <c r="J32" s="3427">
        <v>0.4</v>
      </c>
      <c r="K32" s="3428">
        <v>0.6</v>
      </c>
      <c r="L32" s="3426">
        <v>0.9</v>
      </c>
      <c r="M32" s="3426"/>
      <c r="N32" s="3426"/>
      <c r="O32" s="3426"/>
      <c r="P32" s="3426"/>
      <c r="Q32" s="3426"/>
      <c r="R32" s="3426"/>
      <c r="S32" s="3426"/>
      <c r="T32" s="3426"/>
      <c r="U32" s="3426"/>
      <c r="V32" s="3426"/>
      <c r="W32" s="3426"/>
      <c r="X32" s="3426"/>
      <c r="Y32" s="3426"/>
      <c r="Z32" s="3426"/>
      <c r="AA32" s="3427"/>
      <c r="AB32" s="3408"/>
      <c r="AC32" s="3422"/>
      <c r="AD32" s="3402"/>
    </row>
    <row r="33" spans="2:31" s="3423" customFormat="1" ht="18" hidden="1" customHeight="1">
      <c r="B33" s="3415">
        <v>2.2000000000000002</v>
      </c>
      <c r="C33" s="3416" t="s">
        <v>3486</v>
      </c>
      <c r="D33" s="3417">
        <f>SUM(H33:AA33)</f>
        <v>0</v>
      </c>
      <c r="E33" s="3424">
        <f>[2]经济指标!D14</f>
        <v>0</v>
      </c>
      <c r="F33" s="3419" t="s">
        <v>3477</v>
      </c>
      <c r="G33" s="3417">
        <f>AB33*AC30</f>
        <v>500</v>
      </c>
      <c r="H33" s="3417">
        <f>$G$33*$E$33*H34/10000</f>
        <v>0</v>
      </c>
      <c r="I33" s="3417">
        <f t="shared" ref="I33:AA33" si="4">$G$33*$E$33*I34/10000</f>
        <v>0</v>
      </c>
      <c r="J33" s="3420">
        <f t="shared" si="4"/>
        <v>0</v>
      </c>
      <c r="K33" s="3421">
        <f t="shared" si="4"/>
        <v>0</v>
      </c>
      <c r="L33" s="3430">
        <f t="shared" si="4"/>
        <v>0</v>
      </c>
      <c r="M33" s="3430">
        <f t="shared" si="4"/>
        <v>0</v>
      </c>
      <c r="N33" s="3417">
        <f t="shared" si="4"/>
        <v>0</v>
      </c>
      <c r="O33" s="3417">
        <f t="shared" si="4"/>
        <v>0</v>
      </c>
      <c r="P33" s="3417">
        <f t="shared" si="4"/>
        <v>0</v>
      </c>
      <c r="Q33" s="3417">
        <f t="shared" si="4"/>
        <v>0</v>
      </c>
      <c r="R33" s="3417">
        <f t="shared" si="4"/>
        <v>0</v>
      </c>
      <c r="S33" s="3417">
        <f t="shared" si="4"/>
        <v>0</v>
      </c>
      <c r="T33" s="3417">
        <f t="shared" si="4"/>
        <v>0</v>
      </c>
      <c r="U33" s="3417">
        <f t="shared" si="4"/>
        <v>0</v>
      </c>
      <c r="V33" s="3417">
        <f t="shared" si="4"/>
        <v>0</v>
      </c>
      <c r="W33" s="3417">
        <f t="shared" si="4"/>
        <v>0</v>
      </c>
      <c r="X33" s="3417">
        <f t="shared" si="4"/>
        <v>0</v>
      </c>
      <c r="Y33" s="3417">
        <f t="shared" si="4"/>
        <v>0</v>
      </c>
      <c r="Z33" s="3417">
        <f t="shared" si="4"/>
        <v>0</v>
      </c>
      <c r="AA33" s="3420">
        <f t="shared" si="4"/>
        <v>0</v>
      </c>
      <c r="AB33" s="3408">
        <v>500</v>
      </c>
      <c r="AC33" s="3422" t="s">
        <v>3484</v>
      </c>
      <c r="AD33" s="3402"/>
    </row>
    <row r="34" spans="2:31" s="3423" customFormat="1" ht="18" hidden="1" customHeight="1">
      <c r="B34" s="3415"/>
      <c r="C34" s="3416" t="s">
        <v>3485</v>
      </c>
      <c r="D34" s="3417"/>
      <c r="E34" s="3424"/>
      <c r="F34" s="3419"/>
      <c r="G34" s="3417"/>
      <c r="H34" s="3426"/>
      <c r="I34" s="3426">
        <v>0.2</v>
      </c>
      <c r="J34" s="3427">
        <v>0.4</v>
      </c>
      <c r="K34" s="3428">
        <v>0.6</v>
      </c>
      <c r="L34" s="3426">
        <f>60%/4*3</f>
        <v>0.44999999999999996</v>
      </c>
      <c r="M34" s="3426"/>
      <c r="N34" s="3426"/>
      <c r="O34" s="3426"/>
      <c r="P34" s="3426"/>
      <c r="Q34" s="3426"/>
      <c r="R34" s="3426"/>
      <c r="S34" s="3426"/>
      <c r="T34" s="3426"/>
      <c r="U34" s="3426"/>
      <c r="V34" s="3426"/>
      <c r="W34" s="3426"/>
      <c r="X34" s="3426"/>
      <c r="Y34" s="3426"/>
      <c r="Z34" s="3426"/>
      <c r="AA34" s="3427"/>
      <c r="AB34" s="3408"/>
      <c r="AC34" s="3422"/>
      <c r="AD34" s="3402"/>
    </row>
    <row r="35" spans="2:31" s="3423" customFormat="1" ht="18" hidden="1" customHeight="1">
      <c r="B35" s="3415">
        <v>2.2000000000000002</v>
      </c>
      <c r="C35" s="3416"/>
      <c r="D35" s="3417">
        <f>SUM(H35:AA35)</f>
        <v>0</v>
      </c>
      <c r="E35" s="3424"/>
      <c r="F35" s="3419" t="s">
        <v>3477</v>
      </c>
      <c r="G35" s="3417">
        <f>AB35*AC30</f>
        <v>1000</v>
      </c>
      <c r="H35" s="3417">
        <f>$G$35*$E$35*H36/10000</f>
        <v>0</v>
      </c>
      <c r="I35" s="3417">
        <f t="shared" ref="I35:AA35" si="5">$G$35*$E$35*I36/10000</f>
        <v>0</v>
      </c>
      <c r="J35" s="3420">
        <f t="shared" si="5"/>
        <v>0</v>
      </c>
      <c r="K35" s="3421">
        <f t="shared" si="5"/>
        <v>0</v>
      </c>
      <c r="L35" s="3430">
        <f t="shared" si="5"/>
        <v>0</v>
      </c>
      <c r="M35" s="3430">
        <f t="shared" si="5"/>
        <v>0</v>
      </c>
      <c r="N35" s="3417">
        <f t="shared" si="5"/>
        <v>0</v>
      </c>
      <c r="O35" s="3417">
        <f t="shared" si="5"/>
        <v>0</v>
      </c>
      <c r="P35" s="3417">
        <f t="shared" si="5"/>
        <v>0</v>
      </c>
      <c r="Q35" s="3417">
        <f t="shared" si="5"/>
        <v>0</v>
      </c>
      <c r="R35" s="3417">
        <f t="shared" si="5"/>
        <v>0</v>
      </c>
      <c r="S35" s="3417">
        <f t="shared" si="5"/>
        <v>0</v>
      </c>
      <c r="T35" s="3417">
        <f t="shared" si="5"/>
        <v>0</v>
      </c>
      <c r="U35" s="3417">
        <f t="shared" si="5"/>
        <v>0</v>
      </c>
      <c r="V35" s="3417">
        <f t="shared" si="5"/>
        <v>0</v>
      </c>
      <c r="W35" s="3417">
        <f t="shared" si="5"/>
        <v>0</v>
      </c>
      <c r="X35" s="3417">
        <f t="shared" si="5"/>
        <v>0</v>
      </c>
      <c r="Y35" s="3417">
        <f t="shared" si="5"/>
        <v>0</v>
      </c>
      <c r="Z35" s="3417">
        <f t="shared" si="5"/>
        <v>0</v>
      </c>
      <c r="AA35" s="3420">
        <f t="shared" si="5"/>
        <v>0</v>
      </c>
      <c r="AB35" s="3408">
        <v>1000</v>
      </c>
      <c r="AC35" s="3422" t="s">
        <v>3484</v>
      </c>
      <c r="AD35" s="3402"/>
    </row>
    <row r="36" spans="2:31" s="3423" customFormat="1" ht="18" hidden="1" customHeight="1">
      <c r="B36" s="3415"/>
      <c r="C36" s="3416" t="s">
        <v>3485</v>
      </c>
      <c r="D36" s="3417"/>
      <c r="E36" s="3431"/>
      <c r="F36" s="3419"/>
      <c r="G36" s="3417"/>
      <c r="H36" s="3426"/>
      <c r="I36" s="3426">
        <v>0.2</v>
      </c>
      <c r="J36" s="3427">
        <v>0.4</v>
      </c>
      <c r="K36" s="3428">
        <v>0.6</v>
      </c>
      <c r="L36" s="3426">
        <v>0.9</v>
      </c>
      <c r="M36" s="3426">
        <v>0.9</v>
      </c>
      <c r="N36" s="3426">
        <v>0.9</v>
      </c>
      <c r="O36" s="3426">
        <v>0.9</v>
      </c>
      <c r="P36" s="3426">
        <v>0.9</v>
      </c>
      <c r="Q36" s="3426">
        <v>0.9</v>
      </c>
      <c r="R36" s="3426">
        <v>0.9</v>
      </c>
      <c r="S36" s="3426">
        <v>0.9</v>
      </c>
      <c r="T36" s="3426">
        <v>0.9</v>
      </c>
      <c r="U36" s="3426">
        <v>0.9</v>
      </c>
      <c r="V36" s="3426">
        <v>0.9</v>
      </c>
      <c r="W36" s="3426">
        <v>0.9</v>
      </c>
      <c r="X36" s="3426">
        <v>0.9</v>
      </c>
      <c r="Y36" s="3426">
        <v>0.9</v>
      </c>
      <c r="Z36" s="3426">
        <v>0.9</v>
      </c>
      <c r="AA36" s="3427">
        <v>0.9</v>
      </c>
      <c r="AB36" s="3408"/>
      <c r="AC36" s="3422"/>
      <c r="AD36" s="3402"/>
    </row>
    <row r="37" spans="2:31" s="3423" customFormat="1" ht="18" hidden="1" customHeight="1">
      <c r="B37" s="3415">
        <v>2.2999999999999998</v>
      </c>
      <c r="C37" s="3416"/>
      <c r="D37" s="3417">
        <f>SUM(H37:AA37)</f>
        <v>0</v>
      </c>
      <c r="E37" s="3424"/>
      <c r="F37" s="3419" t="s">
        <v>3477</v>
      </c>
      <c r="G37" s="3417">
        <f>AB37*AC30</f>
        <v>1200</v>
      </c>
      <c r="H37" s="3417">
        <f>$G$37*$E$37*H38/10000</f>
        <v>0</v>
      </c>
      <c r="I37" s="3417">
        <f t="shared" ref="I37:AA37" si="6">$G$37*$E$37*I38/10000</f>
        <v>0</v>
      </c>
      <c r="J37" s="3420">
        <f t="shared" si="6"/>
        <v>0</v>
      </c>
      <c r="K37" s="3421">
        <f t="shared" si="6"/>
        <v>0</v>
      </c>
      <c r="L37" s="3430">
        <f t="shared" si="6"/>
        <v>0</v>
      </c>
      <c r="M37" s="3430">
        <f t="shared" si="6"/>
        <v>0</v>
      </c>
      <c r="N37" s="3417">
        <f t="shared" si="6"/>
        <v>0</v>
      </c>
      <c r="O37" s="3417">
        <f t="shared" si="6"/>
        <v>0</v>
      </c>
      <c r="P37" s="3417">
        <f t="shared" si="6"/>
        <v>0</v>
      </c>
      <c r="Q37" s="3417">
        <f t="shared" si="6"/>
        <v>0</v>
      </c>
      <c r="R37" s="3417">
        <f t="shared" si="6"/>
        <v>0</v>
      </c>
      <c r="S37" s="3417">
        <f t="shared" si="6"/>
        <v>0</v>
      </c>
      <c r="T37" s="3417">
        <f t="shared" si="6"/>
        <v>0</v>
      </c>
      <c r="U37" s="3417">
        <f t="shared" si="6"/>
        <v>0</v>
      </c>
      <c r="V37" s="3417">
        <f t="shared" si="6"/>
        <v>0</v>
      </c>
      <c r="W37" s="3417">
        <f t="shared" si="6"/>
        <v>0</v>
      </c>
      <c r="X37" s="3417">
        <f t="shared" si="6"/>
        <v>0</v>
      </c>
      <c r="Y37" s="3417">
        <f t="shared" si="6"/>
        <v>0</v>
      </c>
      <c r="Z37" s="3417">
        <f t="shared" si="6"/>
        <v>0</v>
      </c>
      <c r="AA37" s="3420">
        <f t="shared" si="6"/>
        <v>0</v>
      </c>
      <c r="AB37" s="3408">
        <v>1200</v>
      </c>
      <c r="AC37" s="3422" t="s">
        <v>3484</v>
      </c>
      <c r="AD37" s="3402"/>
    </row>
    <row r="38" spans="2:31" s="3423" customFormat="1" ht="18" hidden="1" customHeight="1">
      <c r="B38" s="3415"/>
      <c r="C38" s="3416" t="s">
        <v>3485</v>
      </c>
      <c r="D38" s="3417"/>
      <c r="E38" s="3431"/>
      <c r="F38" s="3419"/>
      <c r="G38" s="3417"/>
      <c r="H38" s="3426"/>
      <c r="I38" s="3426">
        <v>0.2</v>
      </c>
      <c r="J38" s="3427">
        <v>0.4</v>
      </c>
      <c r="K38" s="3428">
        <v>0.6</v>
      </c>
      <c r="L38" s="3426">
        <v>0.9</v>
      </c>
      <c r="M38" s="3426">
        <v>0.8</v>
      </c>
      <c r="N38" s="3426">
        <v>0.9</v>
      </c>
      <c r="O38" s="3426">
        <v>0.9</v>
      </c>
      <c r="P38" s="3426">
        <v>0.9</v>
      </c>
      <c r="Q38" s="3426">
        <v>0.9</v>
      </c>
      <c r="R38" s="3426">
        <v>0.9</v>
      </c>
      <c r="S38" s="3426">
        <v>0.9</v>
      </c>
      <c r="T38" s="3426">
        <v>0.9</v>
      </c>
      <c r="U38" s="3426">
        <v>0.9</v>
      </c>
      <c r="V38" s="3426">
        <v>0.9</v>
      </c>
      <c r="W38" s="3426">
        <v>0.9</v>
      </c>
      <c r="X38" s="3426">
        <v>0.9</v>
      </c>
      <c r="Y38" s="3426">
        <v>0.9</v>
      </c>
      <c r="Z38" s="3426">
        <v>0.9</v>
      </c>
      <c r="AA38" s="3427">
        <v>0.9</v>
      </c>
      <c r="AB38" s="3408"/>
      <c r="AC38" s="3422"/>
      <c r="AD38" s="3402"/>
    </row>
    <row r="39" spans="2:31" s="3412" customFormat="1" ht="18" hidden="1" customHeight="1">
      <c r="B39" s="3413">
        <v>3</v>
      </c>
      <c r="C39" s="3404" t="s">
        <v>3487</v>
      </c>
      <c r="D39" s="3405">
        <f>SUM(H39:V39)</f>
        <v>0</v>
      </c>
      <c r="E39" s="3405"/>
      <c r="F39" s="3405"/>
      <c r="G39" s="3405"/>
      <c r="H39" s="3405">
        <f t="shared" ref="H39:AA39" si="7">H40+H41+H42</f>
        <v>0</v>
      </c>
      <c r="I39" s="3405">
        <f t="shared" si="7"/>
        <v>0</v>
      </c>
      <c r="J39" s="3406">
        <f t="shared" si="7"/>
        <v>0</v>
      </c>
      <c r="K39" s="3407">
        <f t="shared" si="7"/>
        <v>0</v>
      </c>
      <c r="L39" s="3436">
        <f t="shared" si="7"/>
        <v>0</v>
      </c>
      <c r="M39" s="3436">
        <f t="shared" si="7"/>
        <v>0</v>
      </c>
      <c r="N39" s="3405">
        <f t="shared" si="7"/>
        <v>0</v>
      </c>
      <c r="O39" s="3405">
        <f t="shared" si="7"/>
        <v>0</v>
      </c>
      <c r="P39" s="3405">
        <f t="shared" si="7"/>
        <v>0</v>
      </c>
      <c r="Q39" s="3405">
        <f t="shared" si="7"/>
        <v>0</v>
      </c>
      <c r="R39" s="3405">
        <f t="shared" si="7"/>
        <v>0</v>
      </c>
      <c r="S39" s="3405">
        <f t="shared" si="7"/>
        <v>0</v>
      </c>
      <c r="T39" s="3405">
        <f t="shared" si="7"/>
        <v>0</v>
      </c>
      <c r="U39" s="3405">
        <f t="shared" si="7"/>
        <v>0</v>
      </c>
      <c r="V39" s="3405">
        <f t="shared" si="7"/>
        <v>0</v>
      </c>
      <c r="W39" s="3405">
        <f t="shared" si="7"/>
        <v>0</v>
      </c>
      <c r="X39" s="3405">
        <f t="shared" si="7"/>
        <v>0</v>
      </c>
      <c r="Y39" s="3405">
        <f t="shared" si="7"/>
        <v>0</v>
      </c>
      <c r="Z39" s="3405">
        <f t="shared" si="7"/>
        <v>0</v>
      </c>
      <c r="AA39" s="3406">
        <f t="shared" si="7"/>
        <v>0</v>
      </c>
      <c r="AB39" s="3408"/>
      <c r="AC39" s="3409"/>
      <c r="AD39" s="3410"/>
      <c r="AE39" s="3411"/>
    </row>
    <row r="40" spans="2:31" s="3423" customFormat="1" ht="18" hidden="1" customHeight="1">
      <c r="B40" s="3415">
        <v>3.1</v>
      </c>
      <c r="C40" s="3416"/>
      <c r="D40" s="3417"/>
      <c r="E40" s="3424"/>
      <c r="F40" s="3419"/>
      <c r="G40" s="3417"/>
      <c r="H40" s="3417"/>
      <c r="I40" s="3417"/>
      <c r="J40" s="3420"/>
      <c r="K40" s="3421"/>
      <c r="L40" s="3430"/>
      <c r="M40" s="3430"/>
      <c r="N40" s="3417"/>
      <c r="O40" s="3417"/>
      <c r="P40" s="3417"/>
      <c r="Q40" s="3417"/>
      <c r="R40" s="3417"/>
      <c r="S40" s="3417"/>
      <c r="T40" s="3417"/>
      <c r="U40" s="3417"/>
      <c r="V40" s="3417"/>
      <c r="W40" s="3417"/>
      <c r="X40" s="3417"/>
      <c r="Y40" s="3417"/>
      <c r="Z40" s="3417"/>
      <c r="AA40" s="3420"/>
      <c r="AB40" s="3408">
        <v>0</v>
      </c>
      <c r="AC40" s="3422"/>
      <c r="AD40" s="3402"/>
    </row>
    <row r="41" spans="2:31" s="3423" customFormat="1" ht="18" hidden="1" customHeight="1">
      <c r="B41" s="3415">
        <v>3.2</v>
      </c>
      <c r="C41" s="3416"/>
      <c r="D41" s="3417"/>
      <c r="E41" s="3424"/>
      <c r="F41" s="3419"/>
      <c r="G41" s="3417"/>
      <c r="H41" s="3417"/>
      <c r="I41" s="3417"/>
      <c r="J41" s="3420"/>
      <c r="K41" s="3421"/>
      <c r="L41" s="3430"/>
      <c r="M41" s="3430"/>
      <c r="N41" s="3417"/>
      <c r="O41" s="3417"/>
      <c r="P41" s="3417"/>
      <c r="Q41" s="3417"/>
      <c r="R41" s="3417"/>
      <c r="S41" s="3417"/>
      <c r="T41" s="3417"/>
      <c r="U41" s="3417"/>
      <c r="V41" s="3417"/>
      <c r="W41" s="3417"/>
      <c r="X41" s="3417"/>
      <c r="Y41" s="3417"/>
      <c r="Z41" s="3417"/>
      <c r="AA41" s="3420"/>
      <c r="AB41" s="3408">
        <v>0</v>
      </c>
      <c r="AC41" s="3422"/>
      <c r="AD41" s="3402"/>
    </row>
    <row r="42" spans="2:31" s="3423" customFormat="1" ht="18" hidden="1" customHeight="1">
      <c r="B42" s="3415">
        <v>3.3</v>
      </c>
      <c r="C42" s="3416"/>
      <c r="D42" s="3417"/>
      <c r="E42" s="3431"/>
      <c r="F42" s="3419"/>
      <c r="G42" s="3417"/>
      <c r="H42" s="3417"/>
      <c r="I42" s="3417"/>
      <c r="J42" s="3420"/>
      <c r="K42" s="3421"/>
      <c r="L42" s="3430"/>
      <c r="M42" s="3430"/>
      <c r="N42" s="3417"/>
      <c r="O42" s="3417"/>
      <c r="P42" s="3417"/>
      <c r="Q42" s="3417"/>
      <c r="R42" s="3417"/>
      <c r="S42" s="3417"/>
      <c r="T42" s="3417"/>
      <c r="U42" s="3417"/>
      <c r="V42" s="3417"/>
      <c r="W42" s="3417"/>
      <c r="X42" s="3417"/>
      <c r="Y42" s="3417"/>
      <c r="Z42" s="3417"/>
      <c r="AA42" s="3420"/>
      <c r="AB42" s="3408">
        <v>0</v>
      </c>
      <c r="AC42" s="3422"/>
      <c r="AD42" s="3402"/>
    </row>
    <row r="43" spans="2:31" s="3447" customFormat="1" ht="18" customHeight="1">
      <c r="B43" s="3437" t="s">
        <v>3488</v>
      </c>
      <c r="C43" s="3438" t="s">
        <v>3489</v>
      </c>
      <c r="D43" s="3439">
        <f>D48-D44</f>
        <v>6808.0580061474693</v>
      </c>
      <c r="E43" s="3439"/>
      <c r="F43" s="3439"/>
      <c r="G43" s="3439"/>
      <c r="H43" s="3439"/>
      <c r="I43" s="3440">
        <f>H48+I48-H44-I44</f>
        <v>8021.1235845168358</v>
      </c>
      <c r="J43" s="3441">
        <f>J48-J44</f>
        <v>-1213.0655783693669</v>
      </c>
      <c r="K43" s="3442">
        <f>K48-K44</f>
        <v>0</v>
      </c>
      <c r="L43" s="3443">
        <f>L48-L44</f>
        <v>0</v>
      </c>
      <c r="M43" s="3443">
        <f>M48-M44</f>
        <v>0</v>
      </c>
      <c r="N43" s="3439">
        <f t="shared" ref="N43:AA43" si="8">N48-N44</f>
        <v>0</v>
      </c>
      <c r="O43" s="3439">
        <f t="shared" si="8"/>
        <v>0</v>
      </c>
      <c r="P43" s="3439">
        <f t="shared" si="8"/>
        <v>0</v>
      </c>
      <c r="Q43" s="3439">
        <f t="shared" si="8"/>
        <v>0</v>
      </c>
      <c r="R43" s="3439">
        <f t="shared" si="8"/>
        <v>0</v>
      </c>
      <c r="S43" s="3439">
        <f t="shared" si="8"/>
        <v>0</v>
      </c>
      <c r="T43" s="3439">
        <f t="shared" si="8"/>
        <v>0</v>
      </c>
      <c r="U43" s="3439">
        <f t="shared" si="8"/>
        <v>0</v>
      </c>
      <c r="V43" s="3439">
        <f t="shared" si="8"/>
        <v>0</v>
      </c>
      <c r="W43" s="3439">
        <f t="shared" si="8"/>
        <v>0</v>
      </c>
      <c r="X43" s="3439">
        <f t="shared" si="8"/>
        <v>0</v>
      </c>
      <c r="Y43" s="3439">
        <f t="shared" si="8"/>
        <v>0</v>
      </c>
      <c r="Z43" s="3439">
        <f t="shared" si="8"/>
        <v>0</v>
      </c>
      <c r="AA43" s="3441">
        <f t="shared" si="8"/>
        <v>0</v>
      </c>
      <c r="AB43" s="3444"/>
      <c r="AC43" s="3445" t="s">
        <v>3490</v>
      </c>
      <c r="AD43" s="3446">
        <f>D43/D4</f>
        <v>3.0796843914519444E-2</v>
      </c>
    </row>
    <row r="44" spans="2:31" ht="18" customHeight="1">
      <c r="B44" s="3448">
        <v>3.1</v>
      </c>
      <c r="C44" s="3416" t="s">
        <v>3491</v>
      </c>
      <c r="D44" s="3449">
        <f>SUM(H44:AA44)</f>
        <v>6802.1626450616232</v>
      </c>
      <c r="E44" s="3449"/>
      <c r="F44" s="3449"/>
      <c r="G44" s="3449"/>
      <c r="H44" s="3449">
        <f t="shared" ref="H44:AA44" si="9">SUM(H45:H47)</f>
        <v>2353.3674727504867</v>
      </c>
      <c r="I44" s="3449">
        <f t="shared" si="9"/>
        <v>1682.3492303054059</v>
      </c>
      <c r="J44" s="3450">
        <f t="shared" si="9"/>
        <v>2766.4459420057306</v>
      </c>
      <c r="K44" s="3451">
        <f t="shared" si="9"/>
        <v>0</v>
      </c>
      <c r="L44" s="3449">
        <f t="shared" si="9"/>
        <v>0</v>
      </c>
      <c r="M44" s="3449">
        <f t="shared" si="9"/>
        <v>0</v>
      </c>
      <c r="N44" s="3449">
        <f t="shared" si="9"/>
        <v>0</v>
      </c>
      <c r="O44" s="3449">
        <f t="shared" si="9"/>
        <v>0</v>
      </c>
      <c r="P44" s="3449">
        <f t="shared" si="9"/>
        <v>0</v>
      </c>
      <c r="Q44" s="3449">
        <f t="shared" si="9"/>
        <v>0</v>
      </c>
      <c r="R44" s="3449">
        <f t="shared" si="9"/>
        <v>0</v>
      </c>
      <c r="S44" s="3449">
        <f t="shared" si="9"/>
        <v>0</v>
      </c>
      <c r="T44" s="3449">
        <f t="shared" si="9"/>
        <v>0</v>
      </c>
      <c r="U44" s="3449">
        <f t="shared" si="9"/>
        <v>0</v>
      </c>
      <c r="V44" s="3449">
        <f t="shared" si="9"/>
        <v>0</v>
      </c>
      <c r="W44" s="3449">
        <f t="shared" si="9"/>
        <v>0</v>
      </c>
      <c r="X44" s="3449">
        <f t="shared" si="9"/>
        <v>0</v>
      </c>
      <c r="Y44" s="3449">
        <f t="shared" si="9"/>
        <v>0</v>
      </c>
      <c r="Z44" s="3449">
        <f t="shared" si="9"/>
        <v>0</v>
      </c>
      <c r="AA44" s="3450">
        <f t="shared" si="9"/>
        <v>0</v>
      </c>
      <c r="AB44" s="3452"/>
      <c r="AC44" s="3453">
        <f>[2]总成本!C32</f>
        <v>1</v>
      </c>
    </row>
    <row r="45" spans="2:31" ht="18" customHeight="1">
      <c r="B45" s="3448" t="s">
        <v>3492</v>
      </c>
      <c r="C45" s="3416" t="s">
        <v>3493</v>
      </c>
      <c r="D45" s="3449"/>
      <c r="E45" s="3449"/>
      <c r="F45" s="3449"/>
      <c r="G45" s="3449"/>
      <c r="H45" s="3449">
        <f>([2]总投资!D6+[2]总投资!D17)*0.3*0.1</f>
        <v>1831.4659346704866</v>
      </c>
      <c r="I45" s="3449">
        <f>([2]总投资!D6+[2]总投资!D17)*0.25*0.1</f>
        <v>1526.2216122254058</v>
      </c>
      <c r="J45" s="3450">
        <f>([2]总投资!D6+[2]总投资!D17)*0.45*0.1</f>
        <v>2747.1989020057304</v>
      </c>
      <c r="K45" s="3451"/>
      <c r="L45" s="3449"/>
      <c r="M45" s="3449"/>
      <c r="N45" s="3449"/>
      <c r="O45" s="3449"/>
      <c r="P45" s="3449"/>
      <c r="Q45" s="3449"/>
      <c r="R45" s="3449"/>
      <c r="S45" s="3449"/>
      <c r="T45" s="3449"/>
      <c r="U45" s="3449"/>
      <c r="V45" s="3449"/>
      <c r="W45" s="3449"/>
      <c r="X45" s="3449"/>
      <c r="Y45" s="3449"/>
      <c r="Z45" s="3449"/>
      <c r="AA45" s="3450"/>
      <c r="AB45" s="3452">
        <v>0.1</v>
      </c>
      <c r="AC45" s="3453"/>
    </row>
    <row r="46" spans="2:31" ht="18" customHeight="1">
      <c r="B46" s="3448" t="s">
        <v>3494</v>
      </c>
      <c r="C46" s="3416" t="s">
        <v>3495</v>
      </c>
      <c r="D46" s="3449"/>
      <c r="E46" s="3449"/>
      <c r="F46" s="3449"/>
      <c r="G46" s="3449"/>
      <c r="H46" s="3449">
        <f>[2]总投资!D10*0.16</f>
        <v>432</v>
      </c>
      <c r="I46" s="3449"/>
      <c r="J46" s="3450"/>
      <c r="K46" s="3451"/>
      <c r="L46" s="3449"/>
      <c r="M46" s="3449"/>
      <c r="N46" s="3449"/>
      <c r="O46" s="3449"/>
      <c r="P46" s="3449"/>
      <c r="Q46" s="3449"/>
      <c r="R46" s="3449"/>
      <c r="S46" s="3449"/>
      <c r="T46" s="3449"/>
      <c r="U46" s="3449"/>
      <c r="V46" s="3449"/>
      <c r="W46" s="3449"/>
      <c r="X46" s="3449"/>
      <c r="Y46" s="3449"/>
      <c r="Z46" s="3449"/>
      <c r="AA46" s="3450"/>
      <c r="AB46" s="3452">
        <v>0.16</v>
      </c>
      <c r="AC46" s="3453"/>
    </row>
    <row r="47" spans="2:31" ht="18" customHeight="1">
      <c r="B47" s="3448" t="s">
        <v>3496</v>
      </c>
      <c r="C47" s="3416" t="s">
        <v>3497</v>
      </c>
      <c r="D47" s="3449"/>
      <c r="E47" s="3449"/>
      <c r="F47" s="3449"/>
      <c r="G47" s="3449"/>
      <c r="H47" s="3449">
        <f>[2]总成本!E29*0.06</f>
        <v>89.901538079999995</v>
      </c>
      <c r="I47" s="3449">
        <f>[2]总成本!F29*0.06</f>
        <v>156.12761807999999</v>
      </c>
      <c r="J47" s="3450">
        <f>[2]总成本!G29*0.06</f>
        <v>19.247040000000002</v>
      </c>
      <c r="K47" s="3451">
        <f>[2]总成本!H29*0.06</f>
        <v>0</v>
      </c>
      <c r="L47" s="3449">
        <f>[2]总成本!I29*0.06</f>
        <v>0</v>
      </c>
      <c r="M47" s="3449">
        <f>[2]总成本!J29*0.06</f>
        <v>0</v>
      </c>
      <c r="N47" s="3449">
        <f>[2]总成本!K29*0.06</f>
        <v>0</v>
      </c>
      <c r="O47" s="3449">
        <f>[2]总成本!L29*0.06</f>
        <v>0</v>
      </c>
      <c r="P47" s="3449">
        <f>[2]总成本!M29*0.06</f>
        <v>0</v>
      </c>
      <c r="Q47" s="3449">
        <f>[2]总成本!N29*0.06</f>
        <v>0</v>
      </c>
      <c r="R47" s="3449">
        <f>[2]总成本!O29*0.06</f>
        <v>0</v>
      </c>
      <c r="S47" s="3449">
        <f>[2]总成本!P29*0.06</f>
        <v>0</v>
      </c>
      <c r="T47" s="3449">
        <f>[2]总成本!Q29*0.06</f>
        <v>0</v>
      </c>
      <c r="U47" s="3449">
        <f>[2]总成本!R29*0.06</f>
        <v>0</v>
      </c>
      <c r="V47" s="3449">
        <f>[2]总成本!S29*0.06</f>
        <v>0</v>
      </c>
      <c r="W47" s="3449">
        <f>[2]总成本!T29*0.06</f>
        <v>0</v>
      </c>
      <c r="X47" s="3449">
        <f>[2]总成本!U29*0.06</f>
        <v>0</v>
      </c>
      <c r="Y47" s="3449">
        <f>[2]总成本!V29*0.06</f>
        <v>0</v>
      </c>
      <c r="Z47" s="3449">
        <f>[2]总成本!W29*0.06</f>
        <v>0</v>
      </c>
      <c r="AA47" s="3450">
        <f>[2]总成本!X29*0.06</f>
        <v>0</v>
      </c>
      <c r="AB47" s="3452">
        <v>0.06</v>
      </c>
      <c r="AC47" s="3453"/>
    </row>
    <row r="48" spans="2:31" ht="18" customHeight="1">
      <c r="B48" s="3448">
        <v>3.2</v>
      </c>
      <c r="C48" s="3416" t="s">
        <v>3498</v>
      </c>
      <c r="D48" s="3449">
        <f>SUM(H48:AA48)</f>
        <v>13610.220651209092</v>
      </c>
      <c r="E48" s="3449"/>
      <c r="F48" s="3449"/>
      <c r="G48" s="3449"/>
      <c r="H48" s="3449">
        <f t="shared" ref="H48:AA48" si="10">SUM(H49:H51)</f>
        <v>-539.36914479090865</v>
      </c>
      <c r="I48" s="3449">
        <f t="shared" si="10"/>
        <v>12596.209432363637</v>
      </c>
      <c r="J48" s="3450">
        <f t="shared" si="10"/>
        <v>1553.3803636363637</v>
      </c>
      <c r="K48" s="3451">
        <f t="shared" si="10"/>
        <v>0</v>
      </c>
      <c r="L48" s="3449">
        <f t="shared" si="10"/>
        <v>0</v>
      </c>
      <c r="M48" s="3449">
        <f t="shared" si="10"/>
        <v>0</v>
      </c>
      <c r="N48" s="3449">
        <f t="shared" si="10"/>
        <v>0</v>
      </c>
      <c r="O48" s="3449">
        <f t="shared" si="10"/>
        <v>0</v>
      </c>
      <c r="P48" s="3449">
        <f t="shared" si="10"/>
        <v>0</v>
      </c>
      <c r="Q48" s="3449">
        <f t="shared" si="10"/>
        <v>0</v>
      </c>
      <c r="R48" s="3449">
        <f t="shared" si="10"/>
        <v>0</v>
      </c>
      <c r="S48" s="3449">
        <f t="shared" si="10"/>
        <v>0</v>
      </c>
      <c r="T48" s="3449">
        <f t="shared" si="10"/>
        <v>0</v>
      </c>
      <c r="U48" s="3449">
        <f t="shared" si="10"/>
        <v>0</v>
      </c>
      <c r="V48" s="3449">
        <f t="shared" si="10"/>
        <v>0</v>
      </c>
      <c r="W48" s="3449">
        <f t="shared" si="10"/>
        <v>0</v>
      </c>
      <c r="X48" s="3449">
        <f t="shared" si="10"/>
        <v>0</v>
      </c>
      <c r="Y48" s="3449">
        <f t="shared" si="10"/>
        <v>0</v>
      </c>
      <c r="Z48" s="3449">
        <f t="shared" si="10"/>
        <v>0</v>
      </c>
      <c r="AA48" s="3450">
        <f t="shared" si="10"/>
        <v>0</v>
      </c>
      <c r="AB48" s="3452">
        <v>0.06</v>
      </c>
    </row>
    <row r="49" spans="2:29" ht="18" customHeight="1">
      <c r="B49" s="3448" t="s">
        <v>3499</v>
      </c>
      <c r="C49" s="3416" t="s">
        <v>3500</v>
      </c>
      <c r="D49" s="3449"/>
      <c r="E49" s="3449"/>
      <c r="F49" s="3449"/>
      <c r="G49" s="3449"/>
      <c r="H49" s="3449">
        <f>(H5-[2]总投资!$F$12*经营收入及税金!H7-H57)*0.1</f>
        <v>-539.36914479090865</v>
      </c>
      <c r="I49" s="3449">
        <f>(I5-[2]总投资!$F$12*经营收入及税金!I7-I57)*0.1</f>
        <v>12596.209432363637</v>
      </c>
      <c r="J49" s="3450">
        <f>(J5-[2]总投资!$F$12*经营收入及税金!J7-J57)*0.1</f>
        <v>1553.3803636363637</v>
      </c>
      <c r="K49" s="3451">
        <f>(K5-[2]总投资!$F$12*经营收入及税金!K7)*0.1</f>
        <v>0</v>
      </c>
      <c r="L49" s="3449"/>
      <c r="M49" s="3449"/>
      <c r="N49" s="3449"/>
      <c r="O49" s="3449"/>
      <c r="P49" s="3449"/>
      <c r="Q49" s="3449"/>
      <c r="R49" s="3449"/>
      <c r="S49" s="3449"/>
      <c r="T49" s="3449"/>
      <c r="U49" s="3449"/>
      <c r="V49" s="3449"/>
      <c r="W49" s="3449"/>
      <c r="X49" s="3449"/>
      <c r="Y49" s="3449"/>
      <c r="Z49" s="3449"/>
      <c r="AA49" s="3450"/>
      <c r="AB49" s="3452">
        <v>0.1</v>
      </c>
    </row>
    <row r="50" spans="2:29" ht="18" customHeight="1">
      <c r="B50" s="3448" t="s">
        <v>3501</v>
      </c>
      <c r="C50" s="3416" t="s">
        <v>3502</v>
      </c>
      <c r="D50" s="3449"/>
      <c r="E50" s="3449"/>
      <c r="F50" s="3449"/>
      <c r="G50" s="3449"/>
      <c r="H50" s="3449">
        <f>H30*0.11</f>
        <v>0</v>
      </c>
      <c r="I50" s="3449">
        <f t="shared" ref="I50:AA50" si="11">I30*0.1</f>
        <v>0</v>
      </c>
      <c r="J50" s="3450">
        <f t="shared" si="11"/>
        <v>0</v>
      </c>
      <c r="K50" s="3451">
        <f t="shared" si="11"/>
        <v>0</v>
      </c>
      <c r="L50" s="3449">
        <f t="shared" si="11"/>
        <v>0</v>
      </c>
      <c r="M50" s="3449">
        <f t="shared" si="11"/>
        <v>0</v>
      </c>
      <c r="N50" s="3449">
        <f t="shared" si="11"/>
        <v>0</v>
      </c>
      <c r="O50" s="3449">
        <f t="shared" si="11"/>
        <v>0</v>
      </c>
      <c r="P50" s="3449">
        <f t="shared" si="11"/>
        <v>0</v>
      </c>
      <c r="Q50" s="3449">
        <f t="shared" si="11"/>
        <v>0</v>
      </c>
      <c r="R50" s="3449">
        <f t="shared" si="11"/>
        <v>0</v>
      </c>
      <c r="S50" s="3449">
        <f t="shared" si="11"/>
        <v>0</v>
      </c>
      <c r="T50" s="3449">
        <f t="shared" si="11"/>
        <v>0</v>
      </c>
      <c r="U50" s="3449">
        <f t="shared" si="11"/>
        <v>0</v>
      </c>
      <c r="V50" s="3449">
        <f t="shared" si="11"/>
        <v>0</v>
      </c>
      <c r="W50" s="3449">
        <f t="shared" si="11"/>
        <v>0</v>
      </c>
      <c r="X50" s="3449">
        <f t="shared" si="11"/>
        <v>0</v>
      </c>
      <c r="Y50" s="3449">
        <f t="shared" si="11"/>
        <v>0</v>
      </c>
      <c r="Z50" s="3449">
        <f t="shared" si="11"/>
        <v>0</v>
      </c>
      <c r="AA50" s="3450">
        <f t="shared" si="11"/>
        <v>0</v>
      </c>
      <c r="AB50" s="3452">
        <v>0.1</v>
      </c>
    </row>
    <row r="51" spans="2:29" ht="18" customHeight="1">
      <c r="B51" s="3448" t="s">
        <v>3503</v>
      </c>
      <c r="C51" s="3416" t="s">
        <v>3504</v>
      </c>
      <c r="D51" s="3449"/>
      <c r="E51" s="3449"/>
      <c r="F51" s="3449"/>
      <c r="G51" s="3449"/>
      <c r="H51" s="3449">
        <f t="shared" ref="H51:AA51" si="12">H39*0.06</f>
        <v>0</v>
      </c>
      <c r="I51" s="3449">
        <f t="shared" si="12"/>
        <v>0</v>
      </c>
      <c r="J51" s="3450">
        <f t="shared" si="12"/>
        <v>0</v>
      </c>
      <c r="K51" s="3451">
        <f t="shared" si="12"/>
        <v>0</v>
      </c>
      <c r="L51" s="3449">
        <f t="shared" si="12"/>
        <v>0</v>
      </c>
      <c r="M51" s="3449">
        <f t="shared" si="12"/>
        <v>0</v>
      </c>
      <c r="N51" s="3449">
        <f t="shared" si="12"/>
        <v>0</v>
      </c>
      <c r="O51" s="3449">
        <f t="shared" si="12"/>
        <v>0</v>
      </c>
      <c r="P51" s="3449">
        <f t="shared" si="12"/>
        <v>0</v>
      </c>
      <c r="Q51" s="3449">
        <f t="shared" si="12"/>
        <v>0</v>
      </c>
      <c r="R51" s="3449">
        <f t="shared" si="12"/>
        <v>0</v>
      </c>
      <c r="S51" s="3449">
        <f t="shared" si="12"/>
        <v>0</v>
      </c>
      <c r="T51" s="3449">
        <f t="shared" si="12"/>
        <v>0</v>
      </c>
      <c r="U51" s="3449">
        <f t="shared" si="12"/>
        <v>0</v>
      </c>
      <c r="V51" s="3449">
        <f t="shared" si="12"/>
        <v>0</v>
      </c>
      <c r="W51" s="3449">
        <f t="shared" si="12"/>
        <v>0</v>
      </c>
      <c r="X51" s="3449">
        <f t="shared" si="12"/>
        <v>0</v>
      </c>
      <c r="Y51" s="3449">
        <f t="shared" si="12"/>
        <v>0</v>
      </c>
      <c r="Z51" s="3449">
        <f t="shared" si="12"/>
        <v>0</v>
      </c>
      <c r="AA51" s="3450">
        <f t="shared" si="12"/>
        <v>0</v>
      </c>
      <c r="AB51" s="3452">
        <v>0.06</v>
      </c>
    </row>
    <row r="52" spans="2:29" s="3447" customFormat="1" ht="18" customHeight="1">
      <c r="B52" s="3455">
        <v>4</v>
      </c>
      <c r="C52" s="3438" t="s">
        <v>3505</v>
      </c>
      <c r="D52" s="3439">
        <f>SUM(D53:D55)</f>
        <v>680.805800614747</v>
      </c>
      <c r="E52" s="3439"/>
      <c r="F52" s="3439"/>
      <c r="G52" s="3439"/>
      <c r="H52" s="3439">
        <f t="shared" ref="H52:AA52" si="13">SUM(H53:H55)</f>
        <v>0</v>
      </c>
      <c r="I52" s="3439">
        <f>SUM(I53:I55)</f>
        <v>802.11235845168369</v>
      </c>
      <c r="J52" s="3441">
        <f t="shared" si="13"/>
        <v>-121.3065578369367</v>
      </c>
      <c r="K52" s="3442">
        <f t="shared" si="13"/>
        <v>0</v>
      </c>
      <c r="L52" s="3439">
        <f t="shared" si="13"/>
        <v>0</v>
      </c>
      <c r="M52" s="3439">
        <f t="shared" si="13"/>
        <v>0</v>
      </c>
      <c r="N52" s="3439">
        <f t="shared" si="13"/>
        <v>0</v>
      </c>
      <c r="O52" s="3439">
        <f t="shared" si="13"/>
        <v>0</v>
      </c>
      <c r="P52" s="3439">
        <f t="shared" si="13"/>
        <v>0</v>
      </c>
      <c r="Q52" s="3439">
        <f t="shared" si="13"/>
        <v>0</v>
      </c>
      <c r="R52" s="3439">
        <f t="shared" si="13"/>
        <v>0</v>
      </c>
      <c r="S52" s="3439">
        <f t="shared" si="13"/>
        <v>0</v>
      </c>
      <c r="T52" s="3439">
        <f t="shared" si="13"/>
        <v>0</v>
      </c>
      <c r="U52" s="3439">
        <f t="shared" si="13"/>
        <v>0</v>
      </c>
      <c r="V52" s="3439">
        <f t="shared" si="13"/>
        <v>0</v>
      </c>
      <c r="W52" s="3439">
        <f t="shared" si="13"/>
        <v>0</v>
      </c>
      <c r="X52" s="3439">
        <f t="shared" si="13"/>
        <v>0</v>
      </c>
      <c r="Y52" s="3439">
        <f t="shared" si="13"/>
        <v>0</v>
      </c>
      <c r="Z52" s="3439">
        <f t="shared" si="13"/>
        <v>0</v>
      </c>
      <c r="AA52" s="3441">
        <f t="shared" si="13"/>
        <v>0</v>
      </c>
      <c r="AB52" s="3452"/>
      <c r="AC52" s="3454"/>
    </row>
    <row r="53" spans="2:29" ht="18" customHeight="1">
      <c r="B53" s="3448">
        <v>2.1</v>
      </c>
      <c r="C53" s="3416" t="s">
        <v>3506</v>
      </c>
      <c r="D53" s="3449">
        <f>SUM(H53:V53)</f>
        <v>0</v>
      </c>
      <c r="E53" s="3449"/>
      <c r="F53" s="3449"/>
      <c r="G53" s="3449"/>
      <c r="H53" s="3449"/>
      <c r="I53" s="3449"/>
      <c r="J53" s="3450"/>
      <c r="K53" s="3451"/>
      <c r="L53" s="3449"/>
      <c r="M53" s="3449"/>
      <c r="N53" s="3449"/>
      <c r="O53" s="3449"/>
      <c r="P53" s="3449"/>
      <c r="Q53" s="3449"/>
      <c r="R53" s="3449"/>
      <c r="S53" s="3449"/>
      <c r="T53" s="3449"/>
      <c r="U53" s="3449"/>
      <c r="V53" s="3449"/>
      <c r="W53" s="3449"/>
      <c r="X53" s="3449"/>
      <c r="Y53" s="3449"/>
      <c r="Z53" s="3449"/>
      <c r="AA53" s="3450"/>
      <c r="AB53" s="3452">
        <v>0</v>
      </c>
    </row>
    <row r="54" spans="2:29" ht="18" customHeight="1">
      <c r="B54" s="3448">
        <v>4.0999999999999996</v>
      </c>
      <c r="C54" s="3416" t="s">
        <v>3507</v>
      </c>
      <c r="D54" s="3449">
        <f>SUM(H54:AA54)</f>
        <v>476.56406043032291</v>
      </c>
      <c r="E54" s="3449"/>
      <c r="F54" s="3449"/>
      <c r="G54" s="3449"/>
      <c r="H54" s="3449">
        <f>IF(H43&gt;0,(H53+H43)*$AB$54,0)</f>
        <v>0</v>
      </c>
      <c r="I54" s="3449">
        <f>IF(H43&lt;0,(I53+I43+H43)*$AB$54,(I53+I43)*$AB$54)</f>
        <v>561.47865091617859</v>
      </c>
      <c r="J54" s="3450">
        <f t="shared" ref="J54:AA54" si="14">(J53+J43)*$AB$54</f>
        <v>-84.914590485855697</v>
      </c>
      <c r="K54" s="3451">
        <f t="shared" si="14"/>
        <v>0</v>
      </c>
      <c r="L54" s="3449">
        <f t="shared" si="14"/>
        <v>0</v>
      </c>
      <c r="M54" s="3449">
        <f t="shared" si="14"/>
        <v>0</v>
      </c>
      <c r="N54" s="3449">
        <f t="shared" si="14"/>
        <v>0</v>
      </c>
      <c r="O54" s="3449">
        <f t="shared" si="14"/>
        <v>0</v>
      </c>
      <c r="P54" s="3449">
        <f t="shared" si="14"/>
        <v>0</v>
      </c>
      <c r="Q54" s="3449">
        <f t="shared" si="14"/>
        <v>0</v>
      </c>
      <c r="R54" s="3449">
        <f t="shared" si="14"/>
        <v>0</v>
      </c>
      <c r="S54" s="3449">
        <f t="shared" si="14"/>
        <v>0</v>
      </c>
      <c r="T54" s="3449">
        <f t="shared" si="14"/>
        <v>0</v>
      </c>
      <c r="U54" s="3449">
        <f t="shared" si="14"/>
        <v>0</v>
      </c>
      <c r="V54" s="3449">
        <f t="shared" si="14"/>
        <v>0</v>
      </c>
      <c r="W54" s="3449">
        <f t="shared" si="14"/>
        <v>0</v>
      </c>
      <c r="X54" s="3449">
        <f t="shared" si="14"/>
        <v>0</v>
      </c>
      <c r="Y54" s="3449">
        <f t="shared" si="14"/>
        <v>0</v>
      </c>
      <c r="Z54" s="3449">
        <f t="shared" si="14"/>
        <v>0</v>
      </c>
      <c r="AA54" s="3450">
        <f t="shared" si="14"/>
        <v>0</v>
      </c>
      <c r="AB54" s="3452">
        <v>7.0000000000000007E-2</v>
      </c>
    </row>
    <row r="55" spans="2:29" ht="18" customHeight="1">
      <c r="B55" s="3448">
        <v>4.2</v>
      </c>
      <c r="C55" s="3416" t="s">
        <v>3508</v>
      </c>
      <c r="D55" s="3449">
        <f>SUM(H55:AA55)</f>
        <v>204.24174018442406</v>
      </c>
      <c r="E55" s="3449"/>
      <c r="F55" s="3449"/>
      <c r="G55" s="3449"/>
      <c r="H55" s="3449">
        <f>IF(H43&gt;0,(H53+H43)*$AB$55,0)</f>
        <v>0</v>
      </c>
      <c r="I55" s="3449">
        <f>IF(H43&lt;0,(I53+I43+H43)*$AB$55,(I53+I43)*$AB$55)</f>
        <v>240.63370753550507</v>
      </c>
      <c r="J55" s="3450">
        <f t="shared" ref="J55:AA55" si="15">(J53+J43)*$AB$55</f>
        <v>-36.391967351081007</v>
      </c>
      <c r="K55" s="3451">
        <f t="shared" si="15"/>
        <v>0</v>
      </c>
      <c r="L55" s="3449">
        <f t="shared" si="15"/>
        <v>0</v>
      </c>
      <c r="M55" s="3449">
        <f t="shared" si="15"/>
        <v>0</v>
      </c>
      <c r="N55" s="3449">
        <f t="shared" si="15"/>
        <v>0</v>
      </c>
      <c r="O55" s="3449">
        <f t="shared" si="15"/>
        <v>0</v>
      </c>
      <c r="P55" s="3449">
        <f t="shared" si="15"/>
        <v>0</v>
      </c>
      <c r="Q55" s="3449">
        <f t="shared" si="15"/>
        <v>0</v>
      </c>
      <c r="R55" s="3449">
        <f t="shared" si="15"/>
        <v>0</v>
      </c>
      <c r="S55" s="3449">
        <f t="shared" si="15"/>
        <v>0</v>
      </c>
      <c r="T55" s="3449">
        <f t="shared" si="15"/>
        <v>0</v>
      </c>
      <c r="U55" s="3449">
        <f t="shared" si="15"/>
        <v>0</v>
      </c>
      <c r="V55" s="3449">
        <f t="shared" si="15"/>
        <v>0</v>
      </c>
      <c r="W55" s="3449">
        <f t="shared" si="15"/>
        <v>0</v>
      </c>
      <c r="X55" s="3449">
        <f t="shared" si="15"/>
        <v>0</v>
      </c>
      <c r="Y55" s="3449">
        <f t="shared" si="15"/>
        <v>0</v>
      </c>
      <c r="Z55" s="3449">
        <f t="shared" si="15"/>
        <v>0</v>
      </c>
      <c r="AA55" s="3450">
        <f t="shared" si="15"/>
        <v>0</v>
      </c>
      <c r="AB55" s="3452">
        <v>0.03</v>
      </c>
    </row>
    <row r="56" spans="2:29" s="3447" customFormat="1" ht="18" customHeight="1">
      <c r="B56" s="3455">
        <v>5</v>
      </c>
      <c r="C56" s="3438" t="s">
        <v>3509</v>
      </c>
      <c r="D56" s="3439"/>
      <c r="E56" s="3439"/>
      <c r="F56" s="3439"/>
      <c r="G56" s="3439"/>
      <c r="H56" s="3456">
        <f>H30*0.12</f>
        <v>0</v>
      </c>
      <c r="I56" s="3439">
        <f t="shared" ref="I56:AA56" si="16">I30*0.12</f>
        <v>0</v>
      </c>
      <c r="J56" s="3441">
        <f t="shared" si="16"/>
        <v>0</v>
      </c>
      <c r="K56" s="3442">
        <f t="shared" si="16"/>
        <v>0</v>
      </c>
      <c r="L56" s="3439">
        <f t="shared" si="16"/>
        <v>0</v>
      </c>
      <c r="M56" s="3439">
        <f t="shared" si="16"/>
        <v>0</v>
      </c>
      <c r="N56" s="3439">
        <f t="shared" si="16"/>
        <v>0</v>
      </c>
      <c r="O56" s="3439">
        <f t="shared" si="16"/>
        <v>0</v>
      </c>
      <c r="P56" s="3439">
        <f t="shared" si="16"/>
        <v>0</v>
      </c>
      <c r="Q56" s="3439">
        <f t="shared" si="16"/>
        <v>0</v>
      </c>
      <c r="R56" s="3439">
        <f t="shared" si="16"/>
        <v>0</v>
      </c>
      <c r="S56" s="3439">
        <f t="shared" si="16"/>
        <v>0</v>
      </c>
      <c r="T56" s="3439">
        <f t="shared" si="16"/>
        <v>0</v>
      </c>
      <c r="U56" s="3439">
        <f t="shared" si="16"/>
        <v>0</v>
      </c>
      <c r="V56" s="3439">
        <f t="shared" si="16"/>
        <v>0</v>
      </c>
      <c r="W56" s="3439">
        <f t="shared" si="16"/>
        <v>0</v>
      </c>
      <c r="X56" s="3439">
        <f t="shared" si="16"/>
        <v>0</v>
      </c>
      <c r="Y56" s="3439">
        <f t="shared" si="16"/>
        <v>0</v>
      </c>
      <c r="Z56" s="3439">
        <f t="shared" si="16"/>
        <v>0</v>
      </c>
      <c r="AA56" s="3441">
        <f t="shared" si="16"/>
        <v>0</v>
      </c>
      <c r="AB56" s="3444">
        <v>0.12</v>
      </c>
      <c r="AC56" s="3445"/>
    </row>
    <row r="57" spans="2:29" s="3447" customFormat="1" ht="18" customHeight="1" thickBot="1">
      <c r="B57" s="3457">
        <v>6</v>
      </c>
      <c r="C57" s="3458" t="s">
        <v>3510</v>
      </c>
      <c r="D57" s="3459">
        <f>[2]土地增值税!D35</f>
        <v>5122.6211615576958</v>
      </c>
      <c r="E57" s="3459"/>
      <c r="F57" s="3459"/>
      <c r="G57" s="3459"/>
      <c r="H57" s="3460">
        <f>H6/1.1*2%+H8/1.1*1%+H10/1.1*4%+H12/1.1*5%+(H20+H22)/1.1*3%</f>
        <v>1180.0395309090909</v>
      </c>
      <c r="I57" s="3460">
        <f>I6/1.1*2%+I8/1.1*1%+I10/1.1*4%+I12/1.1*5%+(I20+I22)/1.1*3%</f>
        <v>4144.2540763636362</v>
      </c>
      <c r="J57" s="3461">
        <f t="shared" ref="J57:N57" si="17">J6/1.1*2%+J8/1.1*1%+J10/1.1*4%+J12/1.1*5%+(J20+J22)/1.1*3%</f>
        <v>505.39636363636362</v>
      </c>
      <c r="K57" s="3462">
        <f t="shared" si="17"/>
        <v>0</v>
      </c>
      <c r="L57" s="3460">
        <f t="shared" si="17"/>
        <v>0</v>
      </c>
      <c r="M57" s="3460">
        <f t="shared" si="17"/>
        <v>0</v>
      </c>
      <c r="N57" s="3460">
        <f t="shared" si="17"/>
        <v>0</v>
      </c>
      <c r="O57" s="3459"/>
      <c r="P57" s="3459"/>
      <c r="Q57" s="3459"/>
      <c r="R57" s="3459"/>
      <c r="S57" s="3459"/>
      <c r="T57" s="3459"/>
      <c r="U57" s="3459"/>
      <c r="V57" s="3459"/>
      <c r="W57" s="3459"/>
      <c r="X57" s="3459"/>
      <c r="Y57" s="3459"/>
      <c r="Z57" s="3459"/>
      <c r="AA57" s="3463"/>
      <c r="AB57" s="3444" t="s">
        <v>3511</v>
      </c>
      <c r="AC57" s="3445"/>
    </row>
    <row r="58" spans="2:29">
      <c r="D58" s="3464">
        <f>D43+D52</f>
        <v>7488.863806762216</v>
      </c>
    </row>
  </sheetData>
  <mergeCells count="2">
    <mergeCell ref="B1:J1"/>
    <mergeCell ref="B2:J2"/>
  </mergeCells>
  <phoneticPr fontId="233" type="noConversion"/>
  <printOptions horizontalCentered="1"/>
  <pageMargins left="0.94" right="0.75" top="1.04" bottom="0.98" header="0.53" footer="0.51"/>
  <pageSetup paperSize="9" scale="70" orientation="landscape" horizontalDpi="4294967293" verticalDpi="4294967293" r:id="rId1"/>
  <headerFooter alignWithMargins="0">
    <oddHeader>&amp;C&amp;"宋体,加粗"&amp;18营业收入、营业税金及附加和增值税估算表&amp;R
单位：万元</oddHeader>
    <oddFooter>第 &amp;P 页，共 &amp;N 页</odd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8" zoomScale="80" zoomScaleNormal="80" workbookViewId="0">
      <selection activeCell="K43" sqref="K43"/>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2619" t="s">
        <v>719</v>
      </c>
      <c r="C1" s="2620" t="s">
        <v>720</v>
      </c>
      <c r="D1" s="2621" t="s">
        <v>3169</v>
      </c>
      <c r="E1" s="2622"/>
      <c r="F1" s="2803" t="s">
        <v>3192</v>
      </c>
      <c r="G1" s="1596" t="s">
        <v>721</v>
      </c>
      <c r="H1" s="504"/>
      <c r="I1" s="504"/>
      <c r="J1" s="504"/>
      <c r="K1" s="505"/>
      <c r="L1" s="1557"/>
      <c r="M1" s="1558"/>
      <c r="N1" s="1558"/>
      <c r="O1" s="1558"/>
      <c r="P1" s="1559"/>
      <c r="Q1" s="1559"/>
      <c r="R1" s="1559"/>
      <c r="S1" s="1559"/>
      <c r="T1" s="1559"/>
      <c r="U1" s="1559"/>
      <c r="V1" s="1559"/>
      <c r="W1" s="1559"/>
      <c r="X1" s="1559"/>
      <c r="Y1" s="1559"/>
      <c r="Z1" s="1559"/>
      <c r="AA1" s="1559"/>
      <c r="AB1" s="1559"/>
      <c r="AC1" s="1560"/>
    </row>
    <row r="2" spans="1:29" s="1359" customFormat="1" ht="28.5" customHeight="1">
      <c r="A2" s="421" t="s">
        <v>467</v>
      </c>
      <c r="B2" s="2618">
        <f>ROUND(B3*D3/10000,0)</f>
        <v>41748</v>
      </c>
      <c r="C2" s="2123"/>
      <c r="D2" s="2123"/>
      <c r="E2" s="2123"/>
      <c r="F2" s="2197"/>
      <c r="G2" s="2123"/>
      <c r="H2" s="2123"/>
      <c r="I2" s="2123"/>
      <c r="J2" s="2123"/>
      <c r="K2" s="2198"/>
      <c r="L2" s="2199"/>
      <c r="M2" s="2200"/>
      <c r="N2" s="2200"/>
      <c r="O2" s="2200"/>
      <c r="P2" s="1597"/>
      <c r="Q2" s="1597"/>
      <c r="R2" s="1597"/>
      <c r="S2" s="1597"/>
      <c r="T2" s="1597"/>
      <c r="U2" s="1597"/>
      <c r="V2" s="1597"/>
      <c r="W2" s="1597"/>
      <c r="X2" s="1597"/>
      <c r="Y2" s="1597"/>
      <c r="Z2" s="1597"/>
      <c r="AA2" s="1597"/>
      <c r="AB2" s="1597"/>
      <c r="AC2" s="1598"/>
    </row>
    <row r="3" spans="1:29" s="1359" customFormat="1" ht="28.5" customHeight="1" thickBot="1">
      <c r="A3" s="507" t="s">
        <v>519</v>
      </c>
      <c r="B3" s="849">
        <f>C49</f>
        <v>12170</v>
      </c>
      <c r="C3" s="850" t="s">
        <v>722</v>
      </c>
      <c r="D3" s="849">
        <f>SUMIF('数据-汇总表'!$C19:$C33,D1,'数据-汇总表'!$E19:$E33)</f>
        <v>34304</v>
      </c>
      <c r="E3" s="2123"/>
      <c r="F3" s="2197"/>
      <c r="G3" s="2123"/>
      <c r="H3" s="2123"/>
      <c r="I3" s="2123"/>
      <c r="J3" s="2123"/>
      <c r="K3" s="2198"/>
      <c r="L3" s="2199"/>
      <c r="M3" s="2200"/>
      <c r="N3" s="2200"/>
      <c r="O3" s="2200"/>
      <c r="P3" s="1597"/>
      <c r="Q3" s="1597"/>
      <c r="R3" s="1597"/>
      <c r="S3" s="1597"/>
      <c r="T3" s="1597"/>
      <c r="U3" s="1597"/>
      <c r="V3" s="1597"/>
      <c r="W3" s="1597"/>
      <c r="X3" s="1597"/>
      <c r="Y3" s="1597"/>
      <c r="Z3" s="1597"/>
      <c r="AA3" s="1597"/>
      <c r="AB3" s="1597"/>
      <c r="AC3" s="1599"/>
    </row>
    <row r="4" spans="1:29" ht="15">
      <c r="A4" s="510" t="s">
        <v>521</v>
      </c>
      <c r="B4" s="511"/>
      <c r="C4" s="3685" t="s">
        <v>522</v>
      </c>
      <c r="D4" s="3686"/>
      <c r="E4" s="3710" t="s">
        <v>523</v>
      </c>
      <c r="F4" s="3711"/>
      <c r="G4" s="3685" t="s">
        <v>524</v>
      </c>
      <c r="H4" s="3686"/>
      <c r="I4" s="3685" t="s">
        <v>525</v>
      </c>
      <c r="J4" s="3686"/>
      <c r="K4" s="851" t="s">
        <v>526</v>
      </c>
      <c r="L4" s="2129"/>
      <c r="M4" s="2130"/>
      <c r="N4" s="2130"/>
      <c r="O4" s="2130"/>
      <c r="P4" s="3687" t="s">
        <v>527</v>
      </c>
      <c r="Q4" s="3688"/>
      <c r="R4" s="3673" t="s">
        <v>523</v>
      </c>
      <c r="S4" s="3674"/>
      <c r="T4" s="3673" t="s">
        <v>524</v>
      </c>
      <c r="U4" s="3674"/>
      <c r="V4" s="3693" t="s">
        <v>525</v>
      </c>
      <c r="W4" s="3693"/>
      <c r="X4" s="1562"/>
      <c r="Y4" s="3673" t="s">
        <v>527</v>
      </c>
      <c r="Z4" s="3674"/>
      <c r="AA4" s="3668" t="s">
        <v>523</v>
      </c>
      <c r="AB4" s="3668" t="s">
        <v>524</v>
      </c>
      <c r="AC4" s="3668" t="s">
        <v>525</v>
      </c>
    </row>
    <row r="5" spans="1:29" ht="15">
      <c r="A5" s="513"/>
      <c r="B5" s="514"/>
      <c r="C5" s="3696" t="s">
        <v>2928</v>
      </c>
      <c r="D5" s="3697"/>
      <c r="E5" s="3758" t="s">
        <v>3419</v>
      </c>
      <c r="F5" s="3713"/>
      <c r="G5" s="3759" t="s">
        <v>3420</v>
      </c>
      <c r="H5" s="3697"/>
      <c r="I5" s="3759" t="s">
        <v>3421</v>
      </c>
      <c r="J5" s="3697"/>
      <c r="K5" s="852"/>
      <c r="L5" s="2129"/>
      <c r="M5" s="2130"/>
      <c r="N5" s="2130"/>
      <c r="O5" s="2130"/>
      <c r="P5" s="3689"/>
      <c r="Q5" s="3690"/>
      <c r="R5" s="3675"/>
      <c r="S5" s="3676"/>
      <c r="T5" s="3675"/>
      <c r="U5" s="3676"/>
      <c r="V5" s="3693"/>
      <c r="W5" s="3693"/>
      <c r="X5" s="1562"/>
      <c r="Y5" s="3675"/>
      <c r="Z5" s="3676"/>
      <c r="AA5" s="3669"/>
      <c r="AB5" s="3669"/>
      <c r="AC5" s="3669"/>
    </row>
    <row r="6" spans="1:29" ht="15.75" thickBot="1">
      <c r="A6" s="515"/>
      <c r="B6" s="516"/>
      <c r="C6" s="3694" t="s">
        <v>2932</v>
      </c>
      <c r="D6" s="3695"/>
      <c r="E6" s="3760" t="s">
        <v>3815</v>
      </c>
      <c r="F6" s="3715"/>
      <c r="G6" s="3761" t="s">
        <v>3814</v>
      </c>
      <c r="H6" s="3695"/>
      <c r="I6" s="3761" t="s">
        <v>3817</v>
      </c>
      <c r="J6" s="3695"/>
      <c r="K6" s="852" t="s">
        <v>528</v>
      </c>
      <c r="L6" s="2129"/>
      <c r="M6" s="2130"/>
      <c r="N6" s="2130"/>
      <c r="O6" s="2130"/>
      <c r="P6" s="3691"/>
      <c r="Q6" s="3692"/>
      <c r="R6" s="3675"/>
      <c r="S6" s="3676"/>
      <c r="T6" s="3677"/>
      <c r="U6" s="3678"/>
      <c r="V6" s="3693"/>
      <c r="W6" s="3693"/>
      <c r="X6" s="1562"/>
      <c r="Y6" s="3677"/>
      <c r="Z6" s="3678"/>
      <c r="AA6" s="3670"/>
      <c r="AB6" s="3670"/>
      <c r="AC6" s="3670"/>
    </row>
    <row r="7" spans="1:29" s="1217" customFormat="1" ht="15.75" thickBot="1">
      <c r="A7" s="2908"/>
      <c r="B7" s="2915" t="s">
        <v>529</v>
      </c>
      <c r="C7" s="517">
        <f>'数据-取费表'!B2</f>
        <v>43346</v>
      </c>
      <c r="D7" s="518">
        <v>100</v>
      </c>
      <c r="E7" s="519">
        <v>43160</v>
      </c>
      <c r="F7" s="520">
        <f>SUMIF(58:58,YEAR(E7)&amp;"-"&amp;MONTH(E7),59:59)</f>
        <v>100</v>
      </c>
      <c r="G7" s="521">
        <f>E7</f>
        <v>43160</v>
      </c>
      <c r="H7" s="518">
        <f>SUMIF(58:58,YEAR(G7)&amp;"-"&amp;MONTH(G7),59:59)</f>
        <v>100</v>
      </c>
      <c r="I7" s="521">
        <v>43344</v>
      </c>
      <c r="J7" s="518">
        <f>SUMIF(58:58,YEAR(I7)&amp;"-"&amp;MONTH(I7),59:59)</f>
        <v>100</v>
      </c>
      <c r="K7" s="853"/>
      <c r="L7" s="2131"/>
      <c r="M7" s="2132"/>
      <c r="N7" s="2132"/>
      <c r="O7" s="2132"/>
      <c r="P7" s="3671" t="s">
        <v>530</v>
      </c>
      <c r="Q7" s="3680"/>
      <c r="R7" s="1563" t="s">
        <v>13</v>
      </c>
      <c r="S7" s="1564">
        <f t="shared" ref="S7:S15" si="0">F7</f>
        <v>100</v>
      </c>
      <c r="T7" s="1563" t="s">
        <v>13</v>
      </c>
      <c r="U7" s="1564">
        <f t="shared" ref="U7:U15" si="1">H7</f>
        <v>100</v>
      </c>
      <c r="V7" s="1563" t="s">
        <v>13</v>
      </c>
      <c r="W7" s="1564">
        <f t="shared" ref="W7:W15" si="2">J7</f>
        <v>100</v>
      </c>
      <c r="X7" s="1565"/>
      <c r="Y7" s="3671" t="s">
        <v>530</v>
      </c>
      <c r="Z7" s="3672"/>
      <c r="AA7" s="1566">
        <f>D7/F7</f>
        <v>1</v>
      </c>
      <c r="AB7" s="1566">
        <f>D7/H7</f>
        <v>1</v>
      </c>
      <c r="AC7" s="1566">
        <f>D7/J7</f>
        <v>1</v>
      </c>
    </row>
    <row r="8" spans="1:29" s="1217" customFormat="1" ht="15.75" thickBot="1">
      <c r="A8" s="2909"/>
      <c r="B8" s="2916" t="s">
        <v>531</v>
      </c>
      <c r="C8" s="523" t="s">
        <v>576</v>
      </c>
      <c r="D8" s="518">
        <v>100</v>
      </c>
      <c r="E8" s="854" t="s">
        <v>3398</v>
      </c>
      <c r="F8" s="520">
        <f>SUMIF(61:61,E8,62:62)-SUMIF(61:61,C8,62:62)+100</f>
        <v>100</v>
      </c>
      <c r="G8" s="854" t="s">
        <v>3398</v>
      </c>
      <c r="H8" s="518">
        <f>SUMIF(61:61,G8,62:62)-SUMIF(61:61,C8,62:62)+100</f>
        <v>100</v>
      </c>
      <c r="I8" s="854" t="s">
        <v>3398</v>
      </c>
      <c r="J8" s="518">
        <f>SUMIF(61:61,I8,62:62)-SUMIF(61:61,C8,62:62)+100</f>
        <v>100</v>
      </c>
      <c r="K8" s="853"/>
      <c r="L8" s="2131"/>
      <c r="M8" s="2132"/>
      <c r="N8" s="2132"/>
      <c r="O8" s="2132"/>
      <c r="P8" s="3671" t="s">
        <v>533</v>
      </c>
      <c r="Q8" s="3672"/>
      <c r="R8" s="1563" t="s">
        <v>13</v>
      </c>
      <c r="S8" s="1564">
        <f t="shared" si="0"/>
        <v>100</v>
      </c>
      <c r="T8" s="1563" t="s">
        <v>13</v>
      </c>
      <c r="U8" s="1564">
        <f t="shared" si="1"/>
        <v>100</v>
      </c>
      <c r="V8" s="1563" t="s">
        <v>13</v>
      </c>
      <c r="W8" s="1564">
        <f t="shared" si="2"/>
        <v>100</v>
      </c>
      <c r="X8" s="1565"/>
      <c r="Y8" s="3671" t="s">
        <v>533</v>
      </c>
      <c r="Z8" s="3672"/>
      <c r="AA8" s="1566">
        <f t="shared" ref="AA8:AA46" si="3">D8/F8</f>
        <v>1</v>
      </c>
      <c r="AB8" s="1566">
        <f t="shared" ref="AB8:AB46" si="4">D8/H8</f>
        <v>1</v>
      </c>
      <c r="AC8" s="1566">
        <f t="shared" ref="AC8:AC46" si="5">D8/J8</f>
        <v>1</v>
      </c>
    </row>
    <row r="9" spans="1:29" s="1217" customFormat="1" ht="15">
      <c r="A9" s="2910"/>
      <c r="B9" s="2917" t="s">
        <v>2755</v>
      </c>
      <c r="C9" s="3387" t="s">
        <v>3417</v>
      </c>
      <c r="D9" s="252">
        <v>100</v>
      </c>
      <c r="E9" s="856" t="s">
        <v>923</v>
      </c>
      <c r="F9" s="857">
        <f>SUMIF(63:63,E9,64:64)-SUMIF(63:63,C9,64:64)+100</f>
        <v>100</v>
      </c>
      <c r="G9" s="856" t="s">
        <v>923</v>
      </c>
      <c r="H9" s="252">
        <f>SUMIF(63:63,G9,64:64)-SUMIF(63:63,C9,64:64)+100</f>
        <v>100</v>
      </c>
      <c r="I9" s="856" t="s">
        <v>923</v>
      </c>
      <c r="J9" s="252">
        <f>SUMIF(63:63,I9,64:64)-SUMIF(63:63,C9,64:64)+100</f>
        <v>100</v>
      </c>
      <c r="K9" s="853"/>
      <c r="L9" s="2131"/>
      <c r="M9" s="2132"/>
      <c r="N9" s="2132"/>
      <c r="O9" s="2133"/>
      <c r="P9" s="3679" t="s">
        <v>535</v>
      </c>
      <c r="Q9" s="1148" t="str">
        <f t="shared" ref="Q9:Q15" si="6">B9</f>
        <v>用途</v>
      </c>
      <c r="R9" s="1563" t="s">
        <v>8</v>
      </c>
      <c r="S9" s="1564">
        <f t="shared" si="0"/>
        <v>100</v>
      </c>
      <c r="T9" s="1563" t="s">
        <v>8</v>
      </c>
      <c r="U9" s="1564">
        <f t="shared" si="1"/>
        <v>100</v>
      </c>
      <c r="V9" s="1563" t="s">
        <v>8</v>
      </c>
      <c r="W9" s="1564">
        <f t="shared" si="2"/>
        <v>100</v>
      </c>
      <c r="X9" s="1565"/>
      <c r="Y9" s="3636" t="s">
        <v>536</v>
      </c>
      <c r="Z9" s="1147" t="str">
        <f t="shared" ref="Z9:Z15" si="7">Q9</f>
        <v>用途</v>
      </c>
      <c r="AA9" s="1566">
        <f t="shared" si="3"/>
        <v>1</v>
      </c>
      <c r="AB9" s="1566">
        <f t="shared" si="4"/>
        <v>1</v>
      </c>
      <c r="AC9" s="1566">
        <f t="shared" si="5"/>
        <v>1</v>
      </c>
    </row>
    <row r="10" spans="1:29" s="1335" customFormat="1" ht="27">
      <c r="A10" s="2911"/>
      <c r="B10" s="2916" t="s">
        <v>2756</v>
      </c>
      <c r="C10" s="859" t="s">
        <v>3418</v>
      </c>
      <c r="D10" s="253">
        <v>100</v>
      </c>
      <c r="E10" s="860" t="s">
        <v>3418</v>
      </c>
      <c r="F10" s="861">
        <f>SUMIF(65:65,E10,66:66)-SUMIF(65:65,C10,66:66)+100</f>
        <v>100</v>
      </c>
      <c r="G10" s="860" t="s">
        <v>3418</v>
      </c>
      <c r="H10" s="253">
        <f>SUMIF(65:65,G10,66:66)-SUMIF(65:65,C10,66:66)+100</f>
        <v>100</v>
      </c>
      <c r="I10" s="860" t="s">
        <v>3418</v>
      </c>
      <c r="J10" s="253">
        <f>SUMIF(65:65,I10,66:66)-SUMIF(65:65,C10,66:66)+100</f>
        <v>100</v>
      </c>
      <c r="K10" s="862">
        <v>2</v>
      </c>
      <c r="L10" s="2134"/>
      <c r="M10" s="2174"/>
      <c r="N10" s="2174"/>
      <c r="O10" s="2135"/>
      <c r="P10" s="3679"/>
      <c r="Q10" s="1148" t="str">
        <f t="shared" si="6"/>
        <v>土地使用年限（年）</v>
      </c>
      <c r="R10" s="1563" t="s">
        <v>8</v>
      </c>
      <c r="S10" s="1564">
        <f t="shared" si="0"/>
        <v>100</v>
      </c>
      <c r="T10" s="1563" t="s">
        <v>8</v>
      </c>
      <c r="U10" s="1564">
        <f t="shared" si="1"/>
        <v>100</v>
      </c>
      <c r="V10" s="1563" t="s">
        <v>8</v>
      </c>
      <c r="W10" s="1564">
        <f t="shared" si="2"/>
        <v>100</v>
      </c>
      <c r="X10" s="1565"/>
      <c r="Y10" s="3636"/>
      <c r="Z10" s="1147" t="str">
        <f t="shared" si="7"/>
        <v>土地使用年限（年）</v>
      </c>
      <c r="AA10" s="1566">
        <f t="shared" si="3"/>
        <v>1</v>
      </c>
      <c r="AB10" s="1566">
        <f t="shared" si="4"/>
        <v>1</v>
      </c>
      <c r="AC10" s="1566">
        <f t="shared" si="5"/>
        <v>1</v>
      </c>
    </row>
    <row r="11" spans="1:29" ht="15.75" thickBot="1">
      <c r="A11" s="2912"/>
      <c r="B11" s="2916" t="s">
        <v>2757</v>
      </c>
      <c r="C11" s="531">
        <f>'数据-汇总表'!I6</f>
        <v>1.8</v>
      </c>
      <c r="D11" s="253">
        <v>100</v>
      </c>
      <c r="E11" s="532">
        <v>1.5</v>
      </c>
      <c r="F11" s="861">
        <f>LOOKUP(E11,68:68,69:69)-LOOKUP(C11,68:68,69:69)+100</f>
        <v>100</v>
      </c>
      <c r="G11" s="531">
        <v>1.8</v>
      </c>
      <c r="H11" s="253">
        <f>LOOKUP(G11,68:68,69:69)-LOOKUP(C11,68:68,69:69)+100</f>
        <v>100</v>
      </c>
      <c r="I11" s="531">
        <v>1.44</v>
      </c>
      <c r="J11" s="253">
        <f>LOOKUP(I11,68:68,69:69)-LOOKUP(C11,68:68,69:69)+100</f>
        <v>100</v>
      </c>
      <c r="K11" s="862">
        <v>1</v>
      </c>
      <c r="L11" s="2136"/>
      <c r="M11" s="2130"/>
      <c r="N11" s="2130"/>
      <c r="O11" s="2137"/>
      <c r="P11" s="3679"/>
      <c r="Q11" s="1148" t="str">
        <f t="shared" si="6"/>
        <v>容积率</v>
      </c>
      <c r="R11" s="1563" t="s">
        <v>11</v>
      </c>
      <c r="S11" s="1564">
        <f t="shared" si="0"/>
        <v>100</v>
      </c>
      <c r="T11" s="1563" t="s">
        <v>11</v>
      </c>
      <c r="U11" s="1564">
        <f t="shared" si="1"/>
        <v>100</v>
      </c>
      <c r="V11" s="1563" t="s">
        <v>11</v>
      </c>
      <c r="W11" s="1564">
        <f t="shared" si="2"/>
        <v>100</v>
      </c>
      <c r="X11" s="1565"/>
      <c r="Y11" s="3636"/>
      <c r="Z11" s="1147" t="str">
        <f t="shared" si="7"/>
        <v>容积率</v>
      </c>
      <c r="AA11" s="1566">
        <f t="shared" si="3"/>
        <v>1</v>
      </c>
      <c r="AB11" s="1566">
        <f t="shared" si="4"/>
        <v>1</v>
      </c>
      <c r="AC11" s="1566">
        <f t="shared" si="5"/>
        <v>1</v>
      </c>
    </row>
    <row r="12" spans="1:29" s="1217" customFormat="1" ht="15" hidden="1">
      <c r="A12" s="2913"/>
      <c r="B12" s="2919"/>
      <c r="C12" s="526"/>
      <c r="D12" s="536">
        <v>100</v>
      </c>
      <c r="E12" s="526"/>
      <c r="F12" s="861">
        <f>SUMIF(70:70,E12,71:71)-SUMIF(70:70,C12,71:71)+100</f>
        <v>100</v>
      </c>
      <c r="G12" s="526"/>
      <c r="H12" s="253">
        <f>SUMIF(70:70,G12,71:71)-SUMIF(70:70,C12,71:71)+100</f>
        <v>100</v>
      </c>
      <c r="I12" s="526"/>
      <c r="J12" s="253">
        <f>SUMIF(70:70,I12,71:71)-SUMIF(70:70,C12,71:71)+100</f>
        <v>100</v>
      </c>
      <c r="K12" s="863"/>
      <c r="L12" s="2131"/>
      <c r="M12" s="2132"/>
      <c r="N12" s="2132"/>
      <c r="O12" s="2133"/>
      <c r="P12" s="3679"/>
      <c r="Q12" s="1148">
        <f t="shared" si="6"/>
        <v>0</v>
      </c>
      <c r="R12" s="1563" t="s">
        <v>11</v>
      </c>
      <c r="S12" s="1564">
        <f t="shared" si="0"/>
        <v>100</v>
      </c>
      <c r="T12" s="1563" t="s">
        <v>11</v>
      </c>
      <c r="U12" s="1564">
        <f t="shared" si="1"/>
        <v>100</v>
      </c>
      <c r="V12" s="1563" t="s">
        <v>11</v>
      </c>
      <c r="W12" s="1564">
        <f t="shared" si="2"/>
        <v>100</v>
      </c>
      <c r="X12" s="1565"/>
      <c r="Y12" s="3636"/>
      <c r="Z12" s="1147">
        <f t="shared" si="7"/>
        <v>0</v>
      </c>
      <c r="AA12" s="1566">
        <f>D12/F12</f>
        <v>1</v>
      </c>
      <c r="AB12" s="1566">
        <f>D12/H12</f>
        <v>1</v>
      </c>
      <c r="AC12" s="1566">
        <f>D12/J12</f>
        <v>1</v>
      </c>
    </row>
    <row r="13" spans="1:29" ht="15" hidden="1">
      <c r="A13" s="2913"/>
      <c r="B13" s="2919"/>
      <c r="C13" s="537"/>
      <c r="D13" s="538">
        <v>100</v>
      </c>
      <c r="E13" s="537"/>
      <c r="F13" s="861">
        <f>SUMIF(72:72,E13,73:73)-SUMIF(72:72,C13,73:73)+100</f>
        <v>100</v>
      </c>
      <c r="G13" s="537"/>
      <c r="H13" s="538">
        <f>SUMIF(72:72,G13,73:73)-SUMIF(72:72,C13,73:73)+100</f>
        <v>100</v>
      </c>
      <c r="I13" s="537"/>
      <c r="J13" s="538">
        <f>SUMIF(72:72,I13,73:73)-SUMIF(72:72,C13,73:73)+100</f>
        <v>100</v>
      </c>
      <c r="K13" s="863"/>
      <c r="L13" s="2138"/>
      <c r="M13" s="2130"/>
      <c r="N13" s="2130"/>
      <c r="O13" s="2137"/>
      <c r="P13" s="3679"/>
      <c r="Q13" s="1148">
        <f t="shared" si="6"/>
        <v>0</v>
      </c>
      <c r="R13" s="1563" t="s">
        <v>11</v>
      </c>
      <c r="S13" s="1564">
        <f t="shared" si="0"/>
        <v>100</v>
      </c>
      <c r="T13" s="1563" t="s">
        <v>11</v>
      </c>
      <c r="U13" s="1564">
        <f t="shared" si="1"/>
        <v>100</v>
      </c>
      <c r="V13" s="1563" t="s">
        <v>11</v>
      </c>
      <c r="W13" s="1564">
        <f t="shared" si="2"/>
        <v>100</v>
      </c>
      <c r="X13" s="1565"/>
      <c r="Y13" s="3636"/>
      <c r="Z13" s="1147">
        <f t="shared" si="7"/>
        <v>0</v>
      </c>
      <c r="AA13" s="1566">
        <f t="shared" si="3"/>
        <v>1</v>
      </c>
      <c r="AB13" s="1566">
        <f t="shared" si="4"/>
        <v>1</v>
      </c>
      <c r="AC13" s="1566">
        <f t="shared" si="5"/>
        <v>1</v>
      </c>
    </row>
    <row r="14" spans="1:29" ht="15.75" hidden="1" thickBot="1">
      <c r="A14" s="2914"/>
      <c r="B14" s="2920"/>
      <c r="C14" s="543"/>
      <c r="D14" s="544">
        <v>100</v>
      </c>
      <c r="E14" s="543"/>
      <c r="F14" s="864">
        <f>SUMIF(74:74,E14,75:75)-SUMIF(74:74,C14,75:75)+100</f>
        <v>100</v>
      </c>
      <c r="G14" s="543"/>
      <c r="H14" s="544">
        <f>SUMIF(74:74,G14,75:75)-SUMIF(74:74,C14,75:75)+100</f>
        <v>100</v>
      </c>
      <c r="I14" s="543"/>
      <c r="J14" s="544">
        <f>SUMIF(74:74,I14,75:75)-SUMIF(74:74,C14,75:75)+100</f>
        <v>100</v>
      </c>
      <c r="K14" s="863"/>
      <c r="L14" s="2138"/>
      <c r="M14" s="2130"/>
      <c r="N14" s="2130"/>
      <c r="O14" s="2137"/>
      <c r="P14" s="3679"/>
      <c r="Q14" s="1148">
        <f t="shared" si="6"/>
        <v>0</v>
      </c>
      <c r="R14" s="1563" t="s">
        <v>11</v>
      </c>
      <c r="S14" s="1564">
        <f t="shared" si="0"/>
        <v>100</v>
      </c>
      <c r="T14" s="1563" t="s">
        <v>11</v>
      </c>
      <c r="U14" s="1564">
        <f t="shared" si="1"/>
        <v>100</v>
      </c>
      <c r="V14" s="1563" t="s">
        <v>11</v>
      </c>
      <c r="W14" s="1564">
        <f t="shared" si="2"/>
        <v>100</v>
      </c>
      <c r="X14" s="1565"/>
      <c r="Y14" s="3636"/>
      <c r="Z14" s="1147">
        <f t="shared" si="7"/>
        <v>0</v>
      </c>
      <c r="AA14" s="1566">
        <f t="shared" si="3"/>
        <v>1</v>
      </c>
      <c r="AB14" s="1566">
        <f t="shared" si="4"/>
        <v>1</v>
      </c>
      <c r="AC14" s="1566">
        <f t="shared" si="5"/>
        <v>1</v>
      </c>
    </row>
    <row r="15" spans="1:29" ht="99.75">
      <c r="A15" s="2906" t="s">
        <v>2753</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v>3</v>
      </c>
      <c r="L15" s="2138"/>
      <c r="M15" s="2130"/>
      <c r="N15" s="2130"/>
      <c r="O15" s="2137"/>
      <c r="P15" s="3681" t="s">
        <v>540</v>
      </c>
      <c r="Q15" s="1567" t="str">
        <f t="shared" si="6"/>
        <v>居住社区成熟度</v>
      </c>
      <c r="R15" s="1568" t="s">
        <v>11</v>
      </c>
      <c r="S15" s="1569">
        <f t="shared" si="0"/>
        <v>100</v>
      </c>
      <c r="T15" s="1568" t="s">
        <v>11</v>
      </c>
      <c r="U15" s="1569">
        <f t="shared" si="1"/>
        <v>100</v>
      </c>
      <c r="V15" s="1568" t="s">
        <v>11</v>
      </c>
      <c r="W15" s="1569">
        <f t="shared" si="2"/>
        <v>100</v>
      </c>
      <c r="X15" s="1562"/>
      <c r="Y15" s="3681" t="s">
        <v>540</v>
      </c>
      <c r="Z15" s="1570" t="str">
        <f t="shared" si="7"/>
        <v>居住社区成熟度</v>
      </c>
      <c r="AA15" s="1571">
        <f t="shared" si="3"/>
        <v>1</v>
      </c>
      <c r="AB15" s="1571">
        <f t="shared" si="4"/>
        <v>1</v>
      </c>
      <c r="AC15" s="1571">
        <f t="shared" si="5"/>
        <v>1</v>
      </c>
    </row>
    <row r="16" spans="1:29" ht="15">
      <c r="A16" s="530"/>
      <c r="B16" s="867"/>
      <c r="C16" s="574" t="s">
        <v>3404</v>
      </c>
      <c r="D16" s="553"/>
      <c r="E16" s="554" t="s">
        <v>3404</v>
      </c>
      <c r="F16" s="555"/>
      <c r="G16" s="554" t="s">
        <v>3404</v>
      </c>
      <c r="H16" s="557"/>
      <c r="I16" s="554" t="s">
        <v>3404</v>
      </c>
      <c r="J16" s="553"/>
      <c r="K16" s="868"/>
      <c r="L16" s="2138"/>
      <c r="M16" s="2130"/>
      <c r="N16" s="2130"/>
      <c r="O16" s="2137"/>
      <c r="P16" s="3682"/>
      <c r="Q16" s="1567"/>
      <c r="R16" s="1568"/>
      <c r="S16" s="1569"/>
      <c r="T16" s="1568"/>
      <c r="U16" s="1569"/>
      <c r="V16" s="1568"/>
      <c r="W16" s="1569"/>
      <c r="X16" s="1562"/>
      <c r="Y16" s="3682"/>
      <c r="Z16" s="1570"/>
      <c r="AA16" s="1571">
        <v>1</v>
      </c>
      <c r="AB16" s="1571">
        <v>1</v>
      </c>
      <c r="AC16" s="1571">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v>3</v>
      </c>
      <c r="L17" s="2138"/>
      <c r="M17" s="2130"/>
      <c r="N17" s="2130"/>
      <c r="O17" s="2137"/>
      <c r="P17" s="3682"/>
      <c r="Q17" s="1567" t="str">
        <f>B17</f>
        <v>交通便捷度</v>
      </c>
      <c r="R17" s="1568" t="s">
        <v>11</v>
      </c>
      <c r="S17" s="1569">
        <f>F17</f>
        <v>100</v>
      </c>
      <c r="T17" s="1568" t="s">
        <v>11</v>
      </c>
      <c r="U17" s="1569">
        <f>H17</f>
        <v>100</v>
      </c>
      <c r="V17" s="1568" t="s">
        <v>11</v>
      </c>
      <c r="W17" s="1569">
        <f>J17</f>
        <v>100</v>
      </c>
      <c r="X17" s="1562"/>
      <c r="Y17" s="3682"/>
      <c r="Z17" s="1570" t="str">
        <f>Q17</f>
        <v>交通便捷度</v>
      </c>
      <c r="AA17" s="1571">
        <f t="shared" si="3"/>
        <v>1</v>
      </c>
      <c r="AB17" s="1571">
        <f t="shared" si="4"/>
        <v>1</v>
      </c>
      <c r="AC17" s="1571">
        <f t="shared" si="5"/>
        <v>1</v>
      </c>
    </row>
    <row r="18" spans="1:29" ht="15">
      <c r="A18" s="530"/>
      <c r="B18" s="593"/>
      <c r="C18" s="871" t="s">
        <v>3404</v>
      </c>
      <c r="D18" s="557"/>
      <c r="E18" s="871" t="s">
        <v>3404</v>
      </c>
      <c r="F18" s="561"/>
      <c r="G18" s="871" t="s">
        <v>3404</v>
      </c>
      <c r="H18" s="553"/>
      <c r="I18" s="871" t="s">
        <v>3404</v>
      </c>
      <c r="J18" s="553"/>
      <c r="K18" s="868"/>
      <c r="L18" s="2138"/>
      <c r="M18" s="2130"/>
      <c r="N18" s="2130"/>
      <c r="O18" s="2137"/>
      <c r="P18" s="3682"/>
      <c r="Q18" s="1567"/>
      <c r="R18" s="1568"/>
      <c r="S18" s="1569"/>
      <c r="T18" s="1568"/>
      <c r="U18" s="1569"/>
      <c r="V18" s="1568"/>
      <c r="W18" s="1569"/>
      <c r="X18" s="1562"/>
      <c r="Y18" s="3682"/>
      <c r="Z18" s="1570"/>
      <c r="AA18" s="1571">
        <v>1</v>
      </c>
      <c r="AB18" s="1571">
        <v>1</v>
      </c>
      <c r="AC18" s="1571">
        <v>1</v>
      </c>
    </row>
    <row r="19" spans="1:29" ht="42.75">
      <c r="A19" s="530"/>
      <c r="B19" s="2596" t="s">
        <v>2546</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v>2</v>
      </c>
      <c r="L19" s="2138"/>
      <c r="M19" s="2130"/>
      <c r="N19" s="2130"/>
      <c r="O19" s="2137"/>
      <c r="P19" s="3682"/>
      <c r="Q19" s="1567" t="str">
        <f>B19</f>
        <v>公共配套设施</v>
      </c>
      <c r="R19" s="1568" t="s">
        <v>11</v>
      </c>
      <c r="S19" s="1569">
        <f>F19</f>
        <v>100</v>
      </c>
      <c r="T19" s="1568" t="s">
        <v>11</v>
      </c>
      <c r="U19" s="1569">
        <f>H19</f>
        <v>100</v>
      </c>
      <c r="V19" s="1568" t="s">
        <v>11</v>
      </c>
      <c r="W19" s="1569">
        <f>J19</f>
        <v>100</v>
      </c>
      <c r="X19" s="1562"/>
      <c r="Y19" s="3682"/>
      <c r="Z19" s="1570" t="str">
        <f>Q19</f>
        <v>公共配套设施</v>
      </c>
      <c r="AA19" s="1571">
        <f t="shared" si="3"/>
        <v>1</v>
      </c>
      <c r="AB19" s="1571">
        <f t="shared" si="4"/>
        <v>1</v>
      </c>
      <c r="AC19" s="1571">
        <f t="shared" si="5"/>
        <v>1</v>
      </c>
    </row>
    <row r="20" spans="1:29" ht="15">
      <c r="A20" s="530"/>
      <c r="B20" s="593"/>
      <c r="C20" s="574" t="s">
        <v>3404</v>
      </c>
      <c r="D20" s="553"/>
      <c r="E20" s="554" t="s">
        <v>3404</v>
      </c>
      <c r="F20" s="555"/>
      <c r="G20" s="554" t="s">
        <v>3404</v>
      </c>
      <c r="H20" s="553"/>
      <c r="I20" s="554" t="s">
        <v>3404</v>
      </c>
      <c r="J20" s="553"/>
      <c r="K20" s="868"/>
      <c r="L20" s="2138"/>
      <c r="M20" s="2130"/>
      <c r="N20" s="2130"/>
      <c r="O20" s="2137"/>
      <c r="P20" s="3682"/>
      <c r="Q20" s="1567"/>
      <c r="R20" s="1568"/>
      <c r="S20" s="1569"/>
      <c r="T20" s="1568"/>
      <c r="U20" s="1569"/>
      <c r="V20" s="1568"/>
      <c r="W20" s="1569"/>
      <c r="X20" s="1562"/>
      <c r="Y20" s="3682"/>
      <c r="Z20" s="1570"/>
      <c r="AA20" s="1571">
        <v>1</v>
      </c>
      <c r="AB20" s="1571">
        <v>1</v>
      </c>
      <c r="AC20" s="1571">
        <v>1</v>
      </c>
    </row>
    <row r="21" spans="1:29" ht="28.5">
      <c r="A21" s="530"/>
      <c r="B21" s="2589" t="s">
        <v>2558</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v>2</v>
      </c>
      <c r="L21" s="2138"/>
      <c r="M21" s="2130"/>
      <c r="N21" s="2130"/>
      <c r="O21" s="2137"/>
      <c r="P21" s="3682"/>
      <c r="Q21" s="2575" t="str">
        <f>B21</f>
        <v>基础设施水平</v>
      </c>
      <c r="R21" s="1568" t="s">
        <v>11</v>
      </c>
      <c r="S21" s="1569">
        <f>F21</f>
        <v>100</v>
      </c>
      <c r="T21" s="1568" t="s">
        <v>11</v>
      </c>
      <c r="U21" s="1569">
        <f>H21</f>
        <v>100</v>
      </c>
      <c r="V21" s="1568" t="s">
        <v>11</v>
      </c>
      <c r="W21" s="1569">
        <f>J21</f>
        <v>100</v>
      </c>
      <c r="X21" s="2577"/>
      <c r="Y21" s="3682"/>
      <c r="Z21" s="2576" t="str">
        <f>Q21</f>
        <v>基础设施水平</v>
      </c>
      <c r="AA21" s="1571">
        <f t="shared" ref="AA21" si="8">D21/F21</f>
        <v>1</v>
      </c>
      <c r="AB21" s="1571">
        <f t="shared" ref="AB21" si="9">D21/H21</f>
        <v>1</v>
      </c>
      <c r="AC21" s="1571">
        <f t="shared" ref="AC21" si="10">D21/J21</f>
        <v>1</v>
      </c>
    </row>
    <row r="22" spans="1:29" ht="15">
      <c r="A22" s="530"/>
      <c r="B22" s="919"/>
      <c r="C22" s="871" t="s">
        <v>3406</v>
      </c>
      <c r="D22" s="553"/>
      <c r="E22" s="871" t="s">
        <v>3406</v>
      </c>
      <c r="F22" s="555"/>
      <c r="G22" s="871" t="s">
        <v>3406</v>
      </c>
      <c r="H22" s="553"/>
      <c r="I22" s="871" t="s">
        <v>3406</v>
      </c>
      <c r="J22" s="553"/>
      <c r="K22" s="2595"/>
      <c r="L22" s="2138"/>
      <c r="M22" s="2130"/>
      <c r="N22" s="2130"/>
      <c r="O22" s="2137"/>
      <c r="P22" s="3682"/>
      <c r="Q22" s="2575"/>
      <c r="R22" s="1568"/>
      <c r="S22" s="1569"/>
      <c r="T22" s="1568"/>
      <c r="U22" s="1569"/>
      <c r="V22" s="1568"/>
      <c r="W22" s="1569"/>
      <c r="X22" s="2577"/>
      <c r="Y22" s="3682"/>
      <c r="Z22" s="2576"/>
      <c r="AA22" s="1571">
        <v>1</v>
      </c>
      <c r="AB22" s="1571">
        <v>1</v>
      </c>
      <c r="AC22" s="1571">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v>3</v>
      </c>
      <c r="L23" s="2138"/>
      <c r="M23" s="2130"/>
      <c r="N23" s="2130"/>
      <c r="O23" s="2137"/>
      <c r="P23" s="3682"/>
      <c r="Q23" s="1567" t="str">
        <f>B23</f>
        <v>自然及人文环境</v>
      </c>
      <c r="R23" s="1568" t="s">
        <v>11</v>
      </c>
      <c r="S23" s="1569">
        <f>F23</f>
        <v>100</v>
      </c>
      <c r="T23" s="1568" t="s">
        <v>11</v>
      </c>
      <c r="U23" s="1569">
        <f>H23</f>
        <v>100</v>
      </c>
      <c r="V23" s="1568" t="s">
        <v>11</v>
      </c>
      <c r="W23" s="1569">
        <f>J23</f>
        <v>100</v>
      </c>
      <c r="X23" s="1562"/>
      <c r="Y23" s="3682"/>
      <c r="Z23" s="1570" t="str">
        <f>Q23</f>
        <v>自然及人文环境</v>
      </c>
      <c r="AA23" s="1571">
        <f t="shared" si="3"/>
        <v>1</v>
      </c>
      <c r="AB23" s="1571">
        <f t="shared" si="4"/>
        <v>1</v>
      </c>
      <c r="AC23" s="1571">
        <f t="shared" si="5"/>
        <v>1</v>
      </c>
    </row>
    <row r="24" spans="1:29" ht="15.75" thickBot="1">
      <c r="A24" s="530"/>
      <c r="B24" s="593"/>
      <c r="C24" s="574" t="s">
        <v>3405</v>
      </c>
      <c r="D24" s="553"/>
      <c r="E24" s="574" t="s">
        <v>3405</v>
      </c>
      <c r="F24" s="555"/>
      <c r="G24" s="574" t="s">
        <v>3405</v>
      </c>
      <c r="H24" s="553"/>
      <c r="I24" s="574" t="s">
        <v>3405</v>
      </c>
      <c r="J24" s="553"/>
      <c r="K24" s="868"/>
      <c r="L24" s="2138"/>
      <c r="M24" s="2130"/>
      <c r="N24" s="2130"/>
      <c r="O24" s="2137"/>
      <c r="P24" s="3682"/>
      <c r="Q24" s="1567"/>
      <c r="R24" s="1568"/>
      <c r="S24" s="1569"/>
      <c r="T24" s="1568"/>
      <c r="U24" s="1569"/>
      <c r="V24" s="1568"/>
      <c r="W24" s="1569"/>
      <c r="X24" s="1562"/>
      <c r="Y24" s="3682"/>
      <c r="Z24" s="1570"/>
      <c r="AA24" s="1571">
        <v>1</v>
      </c>
      <c r="AB24" s="1571">
        <v>1</v>
      </c>
      <c r="AC24" s="1571">
        <v>1</v>
      </c>
    </row>
    <row r="25" spans="1:29" ht="15" hidden="1">
      <c r="A25" s="530"/>
      <c r="B25" s="1891" t="s">
        <v>2256</v>
      </c>
      <c r="C25" s="572"/>
      <c r="D25" s="538">
        <v>100</v>
      </c>
      <c r="E25" s="872"/>
      <c r="F25" s="573">
        <f>SUMIF(86:86,E25,87:87)-SUMIF(86:86,C25,87:87)+100</f>
        <v>100</v>
      </c>
      <c r="G25" s="597"/>
      <c r="H25" s="538">
        <f>SUMIF(86:86,G25,87:87)-SUMIF(86:86,C25,87:87)+100</f>
        <v>100</v>
      </c>
      <c r="I25" s="872"/>
      <c r="J25" s="538">
        <f>SUMIF(86:86,I25,87:87)-SUMIF(86:86,C25,87:87)+100</f>
        <v>100</v>
      </c>
      <c r="K25" s="862"/>
      <c r="L25" s="2138"/>
      <c r="M25" s="2130"/>
      <c r="N25" s="2130"/>
      <c r="O25" s="2137"/>
      <c r="P25" s="3682"/>
      <c r="Q25" s="1567" t="str">
        <f t="shared" ref="Q25:Q46" si="11">B25</f>
        <v>楼层-1</v>
      </c>
      <c r="R25" s="1568" t="s">
        <v>11</v>
      </c>
      <c r="S25" s="1569">
        <f>F25</f>
        <v>100</v>
      </c>
      <c r="T25" s="1568" t="s">
        <v>11</v>
      </c>
      <c r="U25" s="1569">
        <f>H25</f>
        <v>100</v>
      </c>
      <c r="V25" s="1568" t="s">
        <v>11</v>
      </c>
      <c r="W25" s="1569">
        <f>J25</f>
        <v>100</v>
      </c>
      <c r="X25" s="1562"/>
      <c r="Y25" s="3682"/>
      <c r="Z25" s="1570" t="str">
        <f>Q25</f>
        <v>楼层-1</v>
      </c>
      <c r="AA25" s="1571">
        <f t="shared" si="3"/>
        <v>1</v>
      </c>
      <c r="AB25" s="1571">
        <f t="shared" si="4"/>
        <v>1</v>
      </c>
      <c r="AC25" s="1571">
        <f t="shared" si="5"/>
        <v>1</v>
      </c>
    </row>
    <row r="26" spans="1:29" ht="15" hidden="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38"/>
      <c r="M26" s="2130"/>
      <c r="N26" s="2130"/>
      <c r="O26" s="2137"/>
      <c r="P26" s="3682"/>
      <c r="Q26" s="1567" t="str">
        <f t="shared" si="11"/>
        <v>朝向</v>
      </c>
      <c r="R26" s="1568" t="s">
        <v>11</v>
      </c>
      <c r="S26" s="1569">
        <f>F26</f>
        <v>100</v>
      </c>
      <c r="T26" s="1568" t="s">
        <v>11</v>
      </c>
      <c r="U26" s="1569">
        <f>H26</f>
        <v>100</v>
      </c>
      <c r="V26" s="1568" t="s">
        <v>11</v>
      </c>
      <c r="W26" s="1569">
        <f>J26</f>
        <v>100</v>
      </c>
      <c r="X26" s="1562"/>
      <c r="Y26" s="3682"/>
      <c r="Z26" s="1570" t="str">
        <f>Q26</f>
        <v>朝向</v>
      </c>
      <c r="AA26" s="1571">
        <f t="shared" si="3"/>
        <v>1</v>
      </c>
      <c r="AB26" s="1571">
        <f t="shared" si="4"/>
        <v>1</v>
      </c>
      <c r="AC26" s="1571">
        <f t="shared" si="5"/>
        <v>1</v>
      </c>
    </row>
    <row r="27" spans="1:29" s="1217" customFormat="1" ht="15.75" hidden="1" thickBot="1">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1"/>
      <c r="M27" s="2132"/>
      <c r="N27" s="2132"/>
      <c r="O27" s="2133"/>
      <c r="P27" s="3682"/>
      <c r="Q27" s="1148" t="str">
        <f t="shared" si="11"/>
        <v>道路级别</v>
      </c>
      <c r="R27" s="1563" t="s">
        <v>11</v>
      </c>
      <c r="S27" s="1564">
        <f>F27</f>
        <v>100</v>
      </c>
      <c r="T27" s="1563" t="s">
        <v>11</v>
      </c>
      <c r="U27" s="1564">
        <f>H27</f>
        <v>100</v>
      </c>
      <c r="V27" s="1563" t="s">
        <v>11</v>
      </c>
      <c r="W27" s="1564">
        <f>J27</f>
        <v>100</v>
      </c>
      <c r="X27" s="1565"/>
      <c r="Y27" s="3682"/>
      <c r="Z27" s="1147" t="str">
        <f>Q27</f>
        <v>道路级别</v>
      </c>
      <c r="AA27" s="1571">
        <f>D27/F27</f>
        <v>1</v>
      </c>
      <c r="AB27" s="1571">
        <f>D27/H27</f>
        <v>1</v>
      </c>
      <c r="AC27" s="1571">
        <f>D27/J27</f>
        <v>1</v>
      </c>
    </row>
    <row r="28" spans="1:29" ht="15" hidden="1">
      <c r="A28" s="530"/>
      <c r="B28" s="875"/>
      <c r="C28" s="537"/>
      <c r="D28" s="538">
        <v>100</v>
      </c>
      <c r="E28" s="537"/>
      <c r="F28" s="573">
        <f>SUMIF(92:92,E28,93:93)-SUMIF(92:92,C28,93:93)+100</f>
        <v>100</v>
      </c>
      <c r="G28" s="537"/>
      <c r="H28" s="538">
        <f>SUMIF(92:92,G28,93:93)-SUMIF(92:92,C28,93:93)+100</f>
        <v>100</v>
      </c>
      <c r="I28" s="537"/>
      <c r="J28" s="538">
        <f>SUMIF(92:92,I28,93:93)-SUMIF(92:92,C28,93:93)+100</f>
        <v>100</v>
      </c>
      <c r="K28" s="863"/>
      <c r="L28" s="2138"/>
      <c r="M28" s="2130"/>
      <c r="N28" s="2130"/>
      <c r="O28" s="2137"/>
      <c r="P28" s="3682"/>
      <c r="Q28" s="1567">
        <f t="shared" si="11"/>
        <v>0</v>
      </c>
      <c r="R28" s="1568" t="s">
        <v>11</v>
      </c>
      <c r="S28" s="1569">
        <f t="shared" ref="S28:S46" si="12">F28</f>
        <v>100</v>
      </c>
      <c r="T28" s="1568" t="s">
        <v>11</v>
      </c>
      <c r="U28" s="1569">
        <f t="shared" ref="U28:U46" si="13">H28</f>
        <v>100</v>
      </c>
      <c r="V28" s="1568" t="s">
        <v>11</v>
      </c>
      <c r="W28" s="1569">
        <f t="shared" ref="W28:W46" si="14">J28</f>
        <v>100</v>
      </c>
      <c r="X28" s="1562"/>
      <c r="Y28" s="3682"/>
      <c r="Z28" s="1570">
        <f t="shared" ref="Z28:Z46" si="15">Q28</f>
        <v>0</v>
      </c>
      <c r="AA28" s="1571">
        <f t="shared" si="3"/>
        <v>1</v>
      </c>
      <c r="AB28" s="1571">
        <f t="shared" si="4"/>
        <v>1</v>
      </c>
      <c r="AC28" s="1571">
        <f t="shared" si="5"/>
        <v>1</v>
      </c>
    </row>
    <row r="29" spans="1:29" ht="15" hidden="1">
      <c r="A29" s="530"/>
      <c r="B29" s="875"/>
      <c r="C29" s="537"/>
      <c r="D29" s="538">
        <v>100</v>
      </c>
      <c r="E29" s="537"/>
      <c r="F29" s="573">
        <f>SUMIF(94:94,E29,95:95)-SUMIF(94:94,C29,95:95)+100</f>
        <v>100</v>
      </c>
      <c r="G29" s="537"/>
      <c r="H29" s="538">
        <f>SUMIF(94:94,G29,95:95)-SUMIF(94:94,C29,95:95)+100</f>
        <v>100</v>
      </c>
      <c r="I29" s="537"/>
      <c r="J29" s="538">
        <f>SUMIF(94:94,I29,95:95)-SUMIF(94:94,C29,95:95)+100</f>
        <v>100</v>
      </c>
      <c r="K29" s="863"/>
      <c r="L29" s="2138"/>
      <c r="M29" s="2130"/>
      <c r="N29" s="2130"/>
      <c r="O29" s="2137"/>
      <c r="P29" s="3682"/>
      <c r="Q29" s="1567">
        <f t="shared" si="11"/>
        <v>0</v>
      </c>
      <c r="R29" s="1568" t="s">
        <v>11</v>
      </c>
      <c r="S29" s="1569">
        <f t="shared" si="12"/>
        <v>100</v>
      </c>
      <c r="T29" s="1568" t="s">
        <v>11</v>
      </c>
      <c r="U29" s="1569">
        <f t="shared" si="13"/>
        <v>100</v>
      </c>
      <c r="V29" s="1568" t="s">
        <v>11</v>
      </c>
      <c r="W29" s="1569">
        <f t="shared" si="14"/>
        <v>100</v>
      </c>
      <c r="X29" s="1562"/>
      <c r="Y29" s="3682"/>
      <c r="Z29" s="1570">
        <f t="shared" si="15"/>
        <v>0</v>
      </c>
      <c r="AA29" s="1571">
        <f t="shared" si="3"/>
        <v>1</v>
      </c>
      <c r="AB29" s="1571">
        <f t="shared" si="4"/>
        <v>1</v>
      </c>
      <c r="AC29" s="1571">
        <f t="shared" si="5"/>
        <v>1</v>
      </c>
    </row>
    <row r="30" spans="1:29" ht="15" hidden="1">
      <c r="A30" s="530"/>
      <c r="B30" s="875"/>
      <c r="C30" s="537"/>
      <c r="D30" s="538">
        <v>100</v>
      </c>
      <c r="E30" s="537"/>
      <c r="F30" s="573">
        <f>SUMIF(96:96,E30,97:97)-SUMIF(96:96,C30,97:97)+100</f>
        <v>100</v>
      </c>
      <c r="G30" s="537"/>
      <c r="H30" s="538">
        <f>SUMIF(96:96,G30,97:97)-SUMIF(96:96,C30,97:97)+100</f>
        <v>100</v>
      </c>
      <c r="I30" s="537"/>
      <c r="J30" s="538">
        <f>SUMIF(96:96,I30,97:97)-SUMIF(96:96,C30,97:97)+100</f>
        <v>100</v>
      </c>
      <c r="K30" s="863"/>
      <c r="L30" s="2138"/>
      <c r="M30" s="2130"/>
      <c r="N30" s="2130"/>
      <c r="O30" s="2137"/>
      <c r="P30" s="3682"/>
      <c r="Q30" s="1567">
        <f t="shared" si="11"/>
        <v>0</v>
      </c>
      <c r="R30" s="1568" t="s">
        <v>11</v>
      </c>
      <c r="S30" s="1569">
        <f t="shared" si="12"/>
        <v>100</v>
      </c>
      <c r="T30" s="1568" t="s">
        <v>11</v>
      </c>
      <c r="U30" s="1569">
        <f t="shared" si="13"/>
        <v>100</v>
      </c>
      <c r="V30" s="1568" t="s">
        <v>11</v>
      </c>
      <c r="W30" s="1569">
        <f t="shared" si="14"/>
        <v>100</v>
      </c>
      <c r="X30" s="1562"/>
      <c r="Y30" s="3682"/>
      <c r="Z30" s="1570">
        <f t="shared" si="15"/>
        <v>0</v>
      </c>
      <c r="AA30" s="1571">
        <f t="shared" si="3"/>
        <v>1</v>
      </c>
      <c r="AB30" s="1571">
        <f t="shared" si="4"/>
        <v>1</v>
      </c>
      <c r="AC30" s="1571">
        <f t="shared" si="5"/>
        <v>1</v>
      </c>
    </row>
    <row r="31" spans="1:29" ht="15.75" hidden="1" thickBot="1">
      <c r="A31" s="541"/>
      <c r="B31" s="875"/>
      <c r="C31" s="543"/>
      <c r="D31" s="544">
        <v>100</v>
      </c>
      <c r="E31" s="543"/>
      <c r="F31" s="864">
        <f>SUMIF(98:98,E31,99:99)-SUMIF(98:98,C31,99:99)+100</f>
        <v>100</v>
      </c>
      <c r="G31" s="543"/>
      <c r="H31" s="544">
        <f>SUMIF(98:98,G31,99:99)-SUMIF(98:98,C31,99:99)+100</f>
        <v>100</v>
      </c>
      <c r="I31" s="543"/>
      <c r="J31" s="544">
        <f>SUMIF(98:98,I31,99:99)-SUMIF(98:98,C31,99:99)+100</f>
        <v>100</v>
      </c>
      <c r="K31" s="863"/>
      <c r="L31" s="2138"/>
      <c r="M31" s="2130"/>
      <c r="N31" s="2130"/>
      <c r="O31" s="2137"/>
      <c r="P31" s="3682"/>
      <c r="Q31" s="1567">
        <f t="shared" si="11"/>
        <v>0</v>
      </c>
      <c r="R31" s="1568" t="s">
        <v>11</v>
      </c>
      <c r="S31" s="1569">
        <f t="shared" si="12"/>
        <v>100</v>
      </c>
      <c r="T31" s="1568" t="s">
        <v>11</v>
      </c>
      <c r="U31" s="1569">
        <f t="shared" si="13"/>
        <v>100</v>
      </c>
      <c r="V31" s="1568" t="s">
        <v>11</v>
      </c>
      <c r="W31" s="1569">
        <f t="shared" si="14"/>
        <v>100</v>
      </c>
      <c r="X31" s="1562"/>
      <c r="Y31" s="3682"/>
      <c r="Z31" s="1570">
        <f t="shared" si="15"/>
        <v>0</v>
      </c>
      <c r="AA31" s="1571">
        <f t="shared" si="3"/>
        <v>1</v>
      </c>
      <c r="AB31" s="1571">
        <f t="shared" si="4"/>
        <v>1</v>
      </c>
      <c r="AC31" s="1571">
        <f t="shared" si="5"/>
        <v>1</v>
      </c>
    </row>
    <row r="32" spans="1:29" ht="15">
      <c r="A32" s="2903" t="s">
        <v>2754</v>
      </c>
      <c r="B32" s="172" t="s">
        <v>725</v>
      </c>
      <c r="C32" s="876" t="s">
        <v>3182</v>
      </c>
      <c r="D32" s="595">
        <v>100</v>
      </c>
      <c r="E32" s="876" t="s">
        <v>3181</v>
      </c>
      <c r="F32" s="573">
        <f>SUMIF(100:100,E32,101:101)-SUMIF(100:100,C32,101:101)+100</f>
        <v>102</v>
      </c>
      <c r="G32" s="876" t="s">
        <v>3181</v>
      </c>
      <c r="H32" s="595">
        <f>SUMIF(100:100,G32,101:101)-SUMIF(100:100,C32,101:101)+100</f>
        <v>102</v>
      </c>
      <c r="I32" s="876" t="s">
        <v>3182</v>
      </c>
      <c r="J32" s="538">
        <f>SUMIF(100:100,I32,101:101)-SUMIF(100:100,C32,101:101)+100</f>
        <v>100</v>
      </c>
      <c r="K32" s="862">
        <v>2</v>
      </c>
      <c r="L32" s="2138"/>
      <c r="M32" s="2130"/>
      <c r="N32" s="2130"/>
      <c r="O32" s="2137"/>
      <c r="P32" s="3683" t="s">
        <v>550</v>
      </c>
      <c r="Q32" s="1567" t="str">
        <f t="shared" si="11"/>
        <v>建筑类型</v>
      </c>
      <c r="R32" s="1568" t="s">
        <v>11</v>
      </c>
      <c r="S32" s="1569">
        <f t="shared" si="12"/>
        <v>102</v>
      </c>
      <c r="T32" s="1568" t="s">
        <v>11</v>
      </c>
      <c r="U32" s="1569">
        <f t="shared" si="13"/>
        <v>102</v>
      </c>
      <c r="V32" s="1568" t="s">
        <v>11</v>
      </c>
      <c r="W32" s="1569">
        <f t="shared" si="14"/>
        <v>100</v>
      </c>
      <c r="X32" s="1562"/>
      <c r="Y32" s="3684" t="s">
        <v>550</v>
      </c>
      <c r="Z32" s="1570" t="str">
        <f t="shared" si="15"/>
        <v>建筑类型</v>
      </c>
      <c r="AA32" s="1571">
        <f t="shared" si="3"/>
        <v>0.98039215686274506</v>
      </c>
      <c r="AB32" s="1571">
        <f t="shared" si="4"/>
        <v>0.98039215686274506</v>
      </c>
      <c r="AC32" s="1571">
        <f t="shared" si="5"/>
        <v>1</v>
      </c>
    </row>
    <row r="33" spans="1:29" s="1336" customFormat="1" ht="15">
      <c r="A33" s="601"/>
      <c r="B33" s="525" t="s">
        <v>726</v>
      </c>
      <c r="C33" s="877">
        <f>'数据-汇总表'!E3</f>
        <v>180792</v>
      </c>
      <c r="D33" s="253">
        <v>100</v>
      </c>
      <c r="E33" s="877">
        <v>1700000</v>
      </c>
      <c r="F33" s="861">
        <f>LOOKUP(E33,103:103,104:104)-LOOKUP(C33,103:103,104:104)+100</f>
        <v>100</v>
      </c>
      <c r="G33" s="877">
        <v>147000</v>
      </c>
      <c r="H33" s="253">
        <f>LOOKUP(G33,103:103,104:104)-LOOKUP(C33,103:103,104:104)+100</f>
        <v>100</v>
      </c>
      <c r="I33" s="877">
        <v>679359.24</v>
      </c>
      <c r="J33" s="253">
        <f>LOOKUP(I33,103:103,104:104)-LOOKUP(C33,103:103,104:104)+100</f>
        <v>100</v>
      </c>
      <c r="K33" s="863"/>
      <c r="L33" s="2136"/>
      <c r="M33" s="2167"/>
      <c r="N33" s="2167"/>
      <c r="O33" s="2139"/>
      <c r="P33" s="3684"/>
      <c r="Q33" s="1600" t="str">
        <f t="shared" si="11"/>
        <v>项目建筑规模</v>
      </c>
      <c r="R33" s="1572" t="s">
        <v>11</v>
      </c>
      <c r="S33" s="1573">
        <f t="shared" si="12"/>
        <v>100</v>
      </c>
      <c r="T33" s="1572" t="s">
        <v>11</v>
      </c>
      <c r="U33" s="1573">
        <f t="shared" si="13"/>
        <v>100</v>
      </c>
      <c r="V33" s="1572" t="s">
        <v>11</v>
      </c>
      <c r="W33" s="1573">
        <f t="shared" si="14"/>
        <v>100</v>
      </c>
      <c r="X33" s="1574"/>
      <c r="Y33" s="3684"/>
      <c r="Z33" s="1575" t="str">
        <f t="shared" si="15"/>
        <v>项目建筑规模</v>
      </c>
      <c r="AA33" s="1571">
        <f t="shared" si="3"/>
        <v>1</v>
      </c>
      <c r="AB33" s="1571">
        <f t="shared" si="4"/>
        <v>1</v>
      </c>
      <c r="AC33" s="1571">
        <f t="shared" si="5"/>
        <v>1</v>
      </c>
    </row>
    <row r="34" spans="1:29" ht="15">
      <c r="A34" s="592"/>
      <c r="B34" s="525" t="s">
        <v>727</v>
      </c>
      <c r="C34" s="878" t="s">
        <v>3187</v>
      </c>
      <c r="D34" s="538">
        <v>100</v>
      </c>
      <c r="E34" s="878" t="s">
        <v>3187</v>
      </c>
      <c r="F34" s="573">
        <f>SUMIF(105:105,E34,106:106)-SUMIF(105:105,C34,106:106)+100</f>
        <v>100</v>
      </c>
      <c r="G34" s="878" t="s">
        <v>3187</v>
      </c>
      <c r="H34" s="538">
        <f>SUMIF(105:105,G34,106:106)-SUMIF(105:105,C34,106:106)+100</f>
        <v>100</v>
      </c>
      <c r="I34" s="878" t="s">
        <v>3187</v>
      </c>
      <c r="J34" s="538">
        <f>SUMIF(105:105,I34,106:106)-SUMIF(105:105,C34,106:106)+100</f>
        <v>100</v>
      </c>
      <c r="K34" s="862">
        <v>2</v>
      </c>
      <c r="L34" s="2138"/>
      <c r="M34" s="2130"/>
      <c r="N34" s="2130"/>
      <c r="O34" s="2137"/>
      <c r="P34" s="3684"/>
      <c r="Q34" s="1567" t="str">
        <f t="shared" si="11"/>
        <v>建筑结构</v>
      </c>
      <c r="R34" s="1568" t="s">
        <v>11</v>
      </c>
      <c r="S34" s="1569">
        <f t="shared" si="12"/>
        <v>100</v>
      </c>
      <c r="T34" s="1568" t="s">
        <v>11</v>
      </c>
      <c r="U34" s="1569">
        <f t="shared" si="13"/>
        <v>100</v>
      </c>
      <c r="V34" s="1568" t="s">
        <v>11</v>
      </c>
      <c r="W34" s="1569">
        <f t="shared" si="14"/>
        <v>100</v>
      </c>
      <c r="X34" s="1562"/>
      <c r="Y34" s="3684"/>
      <c r="Z34" s="1570" t="str">
        <f t="shared" si="15"/>
        <v>建筑结构</v>
      </c>
      <c r="AA34" s="1571">
        <f t="shared" si="3"/>
        <v>1</v>
      </c>
      <c r="AB34" s="1571">
        <f t="shared" si="4"/>
        <v>1</v>
      </c>
      <c r="AC34" s="1571">
        <f t="shared" si="5"/>
        <v>1</v>
      </c>
    </row>
    <row r="35" spans="1:29" ht="15">
      <c r="A35" s="592"/>
      <c r="B35" s="525" t="s">
        <v>728</v>
      </c>
      <c r="C35" s="597" t="s">
        <v>3432</v>
      </c>
      <c r="D35" s="538">
        <v>100</v>
      </c>
      <c r="E35" s="597" t="s">
        <v>3432</v>
      </c>
      <c r="F35" s="573">
        <f>SUMIF(107:107,E35,108:108)-SUMIF(107:107,C35,108:108)+100</f>
        <v>100</v>
      </c>
      <c r="G35" s="597" t="s">
        <v>3432</v>
      </c>
      <c r="H35" s="538">
        <f>SUMIF(107:107,G35,108:108)-SUMIF(107:107,C35,108:108)+100</f>
        <v>100</v>
      </c>
      <c r="I35" s="597" t="s">
        <v>3432</v>
      </c>
      <c r="J35" s="538">
        <f>SUMIF(107:107,I35,108:108)-SUMIF(107:107,C35,108:108)+100</f>
        <v>100</v>
      </c>
      <c r="K35" s="862">
        <v>2</v>
      </c>
      <c r="L35" s="2138"/>
      <c r="M35" s="2130"/>
      <c r="N35" s="2130"/>
      <c r="O35" s="2137"/>
      <c r="P35" s="3684"/>
      <c r="Q35" s="1567" t="str">
        <f t="shared" si="11"/>
        <v>建筑品质</v>
      </c>
      <c r="R35" s="1568" t="s">
        <v>11</v>
      </c>
      <c r="S35" s="1569">
        <f t="shared" si="12"/>
        <v>100</v>
      </c>
      <c r="T35" s="1568" t="s">
        <v>11</v>
      </c>
      <c r="U35" s="1569">
        <f t="shared" si="13"/>
        <v>100</v>
      </c>
      <c r="V35" s="1568" t="s">
        <v>11</v>
      </c>
      <c r="W35" s="1569">
        <f t="shared" si="14"/>
        <v>100</v>
      </c>
      <c r="X35" s="1562"/>
      <c r="Y35" s="3684"/>
      <c r="Z35" s="1570" t="str">
        <f t="shared" si="15"/>
        <v>建筑品质</v>
      </c>
      <c r="AA35" s="1571">
        <f t="shared" si="3"/>
        <v>1</v>
      </c>
      <c r="AB35" s="1571">
        <f t="shared" si="4"/>
        <v>1</v>
      </c>
      <c r="AC35" s="1571">
        <f t="shared" si="5"/>
        <v>1</v>
      </c>
    </row>
    <row r="36" spans="1:29" ht="15">
      <c r="A36" s="592"/>
      <c r="B36" s="525" t="s">
        <v>729</v>
      </c>
      <c r="C36" s="597" t="s">
        <v>3425</v>
      </c>
      <c r="D36" s="538">
        <v>100</v>
      </c>
      <c r="E36" s="597" t="s">
        <v>3425</v>
      </c>
      <c r="F36" s="573">
        <f>SUMIF(109:109,E36,110:110)-SUMIF(109:109,C36,110:110)+100</f>
        <v>100</v>
      </c>
      <c r="G36" s="597" t="s">
        <v>3425</v>
      </c>
      <c r="H36" s="538">
        <f>SUMIF(109:109,G36,110:110)-SUMIF(109:109,C36,110:110)+100</f>
        <v>100</v>
      </c>
      <c r="I36" s="597" t="s">
        <v>3425</v>
      </c>
      <c r="J36" s="538">
        <f>SUMIF(109:109,I36,110:110)-SUMIF(109:109,C36,110:110)+100</f>
        <v>100</v>
      </c>
      <c r="K36" s="862">
        <v>2</v>
      </c>
      <c r="L36" s="2138"/>
      <c r="M36" s="2130"/>
      <c r="N36" s="2130"/>
      <c r="O36" s="2137"/>
      <c r="P36" s="3684"/>
      <c r="Q36" s="1567" t="str">
        <f t="shared" si="11"/>
        <v>公共部分装修</v>
      </c>
      <c r="R36" s="1568" t="s">
        <v>11</v>
      </c>
      <c r="S36" s="1569">
        <f t="shared" si="12"/>
        <v>100</v>
      </c>
      <c r="T36" s="1568" t="s">
        <v>11</v>
      </c>
      <c r="U36" s="1569">
        <f t="shared" si="13"/>
        <v>100</v>
      </c>
      <c r="V36" s="1568" t="s">
        <v>11</v>
      </c>
      <c r="W36" s="1569">
        <f t="shared" si="14"/>
        <v>100</v>
      </c>
      <c r="X36" s="1562"/>
      <c r="Y36" s="3684"/>
      <c r="Z36" s="1570" t="str">
        <f t="shared" si="15"/>
        <v>公共部分装修</v>
      </c>
      <c r="AA36" s="1571">
        <f t="shared" si="3"/>
        <v>1</v>
      </c>
      <c r="AB36" s="1571">
        <f t="shared" si="4"/>
        <v>1</v>
      </c>
      <c r="AC36" s="1571">
        <f t="shared" si="5"/>
        <v>1</v>
      </c>
    </row>
    <row r="37" spans="1:29" s="1217" customFormat="1" ht="15">
      <c r="A37" s="598"/>
      <c r="B37" s="525" t="s">
        <v>730</v>
      </c>
      <c r="C37" s="880">
        <v>1</v>
      </c>
      <c r="D37" s="253">
        <v>100</v>
      </c>
      <c r="E37" s="880">
        <v>1</v>
      </c>
      <c r="F37" s="861">
        <f>LOOKUP(E37,112:112,113:113)-LOOKUP(C37,112:112,113:113)+100</f>
        <v>100</v>
      </c>
      <c r="G37" s="880">
        <v>1</v>
      </c>
      <c r="H37" s="253">
        <f>LOOKUP(G37,112:112,113:113)-LOOKUP(C37,112:112,113:113)+100</f>
        <v>100</v>
      </c>
      <c r="I37" s="880">
        <v>1</v>
      </c>
      <c r="J37" s="253">
        <f>LOOKUP(I37,112:112,113:113)-LOOKUP(C37,112:112,113:113)+100</f>
        <v>100</v>
      </c>
      <c r="K37" s="862">
        <v>2</v>
      </c>
      <c r="L37" s="2131"/>
      <c r="M37" s="2132"/>
      <c r="N37" s="2132"/>
      <c r="O37" s="2133"/>
      <c r="P37" s="3684"/>
      <c r="Q37" s="1148" t="str">
        <f t="shared" si="11"/>
        <v>成新度</v>
      </c>
      <c r="R37" s="1563" t="s">
        <v>11</v>
      </c>
      <c r="S37" s="1564">
        <f t="shared" si="12"/>
        <v>100</v>
      </c>
      <c r="T37" s="1563" t="s">
        <v>11</v>
      </c>
      <c r="U37" s="1564">
        <f t="shared" si="13"/>
        <v>100</v>
      </c>
      <c r="V37" s="1563" t="s">
        <v>11</v>
      </c>
      <c r="W37" s="1564">
        <f t="shared" si="14"/>
        <v>100</v>
      </c>
      <c r="X37" s="1565"/>
      <c r="Y37" s="3684"/>
      <c r="Z37" s="1147" t="str">
        <f t="shared" si="15"/>
        <v>成新度</v>
      </c>
      <c r="AA37" s="1566">
        <f t="shared" si="3"/>
        <v>1</v>
      </c>
      <c r="AB37" s="1566">
        <f t="shared" si="4"/>
        <v>1</v>
      </c>
      <c r="AC37" s="1566">
        <f t="shared" si="5"/>
        <v>1</v>
      </c>
    </row>
    <row r="38" spans="1:29" ht="15">
      <c r="A38" s="592"/>
      <c r="B38" s="525" t="s">
        <v>731</v>
      </c>
      <c r="C38" s="597" t="s">
        <v>3427</v>
      </c>
      <c r="D38" s="538">
        <v>100</v>
      </c>
      <c r="E38" s="597" t="s">
        <v>3427</v>
      </c>
      <c r="F38" s="573">
        <f>SUMIF(114:114,E38,115:115)-SUMIF(114:114,C38,115:115)+100</f>
        <v>100</v>
      </c>
      <c r="G38" s="597" t="s">
        <v>3427</v>
      </c>
      <c r="H38" s="538">
        <f>SUMIF(114:114,G38,115:115)-SUMIF(114:114,C38,115:115)+100</f>
        <v>100</v>
      </c>
      <c r="I38" s="597" t="s">
        <v>3427</v>
      </c>
      <c r="J38" s="538">
        <f>SUMIF(114:114,I38,115:115)-SUMIF(114:114,C38,115:115)+100</f>
        <v>100</v>
      </c>
      <c r="K38" s="862">
        <v>2</v>
      </c>
      <c r="L38" s="2138"/>
      <c r="M38" s="2130"/>
      <c r="N38" s="2130"/>
      <c r="O38" s="2137"/>
      <c r="P38" s="3684" t="s">
        <v>550</v>
      </c>
      <c r="Q38" s="1567" t="str">
        <f t="shared" si="11"/>
        <v>物业管理</v>
      </c>
      <c r="R38" s="1568" t="s">
        <v>11</v>
      </c>
      <c r="S38" s="1569">
        <f t="shared" si="12"/>
        <v>100</v>
      </c>
      <c r="T38" s="1568" t="s">
        <v>11</v>
      </c>
      <c r="U38" s="1569">
        <f t="shared" si="13"/>
        <v>100</v>
      </c>
      <c r="V38" s="1568" t="s">
        <v>11</v>
      </c>
      <c r="W38" s="1569">
        <f t="shared" si="14"/>
        <v>100</v>
      </c>
      <c r="X38" s="1562"/>
      <c r="Y38" s="3684" t="s">
        <v>550</v>
      </c>
      <c r="Z38" s="1570" t="str">
        <f t="shared" si="15"/>
        <v>物业管理</v>
      </c>
      <c r="AA38" s="1571">
        <f t="shared" si="3"/>
        <v>1</v>
      </c>
      <c r="AB38" s="1571">
        <f t="shared" si="4"/>
        <v>1</v>
      </c>
      <c r="AC38" s="1571">
        <f t="shared" si="5"/>
        <v>1</v>
      </c>
    </row>
    <row r="39" spans="1:29" ht="15">
      <c r="A39" s="592"/>
      <c r="B39" s="1891" t="s">
        <v>2564</v>
      </c>
      <c r="C39" s="597" t="s">
        <v>3406</v>
      </c>
      <c r="D39" s="538">
        <v>100</v>
      </c>
      <c r="E39" s="597" t="s">
        <v>3406</v>
      </c>
      <c r="F39" s="573">
        <f>SUMIF(116:116,E39,117:117)-SUMIF(116:116,C39,117:117)+100</f>
        <v>100</v>
      </c>
      <c r="G39" s="597" t="s">
        <v>3406</v>
      </c>
      <c r="H39" s="538">
        <f>SUMIF(116:116,G39,117:117)-SUMIF(116:116,C39,117:117)+100</f>
        <v>100</v>
      </c>
      <c r="I39" s="597" t="s">
        <v>3406</v>
      </c>
      <c r="J39" s="538">
        <f>SUMIF(116:116,I39,117:117)-SUMIF(116:116,C39,117:117)+100</f>
        <v>100</v>
      </c>
      <c r="K39" s="862">
        <v>2</v>
      </c>
      <c r="L39" s="2138"/>
      <c r="M39" s="2130"/>
      <c r="N39" s="2130"/>
      <c r="O39" s="2137"/>
      <c r="P39" s="3684"/>
      <c r="Q39" s="1567" t="str">
        <f t="shared" si="11"/>
        <v>市政基础设施</v>
      </c>
      <c r="R39" s="1568" t="s">
        <v>11</v>
      </c>
      <c r="S39" s="1569">
        <f t="shared" si="12"/>
        <v>100</v>
      </c>
      <c r="T39" s="1568" t="s">
        <v>11</v>
      </c>
      <c r="U39" s="1569">
        <f t="shared" si="13"/>
        <v>100</v>
      </c>
      <c r="V39" s="1568" t="s">
        <v>11</v>
      </c>
      <c r="W39" s="1569">
        <f t="shared" si="14"/>
        <v>100</v>
      </c>
      <c r="X39" s="1562"/>
      <c r="Y39" s="3684"/>
      <c r="Z39" s="1570" t="str">
        <f t="shared" si="15"/>
        <v>市政基础设施</v>
      </c>
      <c r="AA39" s="1571">
        <f t="shared" si="3"/>
        <v>1</v>
      </c>
      <c r="AB39" s="1571">
        <f t="shared" si="4"/>
        <v>1</v>
      </c>
      <c r="AC39" s="1571">
        <f t="shared" si="5"/>
        <v>1</v>
      </c>
    </row>
    <row r="40" spans="1:29" ht="15">
      <c r="A40" s="592"/>
      <c r="B40" s="525" t="s">
        <v>732</v>
      </c>
      <c r="C40" s="597" t="s">
        <v>3430</v>
      </c>
      <c r="D40" s="538">
        <v>100</v>
      </c>
      <c r="E40" s="597" t="s">
        <v>3430</v>
      </c>
      <c r="F40" s="573">
        <f>SUMIF(118:118,E40,119:119)-SUMIF(118:118,C40,119:119)+100</f>
        <v>100</v>
      </c>
      <c r="G40" s="597" t="s">
        <v>3430</v>
      </c>
      <c r="H40" s="538">
        <f>SUMIF(118:118,G40,119:119)-SUMIF(118:118,C40,119:119)+100</f>
        <v>100</v>
      </c>
      <c r="I40" s="597" t="s">
        <v>3430</v>
      </c>
      <c r="J40" s="538">
        <f>SUMIF(118:118,I40,119:119)-SUMIF(118:118,C40,119:119)+100</f>
        <v>100</v>
      </c>
      <c r="K40" s="862">
        <v>5</v>
      </c>
      <c r="L40" s="2138"/>
      <c r="M40" s="2130"/>
      <c r="N40" s="2130"/>
      <c r="O40" s="2137"/>
      <c r="P40" s="3684"/>
      <c r="Q40" s="1567" t="str">
        <f t="shared" si="11"/>
        <v>房型</v>
      </c>
      <c r="R40" s="1568" t="s">
        <v>11</v>
      </c>
      <c r="S40" s="1569">
        <f t="shared" si="12"/>
        <v>100</v>
      </c>
      <c r="T40" s="1568" t="s">
        <v>11</v>
      </c>
      <c r="U40" s="1569">
        <f t="shared" si="13"/>
        <v>100</v>
      </c>
      <c r="V40" s="1568" t="s">
        <v>11</v>
      </c>
      <c r="W40" s="1569">
        <f t="shared" si="14"/>
        <v>100</v>
      </c>
      <c r="X40" s="1562"/>
      <c r="Y40" s="3684"/>
      <c r="Z40" s="1570" t="str">
        <f t="shared" si="15"/>
        <v>房型</v>
      </c>
      <c r="AA40" s="1571">
        <f t="shared" si="3"/>
        <v>1</v>
      </c>
      <c r="AB40" s="1571">
        <f t="shared" si="4"/>
        <v>1</v>
      </c>
      <c r="AC40" s="1571">
        <f t="shared" si="5"/>
        <v>1</v>
      </c>
    </row>
    <row r="41" spans="1:29" s="1336" customFormat="1" ht="28.5">
      <c r="A41" s="601"/>
      <c r="B41" s="525" t="s">
        <v>733</v>
      </c>
      <c r="C41" s="877"/>
      <c r="D41" s="253">
        <v>100</v>
      </c>
      <c r="E41" s="877"/>
      <c r="F41" s="861">
        <f>SUMIF(120:120,E41,121:121)-SUMIF(120:120,C41,121:121)+100</f>
        <v>100</v>
      </c>
      <c r="G41" s="877"/>
      <c r="H41" s="253">
        <f>SUMIF(120:120,G41,121:121)-SUMIF(120:120,C41,121:121)+100</f>
        <v>100</v>
      </c>
      <c r="I41" s="877"/>
      <c r="J41" s="538">
        <f>SUMIF(120:120,I41,121:121)-SUMIF(120:120,C41,121:121)+100</f>
        <v>100</v>
      </c>
      <c r="K41" s="863"/>
      <c r="L41" s="2136"/>
      <c r="M41" s="2167"/>
      <c r="N41" s="2167"/>
      <c r="O41" s="2139"/>
      <c r="P41" s="3684"/>
      <c r="Q41" s="1600" t="str">
        <f t="shared" si="11"/>
        <v>单套/主力户型建筑面积</v>
      </c>
      <c r="R41" s="1572" t="s">
        <v>11</v>
      </c>
      <c r="S41" s="1573">
        <f t="shared" si="12"/>
        <v>100</v>
      </c>
      <c r="T41" s="1572" t="s">
        <v>11</v>
      </c>
      <c r="U41" s="1573">
        <f t="shared" si="13"/>
        <v>100</v>
      </c>
      <c r="V41" s="1572" t="s">
        <v>11</v>
      </c>
      <c r="W41" s="1573">
        <f t="shared" si="14"/>
        <v>100</v>
      </c>
      <c r="X41" s="1574"/>
      <c r="Y41" s="3684"/>
      <c r="Z41" s="1575" t="str">
        <f t="shared" si="15"/>
        <v>单套/主力户型建筑面积</v>
      </c>
      <c r="AA41" s="1571">
        <f t="shared" si="3"/>
        <v>1</v>
      </c>
      <c r="AB41" s="1571">
        <f t="shared" si="4"/>
        <v>1</v>
      </c>
      <c r="AC41" s="1571">
        <f t="shared" si="5"/>
        <v>1</v>
      </c>
    </row>
    <row r="42" spans="1:29" ht="15">
      <c r="A42" s="592"/>
      <c r="B42" s="525" t="s">
        <v>734</v>
      </c>
      <c r="C42" s="597" t="s">
        <v>3425</v>
      </c>
      <c r="D42" s="538">
        <v>100</v>
      </c>
      <c r="E42" s="597" t="s">
        <v>3425</v>
      </c>
      <c r="F42" s="573">
        <f>SUMIF(122:122,E42,123:123)-SUMIF(122:122,C42,123:123)+100</f>
        <v>100</v>
      </c>
      <c r="G42" s="597" t="s">
        <v>3425</v>
      </c>
      <c r="H42" s="538">
        <f>SUMIF(122:122,G42,123:123)-SUMIF(122:122,C42,123:123)+100</f>
        <v>100</v>
      </c>
      <c r="I42" s="597" t="s">
        <v>3425</v>
      </c>
      <c r="J42" s="538">
        <f>SUMIF(122:122,I42,123:123)-SUMIF(122:122,C42,123:123)+100</f>
        <v>100</v>
      </c>
      <c r="K42" s="862">
        <v>5</v>
      </c>
      <c r="L42" s="2138"/>
      <c r="M42" s="2130"/>
      <c r="N42" s="2130"/>
      <c r="O42" s="2137"/>
      <c r="P42" s="3684"/>
      <c r="Q42" s="1567" t="str">
        <f t="shared" si="11"/>
        <v>内部装修</v>
      </c>
      <c r="R42" s="1568" t="s">
        <v>11</v>
      </c>
      <c r="S42" s="1569">
        <f t="shared" si="12"/>
        <v>100</v>
      </c>
      <c r="T42" s="1568" t="s">
        <v>11</v>
      </c>
      <c r="U42" s="1569">
        <f t="shared" si="13"/>
        <v>100</v>
      </c>
      <c r="V42" s="1568" t="s">
        <v>11</v>
      </c>
      <c r="W42" s="1569">
        <f t="shared" si="14"/>
        <v>100</v>
      </c>
      <c r="X42" s="1562"/>
      <c r="Y42" s="3684"/>
      <c r="Z42" s="1570" t="str">
        <f t="shared" si="15"/>
        <v>内部装修</v>
      </c>
      <c r="AA42" s="1571">
        <f t="shared" si="3"/>
        <v>1</v>
      </c>
      <c r="AB42" s="1571">
        <f t="shared" si="4"/>
        <v>1</v>
      </c>
      <c r="AC42" s="1571">
        <f t="shared" si="5"/>
        <v>1</v>
      </c>
    </row>
    <row r="43" spans="1:29" ht="27.75" thickBot="1">
      <c r="A43" s="592"/>
      <c r="B43" s="525" t="s">
        <v>735</v>
      </c>
      <c r="C43" s="597" t="s">
        <v>3405</v>
      </c>
      <c r="D43" s="538">
        <v>100</v>
      </c>
      <c r="E43" s="597" t="s">
        <v>3405</v>
      </c>
      <c r="F43" s="573">
        <f>SUMIF(124:124,E43,125:125)-SUMIF(124:124,C43,125:125)+100</f>
        <v>100</v>
      </c>
      <c r="G43" s="597" t="s">
        <v>3405</v>
      </c>
      <c r="H43" s="538">
        <f>SUMIF(124:124,G43,125:125)-SUMIF(124:124,C43,125:125)+100</f>
        <v>100</v>
      </c>
      <c r="I43" s="597" t="s">
        <v>3405</v>
      </c>
      <c r="J43" s="538">
        <f>SUMIF(124:124,I43,125:125)-SUMIF(124:124,C43,125:125)+100</f>
        <v>100</v>
      </c>
      <c r="K43" s="862">
        <v>2</v>
      </c>
      <c r="L43" s="2138"/>
      <c r="M43" s="2130"/>
      <c r="N43" s="2130"/>
      <c r="O43" s="2137"/>
      <c r="P43" s="3684"/>
      <c r="Q43" s="1567" t="str">
        <f t="shared" si="11"/>
        <v>内部装修维护情况</v>
      </c>
      <c r="R43" s="1568" t="s">
        <v>11</v>
      </c>
      <c r="S43" s="1569">
        <f t="shared" si="12"/>
        <v>100</v>
      </c>
      <c r="T43" s="1568" t="s">
        <v>11</v>
      </c>
      <c r="U43" s="1569">
        <f t="shared" si="13"/>
        <v>100</v>
      </c>
      <c r="V43" s="1568" t="s">
        <v>11</v>
      </c>
      <c r="W43" s="1569">
        <f t="shared" si="14"/>
        <v>100</v>
      </c>
      <c r="X43" s="1562"/>
      <c r="Y43" s="3684"/>
      <c r="Z43" s="1570" t="str">
        <f t="shared" si="15"/>
        <v>内部装修维护情况</v>
      </c>
      <c r="AA43" s="1571">
        <f t="shared" si="3"/>
        <v>1</v>
      </c>
      <c r="AB43" s="1571">
        <f t="shared" si="4"/>
        <v>1</v>
      </c>
      <c r="AC43" s="1571">
        <f t="shared" si="5"/>
        <v>1</v>
      </c>
    </row>
    <row r="44" spans="1:29" s="1217" customFormat="1" ht="15" hidden="1">
      <c r="A44" s="598"/>
      <c r="B44" s="875"/>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31"/>
      <c r="M44" s="2132"/>
      <c r="N44" s="2132"/>
      <c r="O44" s="2133"/>
      <c r="P44" s="3684"/>
      <c r="Q44" s="1148">
        <f t="shared" si="11"/>
        <v>0</v>
      </c>
      <c r="R44" s="1563" t="s">
        <v>11</v>
      </c>
      <c r="S44" s="1564">
        <f t="shared" si="12"/>
        <v>100</v>
      </c>
      <c r="T44" s="1563" t="s">
        <v>11</v>
      </c>
      <c r="U44" s="1564">
        <f t="shared" si="13"/>
        <v>100</v>
      </c>
      <c r="V44" s="1563" t="s">
        <v>11</v>
      </c>
      <c r="W44" s="1564">
        <f t="shared" si="14"/>
        <v>100</v>
      </c>
      <c r="X44" s="1565"/>
      <c r="Y44" s="3684"/>
      <c r="Z44" s="1147">
        <f t="shared" si="15"/>
        <v>0</v>
      </c>
      <c r="AA44" s="1566">
        <f t="shared" si="3"/>
        <v>1</v>
      </c>
      <c r="AB44" s="1566">
        <f t="shared" si="4"/>
        <v>1</v>
      </c>
      <c r="AC44" s="1566">
        <f t="shared" si="5"/>
        <v>1</v>
      </c>
    </row>
    <row r="45" spans="1:29" ht="15" hidden="1">
      <c r="A45" s="592"/>
      <c r="B45" s="875"/>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8"/>
      <c r="M45" s="2130"/>
      <c r="N45" s="2130"/>
      <c r="O45" s="2137"/>
      <c r="P45" s="3684"/>
      <c r="Q45" s="1567">
        <f t="shared" si="11"/>
        <v>0</v>
      </c>
      <c r="R45" s="1568" t="s">
        <v>11</v>
      </c>
      <c r="S45" s="1569">
        <f t="shared" si="12"/>
        <v>100</v>
      </c>
      <c r="T45" s="1568" t="s">
        <v>11</v>
      </c>
      <c r="U45" s="1569">
        <f t="shared" si="13"/>
        <v>100</v>
      </c>
      <c r="V45" s="1568" t="s">
        <v>11</v>
      </c>
      <c r="W45" s="1569">
        <f t="shared" si="14"/>
        <v>100</v>
      </c>
      <c r="X45" s="1562"/>
      <c r="Y45" s="3684"/>
      <c r="Z45" s="1570">
        <f t="shared" si="15"/>
        <v>0</v>
      </c>
      <c r="AA45" s="1571">
        <f t="shared" si="3"/>
        <v>1</v>
      </c>
      <c r="AB45" s="1571">
        <f t="shared" si="4"/>
        <v>1</v>
      </c>
      <c r="AC45" s="1571">
        <f t="shared" si="5"/>
        <v>1</v>
      </c>
    </row>
    <row r="46" spans="1:29" ht="15.75" hidden="1" thickBot="1">
      <c r="A46" s="883"/>
      <c r="B46" s="542"/>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8"/>
      <c r="M46" s="2130"/>
      <c r="N46" s="2130"/>
      <c r="O46" s="2137"/>
      <c r="P46" s="3764"/>
      <c r="Q46" s="1567">
        <f t="shared" si="11"/>
        <v>0</v>
      </c>
      <c r="R46" s="1568" t="s">
        <v>10</v>
      </c>
      <c r="S46" s="1569">
        <f t="shared" si="12"/>
        <v>100</v>
      </c>
      <c r="T46" s="1568" t="s">
        <v>10</v>
      </c>
      <c r="U46" s="1569">
        <f t="shared" si="13"/>
        <v>100</v>
      </c>
      <c r="V46" s="1568" t="s">
        <v>10</v>
      </c>
      <c r="W46" s="1569">
        <f t="shared" si="14"/>
        <v>100</v>
      </c>
      <c r="X46" s="1562"/>
      <c r="Y46" s="3764"/>
      <c r="Z46" s="1570">
        <f t="shared" si="15"/>
        <v>0</v>
      </c>
      <c r="AA46" s="1571">
        <f t="shared" si="3"/>
        <v>1</v>
      </c>
      <c r="AB46" s="1571">
        <f t="shared" si="4"/>
        <v>1</v>
      </c>
      <c r="AC46" s="1571">
        <f t="shared" si="5"/>
        <v>1</v>
      </c>
    </row>
    <row r="47" spans="1:29" ht="15">
      <c r="A47" s="605" t="s">
        <v>736</v>
      </c>
      <c r="B47" s="884"/>
      <c r="C47" s="2623" t="s">
        <v>9</v>
      </c>
      <c r="D47" s="2624"/>
      <c r="E47" s="2625">
        <v>12500</v>
      </c>
      <c r="F47" s="2626"/>
      <c r="G47" s="2627">
        <v>12500</v>
      </c>
      <c r="H47" s="2628"/>
      <c r="I47" s="2625">
        <v>12000</v>
      </c>
      <c r="J47" s="2628"/>
      <c r="K47" s="1601"/>
      <c r="L47" s="2140"/>
      <c r="M47" s="2141"/>
      <c r="N47" s="2130"/>
      <c r="O47" s="2141"/>
      <c r="P47" s="3679" t="str">
        <f>A47</f>
        <v>成交单价（元/平方米）</v>
      </c>
      <c r="Q47" s="3679"/>
      <c r="R47" s="3763">
        <f>E47</f>
        <v>12500</v>
      </c>
      <c r="S47" s="3763"/>
      <c r="T47" s="3763">
        <f>G47</f>
        <v>12500</v>
      </c>
      <c r="U47" s="3763"/>
      <c r="V47" s="3763">
        <f>I47</f>
        <v>12000</v>
      </c>
      <c r="W47" s="3763"/>
      <c r="X47" s="1554"/>
      <c r="Y47" s="1576"/>
      <c r="Z47" s="1554"/>
      <c r="AA47" s="1554"/>
      <c r="AB47" s="1554"/>
      <c r="AC47" s="1554"/>
    </row>
    <row r="48" spans="1:29" ht="15.75" thickBot="1">
      <c r="A48" s="613" t="s">
        <v>2759</v>
      </c>
      <c r="B48" s="885"/>
      <c r="C48" s="2629">
        <f>R49</f>
        <v>12170</v>
      </c>
      <c r="D48" s="2630"/>
      <c r="E48" s="2631">
        <f>R48</f>
        <v>12255</v>
      </c>
      <c r="F48" s="2631"/>
      <c r="G48" s="2629">
        <f>T48</f>
        <v>12255</v>
      </c>
      <c r="H48" s="2630"/>
      <c r="I48" s="2631">
        <f>V48</f>
        <v>12000</v>
      </c>
      <c r="J48" s="2630"/>
      <c r="K48" s="1602"/>
      <c r="L48" s="2140"/>
      <c r="M48" s="2141"/>
      <c r="N48" s="2141"/>
      <c r="O48" s="2141"/>
      <c r="P48" s="3679" t="str">
        <f>A48</f>
        <v>比较价格（元/平方米）</v>
      </c>
      <c r="Q48" s="3679"/>
      <c r="R48" s="3763">
        <f>IF(F1="售价",ROUND(PRODUCT(R47,AA7:AA46),0),ROUND(PRODUCT(R47,AA7:AA46),1))</f>
        <v>12255</v>
      </c>
      <c r="S48" s="3763"/>
      <c r="T48" s="3763">
        <f>IF(F1="售价",ROUND(PRODUCT(T47,AB7:AB46),0),ROUND(PRODUCT(T47,AB7:AB46),1))</f>
        <v>12255</v>
      </c>
      <c r="U48" s="3763"/>
      <c r="V48" s="3763">
        <f>IF(F1="售价",ROUND(PRODUCT(V47,AC7:AC46),0),ROUND(PRODUCT(V47,AC7:AC46),1))</f>
        <v>12000</v>
      </c>
      <c r="W48" s="3763"/>
      <c r="X48" s="1554"/>
      <c r="Y48" s="1554"/>
      <c r="Z48" s="1554"/>
      <c r="AA48" s="1554"/>
      <c r="AB48" s="1554"/>
      <c r="AC48" s="1554"/>
    </row>
    <row r="49" spans="1:29" ht="15.75" thickBot="1">
      <c r="A49" s="619" t="s">
        <v>2934</v>
      </c>
      <c r="B49" s="620"/>
      <c r="C49" s="2632">
        <f>R49</f>
        <v>12170</v>
      </c>
      <c r="D49" s="2632"/>
      <c r="E49" s="2632"/>
      <c r="F49" s="2632"/>
      <c r="G49" s="2632"/>
      <c r="H49" s="2632"/>
      <c r="I49" s="2632"/>
      <c r="J49" s="2632"/>
      <c r="K49" s="1603"/>
      <c r="L49" s="2140"/>
      <c r="M49" s="2141"/>
      <c r="N49" s="2141"/>
      <c r="O49" s="2141"/>
      <c r="P49" s="3700" t="str">
        <f>A49</f>
        <v>估价对象XX用房的比较价格（楼面单价，元/平方米）</v>
      </c>
      <c r="Q49" s="3701"/>
      <c r="R49" s="3762">
        <f>IF(F1="售价",ROUND(AVERAGE(R48:V48),0),ROUND(AVERAGE(R48:V48),1))</f>
        <v>12170</v>
      </c>
      <c r="S49" s="3762"/>
      <c r="T49" s="3762"/>
      <c r="U49" s="3762"/>
      <c r="V49" s="3762"/>
      <c r="W49" s="3762"/>
      <c r="X49" s="1554"/>
      <c r="Y49" s="1554"/>
      <c r="Z49" s="1554"/>
      <c r="AA49" s="1554"/>
      <c r="AB49" s="1554"/>
      <c r="AC49" s="1554"/>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2" t="s">
        <v>557</v>
      </c>
      <c r="D52" s="623"/>
      <c r="E52" s="624">
        <f>IF(E47&lt;E48,E48/E47-1,E47/E48-1)</f>
        <v>1.9991840065279431E-2</v>
      </c>
      <c r="F52" s="625" t="str">
        <f>IF(OR(E52&gt;=0.3,E52&lt;=-0.3),"超过30%","")</f>
        <v/>
      </c>
      <c r="G52" s="624">
        <f>IF(G47&lt;G48,G48/G47-1,G47/G48-1)</f>
        <v>1.9991840065279431E-2</v>
      </c>
      <c r="H52" s="625" t="str">
        <f>IF(OR(G52&gt;=0.3,G52&lt;=-0.3),"超过30%","")</f>
        <v/>
      </c>
      <c r="I52" s="624">
        <f>IF(I47&lt;I48,I48/I47-1,I47/I48-1)</f>
        <v>0</v>
      </c>
      <c r="J52" s="625"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2" t="s">
        <v>558</v>
      </c>
      <c r="D53" s="626"/>
      <c r="E53" s="624">
        <f>IF(E48&lt;G48,G48/E48-1,E48/G48-1)</f>
        <v>0</v>
      </c>
      <c r="F53" s="625" t="str">
        <f>IF(OR(E53&gt;=0.2,E53&lt;=-0.2),"超过20%","")</f>
        <v/>
      </c>
      <c r="G53" s="624">
        <f>IF(G48&lt;I48,I48/G48-1,G48/I48-1)</f>
        <v>2.1249999999999991E-2</v>
      </c>
      <c r="H53" s="625" t="str">
        <f>IF(OR(G53&gt;=0.2,G53&lt;=-0.2),"超过20%","")</f>
        <v/>
      </c>
      <c r="I53" s="624">
        <f>IF(I48&lt;E48,E48/I48-1,I48/E48-1)</f>
        <v>2.1249999999999991E-2</v>
      </c>
      <c r="J53" s="625"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2" customFormat="1" ht="13.5" customHeight="1">
      <c r="A54" s="2142"/>
      <c r="B54" s="2142"/>
      <c r="C54" s="622" t="s">
        <v>559</v>
      </c>
      <c r="D54" s="626"/>
      <c r="E54" s="624">
        <f>IF(E47&lt;G47,G47/E47-1,E47/G47-1)</f>
        <v>0</v>
      </c>
      <c r="F54" s="625" t="str">
        <f>IF(OR(E54&gt;=0.3,E54&lt;=-0.3),"超过30%","")</f>
        <v/>
      </c>
      <c r="G54" s="624">
        <f>IF(G47&lt;I47,I47/G47-1,G47/I47-1)</f>
        <v>4.1666666666666741E-2</v>
      </c>
      <c r="H54" s="625" t="str">
        <f>IF(OR(G54&gt;=0.3,G54&lt;=-0.3),"超过30%","")</f>
        <v/>
      </c>
      <c r="I54" s="624">
        <f>IF(I47&lt;E47,E47/I47-1,I47/E47-1)</f>
        <v>4.1666666666666741E-2</v>
      </c>
      <c r="J54" s="625"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2"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79" t="s">
        <v>574</v>
      </c>
      <c r="B57" s="1554"/>
      <c r="C57" s="1578"/>
      <c r="D57" s="1578"/>
      <c r="E57" s="1578"/>
      <c r="F57" s="1580"/>
      <c r="G57" s="1580"/>
      <c r="H57" s="1578"/>
      <c r="I57" s="1578"/>
      <c r="J57" s="1578"/>
      <c r="K57" s="1581"/>
      <c r="L57" s="1577"/>
      <c r="M57" s="1578"/>
      <c r="N57" s="1578"/>
      <c r="O57" s="1578"/>
      <c r="P57" s="2153"/>
      <c r="Q57" s="2154"/>
      <c r="R57" s="2141"/>
      <c r="S57" s="2141"/>
      <c r="T57" s="2141"/>
      <c r="U57" s="2141"/>
      <c r="V57" s="2141"/>
      <c r="W57" s="2141"/>
      <c r="X57" s="2141"/>
      <c r="Y57" s="2141"/>
      <c r="Z57" s="2141"/>
      <c r="AA57" s="2141"/>
      <c r="AB57" s="2141"/>
      <c r="AC57" s="2141"/>
    </row>
    <row r="58" spans="1:29" s="1344" customFormat="1" ht="15">
      <c r="A58" s="643" t="s">
        <v>529</v>
      </c>
      <c r="B58" s="644"/>
      <c r="C58" s="2800" t="str">
        <f>YEAR(C7)&amp;"-"&amp;MONTH(C7)</f>
        <v>2018-9</v>
      </c>
      <c r="D58" s="2800">
        <f>EDATE(C58,-1)</f>
        <v>43313</v>
      </c>
      <c r="E58" s="2800">
        <f t="shared" ref="E58:O58" si="16">EDATE(D58,-1)</f>
        <v>43282</v>
      </c>
      <c r="F58" s="2800">
        <f t="shared" si="16"/>
        <v>43252</v>
      </c>
      <c r="G58" s="2800">
        <f t="shared" si="16"/>
        <v>43221</v>
      </c>
      <c r="H58" s="2800">
        <f t="shared" si="16"/>
        <v>43191</v>
      </c>
      <c r="I58" s="2800">
        <f t="shared" si="16"/>
        <v>43160</v>
      </c>
      <c r="J58" s="2800">
        <f t="shared" si="16"/>
        <v>43132</v>
      </c>
      <c r="K58" s="2800">
        <f t="shared" si="16"/>
        <v>43101</v>
      </c>
      <c r="L58" s="2800">
        <f t="shared" si="16"/>
        <v>43070</v>
      </c>
      <c r="M58" s="2800">
        <f t="shared" si="16"/>
        <v>43040</v>
      </c>
      <c r="N58" s="2800">
        <f t="shared" si="16"/>
        <v>43009</v>
      </c>
      <c r="O58" s="2800">
        <f t="shared" si="16"/>
        <v>42979</v>
      </c>
      <c r="P58" s="2156"/>
      <c r="Q58" s="2157"/>
      <c r="R58" s="2157"/>
      <c r="S58" s="2157"/>
      <c r="T58" s="2157"/>
      <c r="U58" s="2157"/>
      <c r="V58" s="2157"/>
      <c r="W58" s="2157"/>
      <c r="X58" s="2157"/>
      <c r="Y58" s="2157"/>
      <c r="Z58" s="2157"/>
      <c r="AA58" s="2157"/>
      <c r="AB58" s="2157"/>
      <c r="AC58" s="2157"/>
    </row>
    <row r="59" spans="1:29" s="1217" customFormat="1" ht="15">
      <c r="A59" s="645"/>
      <c r="B59" s="646"/>
      <c r="C59" s="647">
        <v>100</v>
      </c>
      <c r="D59" s="648"/>
      <c r="E59" s="648"/>
      <c r="F59" s="648"/>
      <c r="G59" s="648"/>
      <c r="H59" s="648"/>
      <c r="I59" s="648">
        <v>100</v>
      </c>
      <c r="J59" s="648"/>
      <c r="K59" s="648"/>
      <c r="L59" s="648"/>
      <c r="M59" s="648"/>
      <c r="N59" s="648"/>
      <c r="O59" s="648"/>
      <c r="P59" s="2154"/>
      <c r="Q59" s="1989"/>
      <c r="R59" s="1989"/>
      <c r="S59" s="1989"/>
      <c r="T59" s="1989"/>
      <c r="U59" s="1989"/>
      <c r="V59" s="1989"/>
      <c r="W59" s="1989"/>
      <c r="X59" s="1989"/>
      <c r="Y59" s="1989"/>
      <c r="Z59" s="1989"/>
      <c r="AA59" s="1989"/>
      <c r="AB59" s="1989"/>
      <c r="AC59" s="1989"/>
    </row>
    <row r="60" spans="1:29" s="1217" customFormat="1" ht="15.75" thickBot="1">
      <c r="A60" s="651" t="s">
        <v>575</v>
      </c>
      <c r="B60" s="652"/>
      <c r="C60" s="653"/>
      <c r="D60" s="654"/>
      <c r="E60" s="654"/>
      <c r="F60" s="654"/>
      <c r="G60" s="654"/>
      <c r="H60" s="654"/>
      <c r="I60" s="654"/>
      <c r="J60" s="654"/>
      <c r="K60" s="654"/>
      <c r="L60" s="654"/>
      <c r="M60" s="655"/>
      <c r="N60" s="654"/>
      <c r="O60" s="656"/>
      <c r="P60" s="2154"/>
      <c r="Q60" s="2154"/>
      <c r="R60" s="1989"/>
      <c r="S60" s="1989"/>
      <c r="T60" s="1989"/>
      <c r="U60" s="1989"/>
      <c r="V60" s="1989"/>
      <c r="W60" s="1989"/>
      <c r="X60" s="1989"/>
      <c r="Y60" s="1989"/>
      <c r="Z60" s="1989"/>
      <c r="AA60" s="1989"/>
      <c r="AB60" s="1989"/>
      <c r="AC60" s="1989"/>
    </row>
    <row r="61" spans="1:29" s="1217" customFormat="1" ht="15">
      <c r="A61" s="657" t="s">
        <v>531</v>
      </c>
      <c r="B61" s="646"/>
      <c r="C61" s="658" t="s">
        <v>576</v>
      </c>
      <c r="D61" s="659"/>
      <c r="E61" s="659"/>
      <c r="F61" s="659"/>
      <c r="G61" s="659"/>
      <c r="H61" s="659"/>
      <c r="I61" s="659"/>
      <c r="J61" s="659"/>
      <c r="K61" s="659"/>
      <c r="L61" s="660"/>
      <c r="M61" s="661"/>
      <c r="N61" s="2158"/>
      <c r="O61" s="2158"/>
      <c r="P61" s="2159"/>
      <c r="Q61" s="2154"/>
      <c r="R61" s="1989"/>
      <c r="S61" s="1989"/>
      <c r="T61" s="1989"/>
      <c r="U61" s="1989"/>
      <c r="V61" s="1989"/>
      <c r="W61" s="1989"/>
      <c r="X61" s="1989"/>
      <c r="Y61" s="1989"/>
      <c r="Z61" s="1989"/>
      <c r="AA61" s="1989"/>
      <c r="AB61" s="1989"/>
      <c r="AC61" s="1989"/>
    </row>
    <row r="62" spans="1:29" s="1217" customFormat="1" ht="15.75" thickBot="1">
      <c r="A62" s="657"/>
      <c r="B62" s="646"/>
      <c r="C62" s="886">
        <v>100</v>
      </c>
      <c r="D62" s="648"/>
      <c r="E62" s="648"/>
      <c r="F62" s="648"/>
      <c r="G62" s="648"/>
      <c r="H62" s="648"/>
      <c r="I62" s="648"/>
      <c r="J62" s="648"/>
      <c r="K62" s="648"/>
      <c r="L62" s="648"/>
      <c r="M62" s="650"/>
      <c r="N62" s="2158"/>
      <c r="O62" s="2158"/>
      <c r="P62" s="2154"/>
      <c r="Q62" s="2154"/>
      <c r="R62" s="1989"/>
      <c r="S62" s="1989"/>
      <c r="T62" s="1989"/>
      <c r="U62" s="1989"/>
      <c r="V62" s="1989"/>
      <c r="W62" s="1989"/>
      <c r="X62" s="1989"/>
      <c r="Y62" s="1989"/>
      <c r="Z62" s="1989"/>
      <c r="AA62" s="1989"/>
      <c r="AB62" s="1989"/>
      <c r="AC62" s="1989"/>
    </row>
    <row r="63" spans="1:29">
      <c r="A63" s="662" t="s">
        <v>577</v>
      </c>
      <c r="B63" s="663" t="s">
        <v>534</v>
      </c>
      <c r="C63" s="702" t="str">
        <f>C9</f>
        <v>住宅</v>
      </c>
      <c r="D63" s="596"/>
      <c r="E63" s="596"/>
      <c r="F63" s="596"/>
      <c r="G63" s="596"/>
      <c r="H63" s="596"/>
      <c r="I63" s="596"/>
      <c r="J63" s="596"/>
      <c r="K63" s="664"/>
      <c r="L63" s="665"/>
      <c r="M63" s="666"/>
      <c r="N63" s="2160"/>
      <c r="O63" s="2160"/>
      <c r="P63" s="2161"/>
      <c r="Q63" s="2154"/>
      <c r="R63" s="2141"/>
      <c r="S63" s="2141"/>
      <c r="T63" s="2141"/>
      <c r="U63" s="2141"/>
      <c r="V63" s="2141"/>
      <c r="W63" s="2141"/>
      <c r="X63" s="2141"/>
      <c r="Y63" s="2141"/>
      <c r="Z63" s="2141"/>
      <c r="AA63" s="2141"/>
      <c r="AB63" s="2141"/>
      <c r="AC63" s="2141"/>
    </row>
    <row r="64" spans="1:29" ht="15.75" thickBot="1">
      <c r="A64" s="667"/>
      <c r="B64" s="668"/>
      <c r="C64" s="669">
        <v>100</v>
      </c>
      <c r="D64" s="669"/>
      <c r="E64" s="1604"/>
      <c r="F64" s="1604"/>
      <c r="G64" s="1604"/>
      <c r="H64" s="1604"/>
      <c r="I64" s="1604"/>
      <c r="J64" s="1604"/>
      <c r="K64" s="1604"/>
      <c r="L64" s="1604"/>
      <c r="M64" s="1605"/>
      <c r="N64" s="2162"/>
      <c r="O64" s="2162"/>
      <c r="P64" s="2161"/>
      <c r="Q64" s="2154"/>
      <c r="R64" s="2141"/>
      <c r="S64" s="2141"/>
      <c r="T64" s="2141"/>
      <c r="U64" s="2141"/>
      <c r="V64" s="2141"/>
      <c r="W64" s="2141"/>
      <c r="X64" s="2141"/>
      <c r="Y64" s="2141"/>
      <c r="Z64" s="2141"/>
      <c r="AA64" s="2141"/>
      <c r="AB64" s="2141"/>
      <c r="AC64" s="2141"/>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0"/>
      <c r="O65" s="2160"/>
      <c r="P65" s="2161"/>
      <c r="Q65" s="2154"/>
      <c r="R65" s="2141"/>
      <c r="S65" s="2141"/>
      <c r="T65" s="2141"/>
      <c r="U65" s="2141"/>
      <c r="V65" s="2141"/>
      <c r="W65" s="2141"/>
      <c r="X65" s="2141"/>
      <c r="Y65" s="2141"/>
      <c r="Z65" s="2141"/>
      <c r="AA65" s="2141"/>
      <c r="AB65" s="2141"/>
      <c r="AC65" s="2141"/>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62"/>
      <c r="O66" s="2162"/>
      <c r="P66" s="2161"/>
      <c r="Q66" s="2154"/>
      <c r="R66" s="2141"/>
      <c r="S66" s="2141"/>
      <c r="T66" s="2141"/>
      <c r="U66" s="2141"/>
      <c r="V66" s="2141"/>
      <c r="W66" s="2141"/>
      <c r="X66" s="2141"/>
      <c r="Y66" s="2141"/>
      <c r="Z66" s="2141"/>
      <c r="AA66" s="2141"/>
      <c r="AB66" s="2141"/>
      <c r="AC66" s="2141"/>
    </row>
    <row r="67" spans="1:29" ht="15.75" thickTop="1">
      <c r="A67" s="667"/>
      <c r="B67" s="679" t="s">
        <v>538</v>
      </c>
      <c r="C67" s="680" t="str">
        <f>C68&amp;"（含）"&amp;"-"&amp;D68</f>
        <v>1（含）-2</v>
      </c>
      <c r="D67" s="680" t="str">
        <f t="shared" ref="D67:L67" si="18">D68&amp;"（含）"&amp;"-"&amp;E68</f>
        <v>2（含）-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7"/>
      <c r="B68" s="681"/>
      <c r="C68" s="539">
        <v>1</v>
      </c>
      <c r="D68" s="539">
        <v>2</v>
      </c>
      <c r="E68" s="539"/>
      <c r="F68" s="539"/>
      <c r="G68" s="539"/>
      <c r="H68" s="539"/>
      <c r="I68" s="539"/>
      <c r="J68" s="539"/>
      <c r="K68" s="682"/>
      <c r="L68" s="683"/>
      <c r="M68" s="684"/>
      <c r="N68" s="2160"/>
      <c r="O68" s="2160"/>
      <c r="P68" s="2161"/>
      <c r="Q68" s="2154"/>
      <c r="R68" s="2141"/>
      <c r="S68" s="2141"/>
      <c r="T68" s="2141"/>
      <c r="U68" s="2141"/>
      <c r="V68" s="2141"/>
      <c r="W68" s="2141"/>
      <c r="X68" s="2141"/>
      <c r="Y68" s="2141"/>
      <c r="Z68" s="2141"/>
      <c r="AA68" s="2141"/>
      <c r="AB68" s="2141"/>
      <c r="AC68" s="2141"/>
    </row>
    <row r="69" spans="1:29" ht="15.75" thickBot="1">
      <c r="A69" s="667"/>
      <c r="B69" s="668"/>
      <c r="C69" s="677">
        <v>100</v>
      </c>
      <c r="D69" s="677">
        <f t="shared" ref="D69:M69" si="19">C69-$K11</f>
        <v>99</v>
      </c>
      <c r="E69" s="677">
        <f t="shared" si="19"/>
        <v>98</v>
      </c>
      <c r="F69" s="677">
        <f t="shared" si="19"/>
        <v>97</v>
      </c>
      <c r="G69" s="677">
        <f t="shared" si="19"/>
        <v>96</v>
      </c>
      <c r="H69" s="677">
        <f t="shared" si="19"/>
        <v>95</v>
      </c>
      <c r="I69" s="677">
        <f t="shared" si="19"/>
        <v>94</v>
      </c>
      <c r="J69" s="677">
        <f t="shared" si="19"/>
        <v>93</v>
      </c>
      <c r="K69" s="677">
        <f t="shared" si="19"/>
        <v>92</v>
      </c>
      <c r="L69" s="677">
        <f t="shared" si="19"/>
        <v>91</v>
      </c>
      <c r="M69" s="678">
        <f t="shared" si="19"/>
        <v>90</v>
      </c>
      <c r="N69" s="2162"/>
      <c r="O69" s="2162"/>
      <c r="P69" s="2161"/>
      <c r="Q69" s="2154"/>
      <c r="R69" s="2141"/>
      <c r="S69" s="2141"/>
      <c r="T69" s="2141"/>
      <c r="U69" s="2141"/>
      <c r="V69" s="2141"/>
      <c r="W69" s="2141"/>
      <c r="X69" s="2141"/>
      <c r="Y69" s="2141"/>
      <c r="Z69" s="2141"/>
      <c r="AA69" s="2141"/>
      <c r="AB69" s="2141"/>
      <c r="AC69" s="2141"/>
    </row>
    <row r="70" spans="1:29" s="1336" customFormat="1" ht="15.75" hidden="1" thickTop="1">
      <c r="A70" s="685"/>
      <c r="B70" s="671">
        <f>B12</f>
        <v>0</v>
      </c>
      <c r="C70" s="686"/>
      <c r="D70" s="686"/>
      <c r="E70" s="686"/>
      <c r="F70" s="686"/>
      <c r="G70" s="686"/>
      <c r="H70" s="687"/>
      <c r="I70" s="687"/>
      <c r="J70" s="687"/>
      <c r="K70" s="687"/>
      <c r="L70" s="688"/>
      <c r="M70" s="689"/>
      <c r="N70" s="2163"/>
      <c r="O70" s="2163"/>
      <c r="P70" s="2164"/>
      <c r="Q70" s="2165"/>
      <c r="R70" s="2166"/>
      <c r="S70" s="2166"/>
      <c r="T70" s="2166"/>
      <c r="U70" s="2166"/>
      <c r="V70" s="2166"/>
      <c r="W70" s="2166"/>
      <c r="X70" s="2166"/>
      <c r="Y70" s="2166"/>
      <c r="Z70" s="2166"/>
      <c r="AA70" s="2166"/>
      <c r="AB70" s="2166"/>
      <c r="AC70" s="2166"/>
    </row>
    <row r="71" spans="1:29" s="1336" customFormat="1" ht="15.75" hidden="1" thickBot="1">
      <c r="A71" s="685"/>
      <c r="B71" s="676"/>
      <c r="C71" s="690"/>
      <c r="D71" s="669"/>
      <c r="E71" s="669"/>
      <c r="F71" s="669"/>
      <c r="G71" s="669"/>
      <c r="H71" s="669"/>
      <c r="I71" s="669"/>
      <c r="J71" s="669"/>
      <c r="K71" s="669"/>
      <c r="L71" s="669"/>
      <c r="M71" s="670"/>
      <c r="N71" s="2162"/>
      <c r="O71" s="2162"/>
      <c r="P71" s="2164"/>
      <c r="Q71" s="2165"/>
      <c r="R71" s="2166"/>
      <c r="S71" s="2166"/>
      <c r="T71" s="2166"/>
      <c r="U71" s="2166"/>
      <c r="V71" s="2166"/>
      <c r="W71" s="2166"/>
      <c r="X71" s="2166"/>
      <c r="Y71" s="2166"/>
      <c r="Z71" s="2166"/>
      <c r="AA71" s="2166"/>
      <c r="AB71" s="2166"/>
      <c r="AC71" s="2166"/>
    </row>
    <row r="72" spans="1:29" s="1336" customFormat="1" ht="15.75" hidden="1" thickTop="1">
      <c r="A72" s="685"/>
      <c r="B72" s="671">
        <f>B13</f>
        <v>0</v>
      </c>
      <c r="C72" s="686"/>
      <c r="D72" s="686"/>
      <c r="E72" s="686"/>
      <c r="F72" s="686"/>
      <c r="G72" s="686"/>
      <c r="H72" s="687"/>
      <c r="I72" s="687"/>
      <c r="J72" s="687"/>
      <c r="K72" s="687"/>
      <c r="L72" s="688"/>
      <c r="M72" s="689"/>
      <c r="N72" s="2163"/>
      <c r="O72" s="2163"/>
      <c r="P72" s="2167"/>
      <c r="Q72" s="2168"/>
      <c r="R72" s="2166"/>
      <c r="S72" s="2166"/>
      <c r="T72" s="2166"/>
      <c r="U72" s="2166"/>
      <c r="V72" s="2166"/>
      <c r="W72" s="2166"/>
      <c r="X72" s="2166"/>
      <c r="Y72" s="2166"/>
      <c r="Z72" s="2166"/>
      <c r="AA72" s="2166"/>
      <c r="AB72" s="2166"/>
      <c r="AC72" s="2166"/>
    </row>
    <row r="73" spans="1:29" s="1336" customFormat="1" ht="15.75" hidden="1" thickBot="1">
      <c r="A73" s="685"/>
      <c r="B73" s="676"/>
      <c r="C73" s="690"/>
      <c r="D73" s="690"/>
      <c r="E73" s="690"/>
      <c r="F73" s="690"/>
      <c r="G73" s="690"/>
      <c r="H73" s="691"/>
      <c r="I73" s="691"/>
      <c r="J73" s="691"/>
      <c r="K73" s="691"/>
      <c r="L73" s="691"/>
      <c r="M73" s="692"/>
      <c r="N73" s="2163"/>
      <c r="O73" s="2163"/>
      <c r="P73" s="2164"/>
      <c r="Q73" s="2165"/>
      <c r="R73" s="2166"/>
      <c r="S73" s="2166"/>
      <c r="T73" s="2166"/>
      <c r="U73" s="2166"/>
      <c r="V73" s="2166"/>
      <c r="W73" s="2166"/>
      <c r="X73" s="2166"/>
      <c r="Y73" s="2166"/>
      <c r="Z73" s="2166"/>
      <c r="AA73" s="2166"/>
      <c r="AB73" s="2166"/>
      <c r="AC73" s="2166"/>
    </row>
    <row r="74" spans="1:29" s="1336" customFormat="1" ht="15.75" hidden="1" thickTop="1">
      <c r="A74" s="685"/>
      <c r="B74" s="679">
        <f>B14</f>
        <v>0</v>
      </c>
      <c r="C74" s="686"/>
      <c r="D74" s="686"/>
      <c r="E74" s="686"/>
      <c r="F74" s="686"/>
      <c r="G74" s="659"/>
      <c r="H74" s="693"/>
      <c r="I74" s="693"/>
      <c r="J74" s="693"/>
      <c r="K74" s="693"/>
      <c r="L74" s="694"/>
      <c r="M74" s="695"/>
      <c r="N74" s="2163"/>
      <c r="O74" s="2163"/>
      <c r="P74" s="2169"/>
      <c r="Q74" s="2165"/>
      <c r="R74" s="2166"/>
      <c r="S74" s="2166"/>
      <c r="T74" s="2166"/>
      <c r="U74" s="2166"/>
      <c r="V74" s="2166"/>
      <c r="W74" s="2166"/>
      <c r="X74" s="2166"/>
      <c r="Y74" s="2166"/>
      <c r="Z74" s="2166"/>
      <c r="AA74" s="2166"/>
      <c r="AB74" s="2166"/>
      <c r="AC74" s="2166"/>
    </row>
    <row r="75" spans="1:29" s="1336" customFormat="1" ht="15.75" hidden="1" thickBot="1">
      <c r="A75" s="696"/>
      <c r="B75" s="697"/>
      <c r="C75" s="698"/>
      <c r="D75" s="698"/>
      <c r="E75" s="698"/>
      <c r="F75" s="698"/>
      <c r="G75" s="698"/>
      <c r="H75" s="699"/>
      <c r="I75" s="699"/>
      <c r="J75" s="699"/>
      <c r="K75" s="699"/>
      <c r="L75" s="699"/>
      <c r="M75" s="700"/>
      <c r="N75" s="2163"/>
      <c r="O75" s="2163"/>
      <c r="P75" s="2164"/>
      <c r="Q75" s="2165"/>
      <c r="R75" s="2166"/>
      <c r="S75" s="2166"/>
      <c r="T75" s="2166"/>
      <c r="U75" s="2166"/>
      <c r="V75" s="2166"/>
      <c r="W75" s="2166"/>
      <c r="X75" s="2166"/>
      <c r="Y75" s="2166"/>
      <c r="Z75" s="2166"/>
      <c r="AA75" s="2166"/>
      <c r="AB75" s="2166"/>
      <c r="AC75" s="2166"/>
    </row>
    <row r="76" spans="1:29" ht="15" thickTop="1">
      <c r="A76" s="662" t="s">
        <v>539</v>
      </c>
      <c r="B76" s="663" t="s">
        <v>578</v>
      </c>
      <c r="C76" s="701" t="s">
        <v>579</v>
      </c>
      <c r="D76" s="701" t="s">
        <v>580</v>
      </c>
      <c r="E76" s="701" t="s">
        <v>581</v>
      </c>
      <c r="F76" s="701" t="s">
        <v>582</v>
      </c>
      <c r="G76" s="701" t="s">
        <v>583</v>
      </c>
      <c r="H76" s="702"/>
      <c r="I76" s="702"/>
      <c r="J76" s="702"/>
      <c r="K76" s="703"/>
      <c r="L76" s="704"/>
      <c r="M76" s="705"/>
      <c r="N76" s="2160"/>
      <c r="O76" s="2160"/>
      <c r="P76" s="2170"/>
      <c r="Q76" s="2154"/>
      <c r="R76" s="2141"/>
      <c r="S76" s="2141"/>
      <c r="T76" s="2141"/>
      <c r="U76" s="2141"/>
      <c r="V76" s="2141"/>
      <c r="W76" s="2141"/>
      <c r="X76" s="2141"/>
      <c r="Y76" s="2141"/>
      <c r="Z76" s="2141"/>
      <c r="AA76" s="2141"/>
      <c r="AB76" s="2141"/>
      <c r="AC76" s="2141"/>
    </row>
    <row r="77" spans="1:29" ht="15.75" thickBot="1">
      <c r="A77" s="667"/>
      <c r="B77" s="676"/>
      <c r="C77" s="677">
        <v>100</v>
      </c>
      <c r="D77" s="677">
        <f>C77-$K15</f>
        <v>97</v>
      </c>
      <c r="E77" s="677">
        <f>D77-$K15</f>
        <v>94</v>
      </c>
      <c r="F77" s="677">
        <f>E77-$K15</f>
        <v>91</v>
      </c>
      <c r="G77" s="677">
        <f>F77-$K15</f>
        <v>88</v>
      </c>
      <c r="H77" s="677"/>
      <c r="I77" s="677"/>
      <c r="J77" s="677"/>
      <c r="K77" s="677"/>
      <c r="L77" s="677"/>
      <c r="M77" s="678"/>
      <c r="N77" s="2162"/>
      <c r="O77" s="2162"/>
      <c r="P77" s="2161"/>
      <c r="Q77" s="2154"/>
      <c r="R77" s="2141"/>
      <c r="S77" s="2141"/>
      <c r="T77" s="2141"/>
      <c r="U77" s="2141"/>
      <c r="V77" s="2141"/>
      <c r="W77" s="2141"/>
      <c r="X77" s="2141"/>
      <c r="Y77" s="2141"/>
      <c r="Z77" s="2141"/>
      <c r="AA77" s="2141"/>
      <c r="AB77" s="2141"/>
      <c r="AC77" s="2141"/>
    </row>
    <row r="78" spans="1:29" ht="15.75" thickTop="1">
      <c r="A78" s="667"/>
      <c r="B78" s="671" t="s">
        <v>586</v>
      </c>
      <c r="C78" s="706" t="s">
        <v>579</v>
      </c>
      <c r="D78" s="706" t="s">
        <v>580</v>
      </c>
      <c r="E78" s="706" t="s">
        <v>581</v>
      </c>
      <c r="F78" s="706" t="s">
        <v>582</v>
      </c>
      <c r="G78" s="706" t="s">
        <v>583</v>
      </c>
      <c r="H78" s="672"/>
      <c r="I78" s="672"/>
      <c r="J78" s="672"/>
      <c r="K78" s="673"/>
      <c r="L78" s="674"/>
      <c r="M78" s="675"/>
      <c r="N78" s="2160"/>
      <c r="O78" s="2160"/>
      <c r="P78" s="2161"/>
      <c r="Q78" s="2154"/>
      <c r="R78" s="2141"/>
      <c r="S78" s="2141"/>
      <c r="T78" s="2141"/>
      <c r="U78" s="2141"/>
      <c r="V78" s="2141"/>
      <c r="W78" s="2141"/>
      <c r="X78" s="2141"/>
      <c r="Y78" s="2141"/>
      <c r="Z78" s="2141"/>
      <c r="AA78" s="2141"/>
      <c r="AB78" s="2141"/>
      <c r="AC78" s="2141"/>
    </row>
    <row r="79" spans="1:29" ht="15.75" thickBot="1">
      <c r="A79" s="667"/>
      <c r="B79" s="676"/>
      <c r="C79" s="677">
        <v>100</v>
      </c>
      <c r="D79" s="677">
        <f>C79-$K17</f>
        <v>97</v>
      </c>
      <c r="E79" s="677">
        <f>D79-$K17</f>
        <v>94</v>
      </c>
      <c r="F79" s="677">
        <f>E79-$K17</f>
        <v>91</v>
      </c>
      <c r="G79" s="677">
        <f>F79-$K17</f>
        <v>88</v>
      </c>
      <c r="H79" s="677"/>
      <c r="I79" s="677"/>
      <c r="J79" s="677"/>
      <c r="K79" s="677"/>
      <c r="L79" s="677"/>
      <c r="M79" s="678"/>
      <c r="N79" s="2162"/>
      <c r="O79" s="2162"/>
      <c r="P79" s="2161"/>
      <c r="Q79" s="2154"/>
      <c r="R79" s="2141"/>
      <c r="S79" s="2141"/>
      <c r="T79" s="2141"/>
      <c r="U79" s="2141"/>
      <c r="V79" s="2141"/>
      <c r="W79" s="2141"/>
      <c r="X79" s="2141"/>
      <c r="Y79" s="2141"/>
      <c r="Z79" s="2141"/>
      <c r="AA79" s="2141"/>
      <c r="AB79" s="2141"/>
      <c r="AC79" s="2141"/>
    </row>
    <row r="80" spans="1:29" ht="15.75" thickTop="1">
      <c r="A80" s="667"/>
      <c r="B80" s="1892" t="s">
        <v>2557</v>
      </c>
      <c r="C80" s="706" t="s">
        <v>579</v>
      </c>
      <c r="D80" s="706" t="s">
        <v>580</v>
      </c>
      <c r="E80" s="706" t="s">
        <v>581</v>
      </c>
      <c r="F80" s="706" t="s">
        <v>582</v>
      </c>
      <c r="G80" s="706" t="s">
        <v>583</v>
      </c>
      <c r="H80" s="672"/>
      <c r="I80" s="672"/>
      <c r="J80" s="672"/>
      <c r="K80" s="673"/>
      <c r="L80" s="674"/>
      <c r="M80" s="675"/>
      <c r="N80" s="2160"/>
      <c r="O80" s="2160"/>
      <c r="P80" s="2161"/>
      <c r="Q80" s="2154"/>
      <c r="R80" s="2141"/>
      <c r="S80" s="2141"/>
      <c r="T80" s="2141"/>
      <c r="U80" s="2141"/>
      <c r="V80" s="2141"/>
      <c r="W80" s="2141"/>
      <c r="X80" s="2141"/>
      <c r="Y80" s="2141"/>
      <c r="Z80" s="2141"/>
      <c r="AA80" s="2141"/>
      <c r="AB80" s="2141"/>
      <c r="AC80" s="2141"/>
    </row>
    <row r="81" spans="1:29" ht="15.75" thickBot="1">
      <c r="A81" s="667"/>
      <c r="B81" s="676"/>
      <c r="C81" s="677">
        <v>100</v>
      </c>
      <c r="D81" s="677">
        <f>C81-$K19</f>
        <v>98</v>
      </c>
      <c r="E81" s="677">
        <f>D81-$K19</f>
        <v>96</v>
      </c>
      <c r="F81" s="677">
        <f>E81-$K19</f>
        <v>94</v>
      </c>
      <c r="G81" s="677">
        <f>F81-$K19</f>
        <v>92</v>
      </c>
      <c r="H81" s="677"/>
      <c r="I81" s="677"/>
      <c r="J81" s="677"/>
      <c r="K81" s="677"/>
      <c r="L81" s="677"/>
      <c r="M81" s="678"/>
      <c r="N81" s="2162"/>
      <c r="O81" s="2162"/>
      <c r="P81" s="2161"/>
      <c r="Q81" s="2154"/>
      <c r="R81" s="2141"/>
      <c r="S81" s="2141"/>
      <c r="T81" s="2141"/>
      <c r="U81" s="2141"/>
      <c r="V81" s="2141"/>
      <c r="W81" s="2141"/>
      <c r="X81" s="2141"/>
      <c r="Y81" s="2141"/>
      <c r="Z81" s="2141"/>
      <c r="AA81" s="2141"/>
      <c r="AB81" s="2141"/>
      <c r="AC81" s="2141"/>
    </row>
    <row r="82" spans="1:29" ht="15.75" thickTop="1">
      <c r="A82" s="667"/>
      <c r="B82" s="2593" t="s">
        <v>2558</v>
      </c>
      <c r="C82" s="2594" t="s">
        <v>2559</v>
      </c>
      <c r="D82" s="2594" t="s">
        <v>2560</v>
      </c>
      <c r="E82" s="2594" t="s">
        <v>2561</v>
      </c>
      <c r="F82" s="2594" t="s">
        <v>2562</v>
      </c>
      <c r="G82" s="2594" t="s">
        <v>2563</v>
      </c>
      <c r="H82" s="672"/>
      <c r="I82" s="672"/>
      <c r="J82" s="672"/>
      <c r="K82" s="672"/>
      <c r="L82" s="672"/>
      <c r="M82" s="2597"/>
      <c r="N82" s="2162"/>
      <c r="O82" s="2162"/>
      <c r="P82" s="2161"/>
      <c r="Q82" s="2154"/>
      <c r="R82" s="2141"/>
      <c r="S82" s="2141"/>
      <c r="T82" s="2141"/>
      <c r="U82" s="2141"/>
      <c r="V82" s="2141"/>
      <c r="W82" s="2141"/>
      <c r="X82" s="2141"/>
      <c r="Y82" s="2141"/>
      <c r="Z82" s="2141"/>
      <c r="AA82" s="2141"/>
      <c r="AB82" s="2141"/>
      <c r="AC82" s="2141"/>
    </row>
    <row r="83" spans="1:29" ht="15.75" thickBot="1">
      <c r="A83" s="667"/>
      <c r="B83" s="679"/>
      <c r="C83" s="677">
        <v>100</v>
      </c>
      <c r="D83" s="677">
        <f>C83-$K21</f>
        <v>98</v>
      </c>
      <c r="E83" s="677">
        <f>D83-$K21</f>
        <v>96</v>
      </c>
      <c r="F83" s="677">
        <f>E83-$K21</f>
        <v>94</v>
      </c>
      <c r="G83" s="677">
        <f>F83-$K21</f>
        <v>92</v>
      </c>
      <c r="H83" s="932"/>
      <c r="I83" s="932"/>
      <c r="J83" s="932"/>
      <c r="K83" s="932"/>
      <c r="L83" s="932"/>
      <c r="M83" s="557"/>
      <c r="N83" s="2162"/>
      <c r="O83" s="2162"/>
      <c r="P83" s="2161"/>
      <c r="Q83" s="2154"/>
      <c r="R83" s="2141"/>
      <c r="S83" s="2141"/>
      <c r="T83" s="2141"/>
      <c r="U83" s="2141"/>
      <c r="V83" s="2141"/>
      <c r="W83" s="2141"/>
      <c r="X83" s="2141"/>
      <c r="Y83" s="2141"/>
      <c r="Z83" s="2141"/>
      <c r="AA83" s="2141"/>
      <c r="AB83" s="2141"/>
      <c r="AC83" s="2141"/>
    </row>
    <row r="84" spans="1:29" ht="15.75" thickTop="1">
      <c r="A84" s="667"/>
      <c r="B84" s="671" t="s">
        <v>744</v>
      </c>
      <c r="C84" s="706" t="s">
        <v>579</v>
      </c>
      <c r="D84" s="706" t="s">
        <v>580</v>
      </c>
      <c r="E84" s="706" t="s">
        <v>581</v>
      </c>
      <c r="F84" s="706" t="s">
        <v>582</v>
      </c>
      <c r="G84" s="706" t="s">
        <v>583</v>
      </c>
      <c r="H84" s="672"/>
      <c r="I84" s="672"/>
      <c r="J84" s="672"/>
      <c r="K84" s="673"/>
      <c r="L84" s="674"/>
      <c r="M84" s="675"/>
      <c r="N84" s="2160"/>
      <c r="O84" s="2160"/>
      <c r="P84" s="2161"/>
      <c r="Q84" s="2154"/>
      <c r="R84" s="2141"/>
      <c r="S84" s="2141"/>
      <c r="T84" s="2141"/>
      <c r="U84" s="2141"/>
      <c r="V84" s="2141"/>
      <c r="W84" s="2141"/>
      <c r="X84" s="2141"/>
      <c r="Y84" s="2141"/>
      <c r="Z84" s="2141"/>
      <c r="AA84" s="2141"/>
      <c r="AB84" s="2141"/>
      <c r="AC84" s="2141"/>
    </row>
    <row r="85" spans="1:29" ht="15.75" thickBot="1">
      <c r="A85" s="667"/>
      <c r="B85" s="676"/>
      <c r="C85" s="677">
        <v>100</v>
      </c>
      <c r="D85" s="677">
        <f>C85-$K23</f>
        <v>97</v>
      </c>
      <c r="E85" s="677">
        <f>D85-$K23</f>
        <v>94</v>
      </c>
      <c r="F85" s="677">
        <f>E85-$K23</f>
        <v>91</v>
      </c>
      <c r="G85" s="677">
        <f>F85-$K23</f>
        <v>88</v>
      </c>
      <c r="H85" s="677"/>
      <c r="I85" s="677"/>
      <c r="J85" s="677"/>
      <c r="K85" s="677"/>
      <c r="L85" s="677"/>
      <c r="M85" s="678"/>
      <c r="N85" s="2162"/>
      <c r="O85" s="2162"/>
      <c r="P85" s="2161"/>
      <c r="Q85" s="2154"/>
      <c r="R85" s="2141"/>
      <c r="S85" s="2141"/>
      <c r="T85" s="2141"/>
      <c r="U85" s="2141"/>
      <c r="V85" s="2141"/>
      <c r="W85" s="2141"/>
      <c r="X85" s="2141"/>
      <c r="Y85" s="2141"/>
      <c r="Z85" s="2141"/>
      <c r="AA85" s="2141"/>
      <c r="AB85" s="2141"/>
      <c r="AC85" s="2141"/>
    </row>
    <row r="86" spans="1:29" s="1217" customFormat="1" ht="15.75" hidden="1" thickTop="1">
      <c r="A86" s="707"/>
      <c r="B86" s="1892" t="s">
        <v>2257</v>
      </c>
      <c r="C86" s="686"/>
      <c r="D86" s="686"/>
      <c r="E86" s="686"/>
      <c r="F86" s="686"/>
      <c r="G86" s="686"/>
      <c r="H86" s="686"/>
      <c r="I86" s="686"/>
      <c r="J86" s="686"/>
      <c r="K86" s="686"/>
      <c r="L86" s="887"/>
      <c r="M86" s="888"/>
      <c r="N86" s="2158"/>
      <c r="O86" s="2158"/>
      <c r="P86" s="2161"/>
      <c r="Q86" s="2154"/>
      <c r="R86" s="1989"/>
      <c r="S86" s="1989"/>
      <c r="T86" s="1989"/>
      <c r="U86" s="1989"/>
      <c r="V86" s="1989"/>
      <c r="W86" s="1989"/>
      <c r="X86" s="1989"/>
      <c r="Y86" s="1989"/>
      <c r="Z86" s="1989"/>
      <c r="AA86" s="1989"/>
      <c r="AB86" s="1989"/>
      <c r="AC86" s="1989"/>
    </row>
    <row r="87" spans="1:29" s="1217" customFormat="1" ht="15.75" hidden="1"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2"/>
      <c r="O87" s="2162"/>
      <c r="P87" s="2161"/>
      <c r="Q87" s="2154"/>
      <c r="R87" s="1989"/>
      <c r="S87" s="1989"/>
      <c r="T87" s="1989"/>
      <c r="U87" s="1989"/>
      <c r="V87" s="1989"/>
      <c r="W87" s="1989"/>
      <c r="X87" s="1989"/>
      <c r="Y87" s="1989"/>
      <c r="Z87" s="1989"/>
      <c r="AA87" s="1989"/>
      <c r="AB87" s="1989"/>
      <c r="AC87" s="1989"/>
    </row>
    <row r="88" spans="1:29" s="1217" customFormat="1" ht="15.75" hidden="1" thickTop="1">
      <c r="A88" s="707"/>
      <c r="B88" s="671" t="s">
        <v>746</v>
      </c>
      <c r="C88" s="686"/>
      <c r="D88" s="686"/>
      <c r="E88" s="686"/>
      <c r="F88" s="889"/>
      <c r="G88" s="686"/>
      <c r="H88" s="686"/>
      <c r="I88" s="686"/>
      <c r="J88" s="686"/>
      <c r="K88" s="686"/>
      <c r="L88" s="686"/>
      <c r="M88" s="888"/>
      <c r="N88" s="2158"/>
      <c r="O88" s="2158"/>
      <c r="P88" s="2161"/>
      <c r="Q88" s="2154"/>
      <c r="R88" s="1989"/>
      <c r="S88" s="1989"/>
      <c r="T88" s="1989"/>
      <c r="U88" s="1989"/>
      <c r="V88" s="1989"/>
      <c r="W88" s="1989"/>
      <c r="X88" s="1989"/>
      <c r="Y88" s="1989"/>
      <c r="Z88" s="1989"/>
      <c r="AA88" s="1989"/>
      <c r="AB88" s="1989"/>
      <c r="AC88" s="1989"/>
    </row>
    <row r="89" spans="1:29" s="1217" customFormat="1" ht="15.75" hidden="1"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2"/>
      <c r="O89" s="2162"/>
      <c r="P89" s="2161"/>
      <c r="Q89" s="2154"/>
      <c r="R89" s="1989"/>
      <c r="S89" s="1989"/>
      <c r="T89" s="1989"/>
      <c r="U89" s="1989"/>
      <c r="V89" s="1989"/>
      <c r="W89" s="1989"/>
      <c r="X89" s="1989"/>
      <c r="Y89" s="1989"/>
      <c r="Z89" s="1989"/>
      <c r="AA89" s="1989"/>
      <c r="AB89" s="1989"/>
      <c r="AC89" s="1989"/>
    </row>
    <row r="90" spans="1:29" s="1336" customFormat="1" ht="15.75" hidden="1" thickTop="1">
      <c r="A90" s="685"/>
      <c r="B90" s="671" t="str">
        <f>B27</f>
        <v>道路级别</v>
      </c>
      <c r="C90" s="686"/>
      <c r="D90" s="686"/>
      <c r="E90" s="686"/>
      <c r="F90" s="686"/>
      <c r="G90" s="686"/>
      <c r="H90" s="687"/>
      <c r="I90" s="687"/>
      <c r="J90" s="687"/>
      <c r="K90" s="687"/>
      <c r="L90" s="688"/>
      <c r="M90" s="689"/>
      <c r="N90" s="2163"/>
      <c r="O90" s="2163"/>
      <c r="P90" s="2164"/>
      <c r="Q90" s="2165"/>
      <c r="R90" s="2166"/>
      <c r="S90" s="2166"/>
      <c r="T90" s="2166"/>
      <c r="U90" s="2166"/>
      <c r="V90" s="2166"/>
      <c r="W90" s="2166"/>
      <c r="X90" s="2166"/>
      <c r="Y90" s="2166"/>
      <c r="Z90" s="2166"/>
      <c r="AA90" s="2166"/>
      <c r="AB90" s="2166"/>
      <c r="AC90" s="2166"/>
    </row>
    <row r="91" spans="1:29" s="1336" customFormat="1" ht="15.75" hidden="1" thickBot="1">
      <c r="A91" s="685"/>
      <c r="B91" s="676"/>
      <c r="C91" s="690"/>
      <c r="D91" s="690"/>
      <c r="E91" s="690"/>
      <c r="F91" s="690"/>
      <c r="G91" s="690"/>
      <c r="H91" s="691"/>
      <c r="I91" s="691"/>
      <c r="J91" s="691"/>
      <c r="K91" s="691"/>
      <c r="L91" s="691"/>
      <c r="M91" s="692"/>
      <c r="N91" s="2163"/>
      <c r="O91" s="2163"/>
      <c r="P91" s="2164"/>
      <c r="Q91" s="2165"/>
      <c r="R91" s="2166"/>
      <c r="S91" s="2166"/>
      <c r="T91" s="2166"/>
      <c r="U91" s="2166"/>
      <c r="V91" s="2166"/>
      <c r="W91" s="2166"/>
      <c r="X91" s="2166"/>
      <c r="Y91" s="2166"/>
      <c r="Z91" s="2166"/>
      <c r="AA91" s="2166"/>
      <c r="AB91" s="2166"/>
      <c r="AC91" s="2166"/>
    </row>
    <row r="92" spans="1:29" ht="15.75" hidden="1" thickTop="1">
      <c r="A92" s="667"/>
      <c r="B92" s="671">
        <f>B28</f>
        <v>0</v>
      </c>
      <c r="C92" s="686"/>
      <c r="D92" s="686"/>
      <c r="E92" s="686"/>
      <c r="F92" s="686"/>
      <c r="G92" s="716"/>
      <c r="H92" s="716"/>
      <c r="I92" s="716"/>
      <c r="J92" s="716"/>
      <c r="K92" s="717"/>
      <c r="L92" s="718"/>
      <c r="M92" s="719"/>
      <c r="N92" s="2160"/>
      <c r="O92" s="2160"/>
      <c r="P92" s="2161"/>
      <c r="Q92" s="2154"/>
      <c r="R92" s="2141"/>
      <c r="S92" s="2141"/>
      <c r="T92" s="2141"/>
      <c r="U92" s="2141"/>
      <c r="V92" s="2141"/>
      <c r="W92" s="2141"/>
      <c r="X92" s="2141"/>
      <c r="Y92" s="2141"/>
      <c r="Z92" s="2141"/>
      <c r="AA92" s="2141"/>
      <c r="AB92" s="2141"/>
      <c r="AC92" s="2141"/>
    </row>
    <row r="93" spans="1:29" ht="15.75" hidden="1" thickBot="1">
      <c r="A93" s="667"/>
      <c r="B93" s="676"/>
      <c r="C93" s="690"/>
      <c r="D93" s="669"/>
      <c r="E93" s="669"/>
      <c r="F93" s="669"/>
      <c r="G93" s="669"/>
      <c r="H93" s="669"/>
      <c r="I93" s="669"/>
      <c r="J93" s="669"/>
      <c r="K93" s="669"/>
      <c r="L93" s="669"/>
      <c r="M93" s="670"/>
      <c r="N93" s="2162"/>
      <c r="O93" s="2162"/>
      <c r="P93" s="2161"/>
      <c r="Q93" s="2154"/>
      <c r="R93" s="2141"/>
      <c r="S93" s="2141"/>
      <c r="T93" s="2141"/>
      <c r="U93" s="2141"/>
      <c r="V93" s="2141"/>
      <c r="W93" s="2141"/>
      <c r="X93" s="2141"/>
      <c r="Y93" s="2141"/>
      <c r="Z93" s="2141"/>
      <c r="AA93" s="2141"/>
      <c r="AB93" s="2141"/>
      <c r="AC93" s="2141"/>
    </row>
    <row r="94" spans="1:29" ht="15.75" hidden="1" thickTop="1">
      <c r="A94" s="667"/>
      <c r="B94" s="671">
        <f>B29</f>
        <v>0</v>
      </c>
      <c r="C94" s="686"/>
      <c r="D94" s="686"/>
      <c r="E94" s="686"/>
      <c r="F94" s="686"/>
      <c r="G94" s="716"/>
      <c r="H94" s="716"/>
      <c r="I94" s="716"/>
      <c r="J94" s="716"/>
      <c r="K94" s="717"/>
      <c r="L94" s="718"/>
      <c r="M94" s="719"/>
      <c r="N94" s="2160"/>
      <c r="O94" s="2160"/>
      <c r="P94" s="2161"/>
      <c r="Q94" s="2154"/>
      <c r="R94" s="2141"/>
      <c r="S94" s="2141"/>
      <c r="T94" s="2141"/>
      <c r="U94" s="2141"/>
      <c r="V94" s="2141"/>
      <c r="W94" s="2141"/>
      <c r="X94" s="2141"/>
      <c r="Y94" s="2141"/>
      <c r="Z94" s="2141"/>
      <c r="AA94" s="2141"/>
      <c r="AB94" s="2141"/>
      <c r="AC94" s="2141"/>
    </row>
    <row r="95" spans="1:29" ht="15.75" hidden="1" thickBot="1">
      <c r="A95" s="667"/>
      <c r="B95" s="676"/>
      <c r="C95" s="690"/>
      <c r="D95" s="690"/>
      <c r="E95" s="690"/>
      <c r="F95" s="690"/>
      <c r="G95" s="669"/>
      <c r="H95" s="669"/>
      <c r="I95" s="669"/>
      <c r="J95" s="669"/>
      <c r="K95" s="669"/>
      <c r="L95" s="669"/>
      <c r="M95" s="670"/>
      <c r="N95" s="2162"/>
      <c r="O95" s="2162"/>
      <c r="P95" s="2161"/>
      <c r="Q95" s="2154"/>
      <c r="R95" s="2141"/>
      <c r="S95" s="2141"/>
      <c r="T95" s="2141"/>
      <c r="U95" s="2141"/>
      <c r="V95" s="2141"/>
      <c r="W95" s="2141"/>
      <c r="X95" s="2141"/>
      <c r="Y95" s="2141"/>
      <c r="Z95" s="2141"/>
      <c r="AA95" s="2141"/>
      <c r="AB95" s="2141"/>
      <c r="AC95" s="2141"/>
    </row>
    <row r="96" spans="1:29" ht="15.75" hidden="1" thickTop="1">
      <c r="A96" s="667"/>
      <c r="B96" s="671">
        <f>B30</f>
        <v>0</v>
      </c>
      <c r="C96" s="686"/>
      <c r="D96" s="686"/>
      <c r="E96" s="686"/>
      <c r="F96" s="686"/>
      <c r="G96" s="716"/>
      <c r="H96" s="716"/>
      <c r="I96" s="716"/>
      <c r="J96" s="716"/>
      <c r="K96" s="717"/>
      <c r="L96" s="718"/>
      <c r="M96" s="719"/>
      <c r="N96" s="2160"/>
      <c r="O96" s="2160"/>
      <c r="P96" s="2161"/>
      <c r="Q96" s="2154"/>
      <c r="R96" s="2141"/>
      <c r="S96" s="2141"/>
      <c r="T96" s="2141"/>
      <c r="U96" s="2141"/>
      <c r="V96" s="2141"/>
      <c r="W96" s="2141"/>
      <c r="X96" s="2141"/>
      <c r="Y96" s="2141"/>
      <c r="Z96" s="2141"/>
      <c r="AA96" s="2141"/>
      <c r="AB96" s="2141"/>
      <c r="AC96" s="2141"/>
    </row>
    <row r="97" spans="1:29" ht="15.75" hidden="1" thickBot="1">
      <c r="A97" s="667"/>
      <c r="B97" s="676"/>
      <c r="C97" s="698"/>
      <c r="D97" s="698"/>
      <c r="E97" s="698"/>
      <c r="F97" s="698"/>
      <c r="G97" s="669"/>
      <c r="H97" s="669"/>
      <c r="I97" s="669"/>
      <c r="J97" s="669"/>
      <c r="K97" s="669"/>
      <c r="L97" s="669"/>
      <c r="M97" s="670"/>
      <c r="N97" s="2162"/>
      <c r="O97" s="2162"/>
      <c r="P97" s="2161"/>
      <c r="Q97" s="2154"/>
      <c r="R97" s="2141"/>
      <c r="S97" s="2141"/>
      <c r="T97" s="2141"/>
      <c r="U97" s="2141"/>
      <c r="V97" s="2141"/>
      <c r="W97" s="2141"/>
      <c r="X97" s="2141"/>
      <c r="Y97" s="2141"/>
      <c r="Z97" s="2141"/>
      <c r="AA97" s="2141"/>
      <c r="AB97" s="2141"/>
      <c r="AC97" s="2141"/>
    </row>
    <row r="98" spans="1:29" ht="15.75" hidden="1" thickTop="1">
      <c r="A98" s="667"/>
      <c r="B98" s="679">
        <f>B31</f>
        <v>0</v>
      </c>
      <c r="C98" s="720"/>
      <c r="D98" s="720"/>
      <c r="E98" s="720"/>
      <c r="F98" s="720"/>
      <c r="G98" s="720"/>
      <c r="H98" s="720"/>
      <c r="I98" s="720"/>
      <c r="J98" s="720"/>
      <c r="K98" s="721"/>
      <c r="L98" s="722"/>
      <c r="M98" s="723"/>
      <c r="N98" s="2160"/>
      <c r="O98" s="2160"/>
      <c r="P98" s="2161"/>
      <c r="Q98" s="2154"/>
      <c r="R98" s="2141"/>
      <c r="S98" s="2141"/>
      <c r="T98" s="2141"/>
      <c r="U98" s="2141"/>
      <c r="V98" s="2141"/>
      <c r="W98" s="2141"/>
      <c r="X98" s="2141"/>
      <c r="Y98" s="2141"/>
      <c r="Z98" s="2141"/>
      <c r="AA98" s="2141"/>
      <c r="AB98" s="2141"/>
      <c r="AC98" s="2141"/>
    </row>
    <row r="99" spans="1:29" ht="15.75" hidden="1" thickBot="1">
      <c r="A99" s="890"/>
      <c r="B99" s="697"/>
      <c r="C99" s="724"/>
      <c r="D99" s="724"/>
      <c r="E99" s="724"/>
      <c r="F99" s="724"/>
      <c r="G99" s="724"/>
      <c r="H99" s="724"/>
      <c r="I99" s="724"/>
      <c r="J99" s="724"/>
      <c r="K99" s="724"/>
      <c r="L99" s="724"/>
      <c r="M99" s="725"/>
      <c r="N99" s="2162"/>
      <c r="O99" s="2162"/>
      <c r="P99" s="2161"/>
      <c r="Q99" s="2154"/>
      <c r="R99" s="2141"/>
      <c r="S99" s="2141"/>
      <c r="T99" s="2141"/>
      <c r="U99" s="2141"/>
      <c r="V99" s="2141"/>
      <c r="W99" s="2141"/>
      <c r="X99" s="2141"/>
      <c r="Y99" s="2141"/>
      <c r="Z99" s="2141"/>
      <c r="AA99" s="2141"/>
      <c r="AB99" s="2141"/>
      <c r="AC99" s="2141"/>
    </row>
    <row r="100" spans="1:29" ht="15" thickTop="1">
      <c r="A100" s="662" t="s">
        <v>551</v>
      </c>
      <c r="B100" s="663" t="s">
        <v>747</v>
      </c>
      <c r="C100" s="3388" t="s">
        <v>3422</v>
      </c>
      <c r="D100" s="3388" t="s">
        <v>3423</v>
      </c>
      <c r="E100" s="596"/>
      <c r="F100" s="596"/>
      <c r="G100" s="596"/>
      <c r="H100" s="596"/>
      <c r="I100" s="596"/>
      <c r="J100" s="596"/>
      <c r="K100" s="664"/>
      <c r="L100" s="665"/>
      <c r="M100" s="666"/>
      <c r="N100" s="2160"/>
      <c r="O100" s="2160"/>
      <c r="P100" s="2161"/>
      <c r="Q100" s="2154"/>
      <c r="R100" s="2141"/>
      <c r="S100" s="2141"/>
      <c r="T100" s="2141"/>
      <c r="U100" s="2141"/>
      <c r="V100" s="2141"/>
      <c r="W100" s="2141"/>
      <c r="X100" s="2141"/>
      <c r="Y100" s="2141"/>
      <c r="Z100" s="2141"/>
      <c r="AA100" s="2141"/>
      <c r="AB100" s="2141"/>
      <c r="AC100" s="2141"/>
    </row>
    <row r="101" spans="1:29" ht="15.75" thickBot="1">
      <c r="A101" s="667"/>
      <c r="B101" s="676"/>
      <c r="C101" s="677">
        <v>100</v>
      </c>
      <c r="D101" s="677">
        <f t="shared" ref="D101:M101" si="22">C101-$K32</f>
        <v>98</v>
      </c>
      <c r="E101" s="677">
        <f t="shared" si="22"/>
        <v>96</v>
      </c>
      <c r="F101" s="677">
        <f t="shared" si="22"/>
        <v>94</v>
      </c>
      <c r="G101" s="677">
        <f t="shared" si="22"/>
        <v>92</v>
      </c>
      <c r="H101" s="677">
        <f t="shared" si="22"/>
        <v>90</v>
      </c>
      <c r="I101" s="677">
        <f t="shared" si="22"/>
        <v>88</v>
      </c>
      <c r="J101" s="677">
        <f t="shared" si="22"/>
        <v>86</v>
      </c>
      <c r="K101" s="677">
        <f t="shared" si="22"/>
        <v>84</v>
      </c>
      <c r="L101" s="677">
        <f t="shared" si="22"/>
        <v>82</v>
      </c>
      <c r="M101" s="677">
        <f t="shared" si="22"/>
        <v>80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7"/>
      <c r="B102" s="671" t="s">
        <v>748</v>
      </c>
      <c r="C102" s="706" t="str">
        <f>C103&amp;"(含)"&amp;"-"&amp;D103</f>
        <v>0(含)-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6" customFormat="1">
      <c r="A103" s="726"/>
      <c r="B103" s="727"/>
      <c r="C103" s="728">
        <v>0</v>
      </c>
      <c r="D103" s="728"/>
      <c r="E103" s="728"/>
      <c r="F103" s="728"/>
      <c r="G103" s="728"/>
      <c r="H103" s="728"/>
      <c r="I103" s="728"/>
      <c r="J103" s="729"/>
      <c r="K103" s="729"/>
      <c r="L103" s="730"/>
      <c r="M103" s="731"/>
      <c r="N103" s="2163"/>
      <c r="O103" s="2163"/>
      <c r="P103" s="2164"/>
      <c r="Q103" s="2165"/>
      <c r="R103" s="2166"/>
      <c r="S103" s="2166"/>
      <c r="T103" s="2166"/>
      <c r="U103" s="2166"/>
      <c r="V103" s="2166"/>
      <c r="W103" s="2166"/>
      <c r="X103" s="2166"/>
      <c r="Y103" s="2166"/>
      <c r="Z103" s="2166"/>
      <c r="AA103" s="2166"/>
      <c r="AB103" s="2166"/>
      <c r="AC103" s="2166"/>
    </row>
    <row r="104" spans="1:29" s="1336" customFormat="1" ht="15.75" thickBot="1">
      <c r="A104" s="685"/>
      <c r="B104" s="676"/>
      <c r="C104" s="690"/>
      <c r="D104" s="669"/>
      <c r="E104" s="669"/>
      <c r="F104" s="669"/>
      <c r="G104" s="669"/>
      <c r="H104" s="669"/>
      <c r="I104" s="669"/>
      <c r="J104" s="669"/>
      <c r="K104" s="669"/>
      <c r="L104" s="669"/>
      <c r="M104" s="669"/>
      <c r="N104" s="2162"/>
      <c r="O104" s="2162"/>
      <c r="P104" s="2164"/>
      <c r="Q104" s="2165"/>
      <c r="R104" s="2166"/>
      <c r="S104" s="2166"/>
      <c r="T104" s="2166"/>
      <c r="U104" s="2166"/>
      <c r="V104" s="2166"/>
      <c r="W104" s="2166"/>
      <c r="X104" s="2166"/>
      <c r="Y104" s="2166"/>
      <c r="Z104" s="2166"/>
      <c r="AA104" s="2166"/>
      <c r="AB104" s="2166"/>
      <c r="AC104" s="2166"/>
    </row>
    <row r="105" spans="1:29" ht="15" thickTop="1">
      <c r="A105" s="733"/>
      <c r="B105" s="671" t="s">
        <v>749</v>
      </c>
      <c r="C105" s="3381" t="s">
        <v>3424</v>
      </c>
      <c r="D105" s="686"/>
      <c r="E105" s="716"/>
      <c r="F105" s="716"/>
      <c r="G105" s="716"/>
      <c r="H105" s="716"/>
      <c r="I105" s="716"/>
      <c r="J105" s="716"/>
      <c r="K105" s="717"/>
      <c r="L105" s="718"/>
      <c r="M105" s="719"/>
      <c r="N105" s="2160"/>
      <c r="O105" s="2160"/>
      <c r="P105" s="2161"/>
      <c r="Q105" s="2154"/>
      <c r="R105" s="2141"/>
      <c r="S105" s="2141"/>
      <c r="T105" s="2141"/>
      <c r="U105" s="2141"/>
      <c r="V105" s="2141"/>
      <c r="W105" s="2141"/>
      <c r="X105" s="2141"/>
      <c r="Y105" s="2141"/>
      <c r="Z105" s="2141"/>
      <c r="AA105" s="2141"/>
      <c r="AB105" s="2141"/>
      <c r="AC105" s="2141"/>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3"/>
      <c r="B107" s="671" t="s">
        <v>750</v>
      </c>
      <c r="C107" s="3382" t="s">
        <v>3433</v>
      </c>
      <c r="D107" s="716"/>
      <c r="E107" s="716"/>
      <c r="F107" s="716"/>
      <c r="G107" s="716"/>
      <c r="H107" s="716"/>
      <c r="I107" s="716"/>
      <c r="J107" s="716"/>
      <c r="K107" s="717"/>
      <c r="L107" s="718"/>
      <c r="M107" s="719"/>
      <c r="N107" s="2160"/>
      <c r="O107" s="2160"/>
      <c r="P107" s="2161"/>
      <c r="Q107" s="2154"/>
      <c r="R107" s="2141"/>
      <c r="S107" s="2141"/>
      <c r="T107" s="2141"/>
      <c r="U107" s="2141"/>
      <c r="V107" s="2141"/>
      <c r="W107" s="2141"/>
      <c r="X107" s="2141"/>
      <c r="Y107" s="2141"/>
      <c r="Z107" s="2141"/>
      <c r="AA107" s="2141"/>
      <c r="AB107" s="2141"/>
      <c r="AC107" s="2141"/>
    </row>
    <row r="108" spans="1:29" ht="15.75"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3"/>
      <c r="B109" s="671" t="s">
        <v>751</v>
      </c>
      <c r="C109" s="3381" t="s">
        <v>3426</v>
      </c>
      <c r="D109" s="686"/>
      <c r="E109" s="686"/>
      <c r="F109" s="716"/>
      <c r="G109" s="716"/>
      <c r="H109" s="716"/>
      <c r="I109" s="716"/>
      <c r="J109" s="716"/>
      <c r="K109" s="717"/>
      <c r="L109" s="718"/>
      <c r="M109" s="719"/>
      <c r="N109" s="2160"/>
      <c r="O109" s="2160"/>
      <c r="P109" s="2161"/>
      <c r="Q109" s="2154"/>
      <c r="R109" s="2141"/>
      <c r="S109" s="2141"/>
      <c r="T109" s="2141"/>
      <c r="U109" s="2141"/>
      <c r="V109" s="2141"/>
      <c r="W109" s="2141"/>
      <c r="X109" s="2141"/>
      <c r="Y109" s="2141"/>
      <c r="Z109" s="2141"/>
      <c r="AA109" s="2141"/>
      <c r="AB109" s="2141"/>
      <c r="AC109" s="2141"/>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62"/>
      <c r="O110" s="2162"/>
      <c r="P110" s="2161"/>
      <c r="Q110" s="2154"/>
      <c r="R110" s="2141"/>
      <c r="S110" s="2141"/>
      <c r="T110" s="2141"/>
      <c r="U110" s="2141"/>
      <c r="V110" s="2141"/>
      <c r="W110" s="2141"/>
      <c r="X110" s="2141"/>
      <c r="Y110" s="2141"/>
      <c r="Z110" s="2141"/>
      <c r="AA110" s="2141"/>
      <c r="AB110" s="2141"/>
      <c r="AC110" s="2141"/>
    </row>
    <row r="111" spans="1:29" s="1336"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3"/>
      <c r="O111" s="2163"/>
      <c r="P111" s="2164"/>
      <c r="Q111" s="2165"/>
      <c r="R111" s="2166"/>
      <c r="S111" s="2166"/>
      <c r="T111" s="2166"/>
      <c r="U111" s="2166"/>
      <c r="V111" s="2166"/>
      <c r="W111" s="2166"/>
      <c r="X111" s="2166"/>
      <c r="Y111" s="2166"/>
      <c r="Z111" s="2166"/>
      <c r="AA111" s="2166"/>
      <c r="AB111" s="2166"/>
      <c r="AC111" s="2166"/>
    </row>
    <row r="112" spans="1:29" s="1336" customFormat="1">
      <c r="A112" s="726"/>
      <c r="B112" s="679"/>
      <c r="C112" s="891">
        <v>0.5</v>
      </c>
      <c r="D112" s="891">
        <v>0.6</v>
      </c>
      <c r="E112" s="891">
        <v>0.7</v>
      </c>
      <c r="F112" s="891">
        <v>0.8</v>
      </c>
      <c r="G112" s="891">
        <v>0.9</v>
      </c>
      <c r="H112" s="891">
        <v>1.0001</v>
      </c>
      <c r="I112" s="891"/>
      <c r="J112" s="892"/>
      <c r="K112" s="892"/>
      <c r="L112" s="893"/>
      <c r="M112" s="894"/>
      <c r="N112" s="2163"/>
      <c r="O112" s="2163"/>
      <c r="P112" s="2164"/>
      <c r="Q112" s="2165"/>
      <c r="R112" s="2166"/>
      <c r="S112" s="2166"/>
      <c r="T112" s="2166"/>
      <c r="U112" s="2166"/>
      <c r="V112" s="2166"/>
      <c r="W112" s="2166"/>
      <c r="X112" s="2166"/>
      <c r="Y112" s="2166"/>
      <c r="Z112" s="2166"/>
      <c r="AA112" s="2166"/>
      <c r="AB112" s="2166"/>
      <c r="AC112" s="2166"/>
    </row>
    <row r="113" spans="1:29" s="1336"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63"/>
      <c r="O113" s="2163"/>
      <c r="P113" s="2164"/>
      <c r="Q113" s="2165"/>
      <c r="R113" s="2166"/>
      <c r="S113" s="2166"/>
      <c r="T113" s="2166"/>
      <c r="U113" s="2166"/>
      <c r="V113" s="2166"/>
      <c r="W113" s="2166"/>
      <c r="X113" s="2166"/>
      <c r="Y113" s="2166"/>
      <c r="Z113" s="2166"/>
      <c r="AA113" s="2166"/>
      <c r="AB113" s="2166"/>
      <c r="AC113" s="2166"/>
    </row>
    <row r="114" spans="1:29" ht="15" thickTop="1">
      <c r="A114" s="733"/>
      <c r="B114" s="671" t="s">
        <v>753</v>
      </c>
      <c r="C114" s="3381" t="s">
        <v>3428</v>
      </c>
      <c r="D114" s="686"/>
      <c r="E114" s="716"/>
      <c r="F114" s="716"/>
      <c r="G114" s="716"/>
      <c r="H114" s="716"/>
      <c r="I114" s="716"/>
      <c r="J114" s="716"/>
      <c r="K114" s="717"/>
      <c r="L114" s="718"/>
      <c r="M114" s="719"/>
      <c r="N114" s="2160"/>
      <c r="O114" s="2160"/>
      <c r="P114" s="2161"/>
      <c r="Q114" s="2154"/>
      <c r="R114" s="2141"/>
      <c r="S114" s="2141"/>
      <c r="T114" s="2141"/>
      <c r="U114" s="2141"/>
      <c r="V114" s="2141"/>
      <c r="W114" s="2141"/>
      <c r="X114" s="2141"/>
      <c r="Y114" s="2141"/>
      <c r="Z114" s="2141"/>
      <c r="AA114" s="2141"/>
      <c r="AB114" s="2141"/>
      <c r="AC114" s="2141"/>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3"/>
      <c r="B116" s="1892" t="s">
        <v>2556</v>
      </c>
      <c r="C116" s="3381" t="s">
        <v>3429</v>
      </c>
      <c r="D116" s="686"/>
      <c r="E116" s="686"/>
      <c r="F116" s="686"/>
      <c r="G116" s="686"/>
      <c r="H116" s="716"/>
      <c r="I116" s="716"/>
      <c r="J116" s="716"/>
      <c r="K116" s="717"/>
      <c r="L116" s="718"/>
      <c r="M116" s="719"/>
      <c r="N116" s="2160"/>
      <c r="O116" s="2160"/>
      <c r="P116" s="2161"/>
      <c r="Q116" s="2154"/>
      <c r="R116" s="2141"/>
      <c r="S116" s="2141"/>
      <c r="T116" s="2141"/>
      <c r="U116" s="2141"/>
      <c r="V116" s="2141"/>
      <c r="W116" s="2141"/>
      <c r="X116" s="2141"/>
      <c r="Y116" s="2141"/>
      <c r="Z116" s="2141"/>
      <c r="AA116" s="2141"/>
      <c r="AB116" s="2141"/>
      <c r="AC116" s="2141"/>
    </row>
    <row r="117" spans="1:29" ht="15.75" thickBot="1">
      <c r="A117" s="667"/>
      <c r="B117" s="676"/>
      <c r="C117" s="677">
        <v>100</v>
      </c>
      <c r="D117" s="677">
        <f>C117-$K39</f>
        <v>98</v>
      </c>
      <c r="E117" s="677">
        <f>D117-$K39</f>
        <v>96</v>
      </c>
      <c r="F117" s="677">
        <f>E117-$K39</f>
        <v>94</v>
      </c>
      <c r="G117" s="677">
        <f>F117-$K39</f>
        <v>92</v>
      </c>
      <c r="H117" s="677"/>
      <c r="I117" s="677"/>
      <c r="J117" s="677"/>
      <c r="K117" s="677"/>
      <c r="L117" s="677"/>
      <c r="M117" s="678"/>
      <c r="N117" s="2162"/>
      <c r="O117" s="2162"/>
      <c r="P117" s="2161"/>
      <c r="Q117" s="2154"/>
      <c r="R117" s="2141"/>
      <c r="S117" s="2141"/>
      <c r="T117" s="2141"/>
      <c r="U117" s="2141"/>
      <c r="V117" s="2141"/>
      <c r="W117" s="2141"/>
      <c r="X117" s="2141"/>
      <c r="Y117" s="2141"/>
      <c r="Z117" s="2141"/>
      <c r="AA117" s="2141"/>
      <c r="AB117" s="2141"/>
      <c r="AC117" s="2141"/>
    </row>
    <row r="118" spans="1:29" ht="15" thickTop="1">
      <c r="A118" s="733"/>
      <c r="B118" s="671" t="s">
        <v>754</v>
      </c>
      <c r="C118" s="3382" t="s">
        <v>3431</v>
      </c>
      <c r="D118" s="716"/>
      <c r="E118" s="716"/>
      <c r="F118" s="716"/>
      <c r="G118" s="716"/>
      <c r="H118" s="716"/>
      <c r="I118" s="716"/>
      <c r="J118" s="716"/>
      <c r="K118" s="717"/>
      <c r="L118" s="718"/>
      <c r="M118" s="719"/>
      <c r="N118" s="2160"/>
      <c r="O118" s="2160"/>
      <c r="P118" s="2161"/>
      <c r="Q118" s="2154"/>
      <c r="R118" s="2141"/>
      <c r="S118" s="2141"/>
      <c r="T118" s="2141"/>
      <c r="U118" s="2141"/>
      <c r="V118" s="2141"/>
      <c r="W118" s="2141"/>
      <c r="X118" s="2141"/>
      <c r="Y118" s="2141"/>
      <c r="Z118" s="2141"/>
      <c r="AA118" s="2141"/>
      <c r="AB118" s="2141"/>
      <c r="AC118" s="2141"/>
    </row>
    <row r="119" spans="1:29" ht="15.75" thickBot="1">
      <c r="A119" s="667"/>
      <c r="B119" s="676"/>
      <c r="C119" s="677">
        <v>100</v>
      </c>
      <c r="D119" s="677">
        <f t="shared" ref="D119:M119" si="28">C119-$K40</f>
        <v>95</v>
      </c>
      <c r="E119" s="677">
        <f t="shared" si="28"/>
        <v>90</v>
      </c>
      <c r="F119" s="677">
        <f t="shared" si="28"/>
        <v>85</v>
      </c>
      <c r="G119" s="677">
        <f t="shared" si="28"/>
        <v>80</v>
      </c>
      <c r="H119" s="677">
        <f t="shared" si="28"/>
        <v>75</v>
      </c>
      <c r="I119" s="677">
        <f t="shared" si="28"/>
        <v>70</v>
      </c>
      <c r="J119" s="677">
        <f t="shared" si="28"/>
        <v>65</v>
      </c>
      <c r="K119" s="677">
        <f t="shared" si="28"/>
        <v>60</v>
      </c>
      <c r="L119" s="677">
        <f t="shared" si="28"/>
        <v>55</v>
      </c>
      <c r="M119" s="677">
        <f t="shared" si="28"/>
        <v>50</v>
      </c>
      <c r="N119" s="2162"/>
      <c r="O119" s="2162"/>
      <c r="P119" s="2161"/>
      <c r="Q119" s="2154"/>
      <c r="R119" s="2141"/>
      <c r="S119" s="2141"/>
      <c r="T119" s="2141"/>
      <c r="U119" s="2141"/>
      <c r="V119" s="2141"/>
      <c r="W119" s="2141"/>
      <c r="X119" s="2141"/>
      <c r="Y119" s="2141"/>
      <c r="Z119" s="2141"/>
      <c r="AA119" s="2141"/>
      <c r="AB119" s="2141"/>
      <c r="AC119" s="2141"/>
    </row>
    <row r="120" spans="1:29" s="1336" customFormat="1" ht="28.5" thickTop="1">
      <c r="A120" s="726"/>
      <c r="B120" s="671" t="s">
        <v>733</v>
      </c>
      <c r="C120" s="686"/>
      <c r="D120" s="686"/>
      <c r="E120" s="686"/>
      <c r="F120" s="686"/>
      <c r="G120" s="686"/>
      <c r="H120" s="686"/>
      <c r="I120" s="686"/>
      <c r="J120" s="686"/>
      <c r="K120" s="686"/>
      <c r="L120" s="887"/>
      <c r="M120" s="888"/>
      <c r="N120" s="2163"/>
      <c r="O120" s="2163"/>
      <c r="P120" s="2164"/>
      <c r="Q120" s="2165"/>
      <c r="R120" s="2166"/>
      <c r="S120" s="2166"/>
      <c r="T120" s="2166"/>
      <c r="U120" s="2166"/>
      <c r="V120" s="2166"/>
      <c r="W120" s="2166"/>
      <c r="X120" s="2166"/>
      <c r="Y120" s="2166"/>
      <c r="Z120" s="2166"/>
      <c r="AA120" s="2166"/>
      <c r="AB120" s="2166"/>
      <c r="AC120" s="2166"/>
    </row>
    <row r="121" spans="1:29" s="1336" customFormat="1" ht="15.75" thickBot="1">
      <c r="A121" s="685"/>
      <c r="B121" s="668"/>
      <c r="C121" s="690"/>
      <c r="D121" s="669"/>
      <c r="E121" s="669"/>
      <c r="F121" s="669"/>
      <c r="G121" s="669"/>
      <c r="H121" s="669"/>
      <c r="I121" s="669"/>
      <c r="J121" s="669"/>
      <c r="K121" s="669"/>
      <c r="L121" s="669"/>
      <c r="M121" s="669"/>
      <c r="N121" s="2163"/>
      <c r="O121" s="2163"/>
      <c r="P121" s="2164"/>
      <c r="Q121" s="2165"/>
      <c r="R121" s="2166"/>
      <c r="S121" s="2166"/>
      <c r="T121" s="2166"/>
      <c r="U121" s="2166"/>
      <c r="V121" s="2166"/>
      <c r="W121" s="2166"/>
      <c r="X121" s="2166"/>
      <c r="Y121" s="2166"/>
      <c r="Z121" s="2166"/>
      <c r="AA121" s="2166"/>
      <c r="AB121" s="2166"/>
      <c r="AC121" s="2166"/>
    </row>
    <row r="122" spans="1:29" ht="15" thickTop="1">
      <c r="A122" s="733"/>
      <c r="B122" s="671" t="s">
        <v>755</v>
      </c>
      <c r="C122" s="3381" t="s">
        <v>3426</v>
      </c>
      <c r="D122" s="686"/>
      <c r="E122" s="686"/>
      <c r="F122" s="716"/>
      <c r="G122" s="716"/>
      <c r="H122" s="716"/>
      <c r="I122" s="716"/>
      <c r="J122" s="716"/>
      <c r="K122" s="717"/>
      <c r="L122" s="718"/>
      <c r="M122" s="719"/>
      <c r="N122" s="2160"/>
      <c r="O122" s="2160"/>
      <c r="P122" s="2161"/>
      <c r="Q122" s="2154"/>
      <c r="R122" s="2141"/>
      <c r="S122" s="2141"/>
      <c r="T122" s="2141"/>
      <c r="U122" s="2141"/>
      <c r="V122" s="2141"/>
      <c r="W122" s="2141"/>
      <c r="X122" s="2141"/>
      <c r="Y122" s="2141"/>
      <c r="Z122" s="2141"/>
      <c r="AA122" s="2141"/>
      <c r="AB122" s="2141"/>
      <c r="AC122" s="2141"/>
    </row>
    <row r="123" spans="1:29" ht="15.75" thickBot="1">
      <c r="A123" s="667"/>
      <c r="B123" s="676"/>
      <c r="C123" s="677">
        <v>100</v>
      </c>
      <c r="D123" s="677">
        <f t="shared" ref="D123:M123" si="29">C123-$K42</f>
        <v>95</v>
      </c>
      <c r="E123" s="677">
        <f t="shared" si="29"/>
        <v>90</v>
      </c>
      <c r="F123" s="677">
        <f t="shared" si="29"/>
        <v>85</v>
      </c>
      <c r="G123" s="677">
        <f t="shared" si="29"/>
        <v>80</v>
      </c>
      <c r="H123" s="677">
        <f t="shared" si="29"/>
        <v>75</v>
      </c>
      <c r="I123" s="677">
        <f t="shared" si="29"/>
        <v>70</v>
      </c>
      <c r="J123" s="677">
        <f t="shared" si="29"/>
        <v>65</v>
      </c>
      <c r="K123" s="677">
        <f t="shared" si="29"/>
        <v>60</v>
      </c>
      <c r="L123" s="677">
        <f t="shared" si="29"/>
        <v>55</v>
      </c>
      <c r="M123" s="677">
        <f t="shared" si="29"/>
        <v>50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0"/>
      <c r="O124" s="2160"/>
      <c r="P124" s="2164"/>
      <c r="Q124" s="2154"/>
      <c r="R124" s="2141"/>
      <c r="S124" s="2141"/>
      <c r="T124" s="2141"/>
      <c r="U124" s="2141"/>
      <c r="V124" s="2141"/>
      <c r="W124" s="2141"/>
      <c r="X124" s="2141"/>
      <c r="Y124" s="2141"/>
      <c r="Z124" s="2141"/>
      <c r="AA124" s="2141"/>
      <c r="AB124" s="2141"/>
      <c r="AC124" s="2141"/>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62"/>
      <c r="O125" s="2162"/>
      <c r="P125" s="2161"/>
      <c r="Q125" s="2154"/>
      <c r="R125" s="2141"/>
      <c r="S125" s="2141"/>
      <c r="T125" s="2141"/>
      <c r="U125" s="2141"/>
      <c r="V125" s="2141"/>
      <c r="W125" s="2141"/>
      <c r="X125" s="2141"/>
      <c r="Y125" s="2141"/>
      <c r="Z125" s="2141"/>
      <c r="AA125" s="2141"/>
      <c r="AB125" s="2141"/>
      <c r="AC125" s="2141"/>
    </row>
    <row r="126" spans="1:29" s="1336" customFormat="1" ht="15" hidden="1" thickTop="1">
      <c r="A126" s="726"/>
      <c r="B126" s="671">
        <f>B44</f>
        <v>0</v>
      </c>
      <c r="C126" s="686"/>
      <c r="D126" s="686"/>
      <c r="E126" s="686"/>
      <c r="F126" s="686"/>
      <c r="G126" s="686"/>
      <c r="H126" s="687"/>
      <c r="I126" s="687"/>
      <c r="J126" s="687"/>
      <c r="K126" s="687"/>
      <c r="L126" s="688"/>
      <c r="M126" s="689"/>
      <c r="N126" s="2163"/>
      <c r="O126" s="2163"/>
      <c r="P126" s="2164"/>
      <c r="Q126" s="2165"/>
      <c r="R126" s="2166"/>
      <c r="S126" s="2166"/>
      <c r="T126" s="2166"/>
      <c r="U126" s="2166"/>
      <c r="V126" s="2166"/>
      <c r="W126" s="2166"/>
      <c r="X126" s="2166"/>
      <c r="Y126" s="2166"/>
      <c r="Z126" s="2166"/>
      <c r="AA126" s="2166"/>
      <c r="AB126" s="2166"/>
      <c r="AC126" s="2166"/>
    </row>
    <row r="127" spans="1:29" s="1336" customFormat="1" ht="15.75" hidden="1" thickBot="1">
      <c r="A127" s="685"/>
      <c r="B127" s="676"/>
      <c r="C127" s="690"/>
      <c r="D127" s="669"/>
      <c r="E127" s="669"/>
      <c r="F127" s="669"/>
      <c r="G127" s="690"/>
      <c r="H127" s="691"/>
      <c r="I127" s="691"/>
      <c r="J127" s="691"/>
      <c r="K127" s="691"/>
      <c r="L127" s="691"/>
      <c r="M127" s="692"/>
      <c r="N127" s="2163"/>
      <c r="O127" s="2163"/>
      <c r="P127" s="2164"/>
      <c r="Q127" s="2165"/>
      <c r="R127" s="2166"/>
      <c r="S127" s="2166"/>
      <c r="T127" s="2166"/>
      <c r="U127" s="2166"/>
      <c r="V127" s="2166"/>
      <c r="W127" s="2166"/>
      <c r="X127" s="2166"/>
      <c r="Y127" s="2166"/>
      <c r="Z127" s="2166"/>
      <c r="AA127" s="2166"/>
      <c r="AB127" s="2166"/>
      <c r="AC127" s="2166"/>
    </row>
    <row r="128" spans="1:29" ht="15" hidden="1" thickTop="1">
      <c r="A128" s="733"/>
      <c r="B128" s="671">
        <f>B45</f>
        <v>0</v>
      </c>
      <c r="C128" s="686"/>
      <c r="D128" s="686"/>
      <c r="E128" s="686"/>
      <c r="F128" s="686"/>
      <c r="G128" s="716"/>
      <c r="H128" s="716"/>
      <c r="I128" s="716"/>
      <c r="J128" s="716"/>
      <c r="K128" s="717"/>
      <c r="L128" s="718"/>
      <c r="M128" s="719"/>
      <c r="N128" s="2160"/>
      <c r="O128" s="2160"/>
      <c r="P128" s="2161"/>
      <c r="Q128" s="2154"/>
      <c r="R128" s="2141"/>
      <c r="S128" s="2141"/>
      <c r="T128" s="2141"/>
      <c r="U128" s="2141"/>
      <c r="V128" s="2141"/>
      <c r="W128" s="2141"/>
      <c r="X128" s="2141"/>
      <c r="Y128" s="2141"/>
      <c r="Z128" s="2141"/>
      <c r="AA128" s="2141"/>
      <c r="AB128" s="2141"/>
      <c r="AC128" s="2141"/>
    </row>
    <row r="129" spans="1:29" ht="15.75" hidden="1" thickBot="1">
      <c r="A129" s="667"/>
      <c r="B129" s="676"/>
      <c r="C129" s="690"/>
      <c r="D129" s="690"/>
      <c r="E129" s="690"/>
      <c r="F129" s="690"/>
      <c r="G129" s="669"/>
      <c r="H129" s="669"/>
      <c r="I129" s="669"/>
      <c r="J129" s="669"/>
      <c r="K129" s="669"/>
      <c r="L129" s="669"/>
      <c r="M129" s="670"/>
      <c r="N129" s="2162"/>
      <c r="O129" s="2162"/>
      <c r="P129" s="2161"/>
      <c r="Q129" s="2154"/>
      <c r="R129" s="2141"/>
      <c r="S129" s="2141"/>
      <c r="T129" s="2141"/>
      <c r="U129" s="2141"/>
      <c r="V129" s="2141"/>
      <c r="W129" s="2141"/>
      <c r="X129" s="2141"/>
      <c r="Y129" s="2141"/>
      <c r="Z129" s="2141"/>
      <c r="AA129" s="2141"/>
      <c r="AB129" s="2141"/>
      <c r="AC129" s="2141"/>
    </row>
    <row r="130" spans="1:29" ht="15" hidden="1" thickTop="1">
      <c r="A130" s="733"/>
      <c r="B130" s="679">
        <f>B46</f>
        <v>0</v>
      </c>
      <c r="C130" s="686"/>
      <c r="D130" s="686"/>
      <c r="E130" s="686"/>
      <c r="F130" s="686"/>
      <c r="G130" s="720"/>
      <c r="H130" s="720"/>
      <c r="I130" s="720"/>
      <c r="J130" s="720"/>
      <c r="K130" s="659"/>
      <c r="L130" s="660"/>
      <c r="M130" s="723"/>
      <c r="N130" s="2160"/>
      <c r="O130" s="2160"/>
      <c r="P130" s="2161"/>
      <c r="Q130" s="2154"/>
      <c r="R130" s="2141"/>
      <c r="S130" s="2141"/>
      <c r="T130" s="2141"/>
      <c r="U130" s="2141"/>
      <c r="V130" s="2141"/>
      <c r="W130" s="2141"/>
      <c r="X130" s="2141"/>
      <c r="Y130" s="2141"/>
      <c r="Z130" s="2141"/>
      <c r="AA130" s="2141"/>
      <c r="AB130" s="2141"/>
      <c r="AC130" s="2141"/>
    </row>
    <row r="131" spans="1:29" ht="15.75" hidden="1" thickBot="1">
      <c r="A131" s="890"/>
      <c r="B131" s="697"/>
      <c r="C131" s="698"/>
      <c r="D131" s="698"/>
      <c r="E131" s="698"/>
      <c r="F131" s="698"/>
      <c r="G131" s="724"/>
      <c r="H131" s="724"/>
      <c r="I131" s="724"/>
      <c r="J131" s="724"/>
      <c r="K131" s="724"/>
      <c r="L131" s="724"/>
      <c r="M131" s="725"/>
      <c r="N131" s="2162"/>
      <c r="O131" s="2162"/>
      <c r="P131" s="2161"/>
      <c r="Q131" s="2154"/>
      <c r="R131" s="2141"/>
      <c r="S131" s="2141"/>
      <c r="T131" s="2141"/>
      <c r="U131" s="2141"/>
      <c r="V131" s="2141"/>
      <c r="W131" s="2141"/>
      <c r="X131" s="2141"/>
      <c r="Y131" s="2141"/>
      <c r="Z131" s="2141"/>
      <c r="AA131" s="2141"/>
      <c r="AB131" s="2141"/>
      <c r="AC131" s="2141"/>
    </row>
    <row r="132" spans="1:29" ht="15" thickTop="1">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2258</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2259</v>
      </c>
      <c r="C137" s="1915"/>
      <c r="D137" s="1915"/>
      <c r="E137" s="1915"/>
      <c r="F137" s="1915"/>
      <c r="G137" s="1916"/>
      <c r="H137" s="1917"/>
      <c r="I137" s="1918" t="s">
        <v>2260</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2261</v>
      </c>
      <c r="D138" s="1921" t="s">
        <v>2262</v>
      </c>
      <c r="E138" s="1922" t="s">
        <v>2263</v>
      </c>
      <c r="F138" s="1923" t="s">
        <v>2264</v>
      </c>
      <c r="G138" s="1921" t="s">
        <v>2265</v>
      </c>
      <c r="H138" s="1924" t="s">
        <v>2266</v>
      </c>
      <c r="I138" s="1925"/>
      <c r="J138" s="1921" t="s">
        <v>2267</v>
      </c>
      <c r="K138" s="1924" t="s">
        <v>2268</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2269</v>
      </c>
      <c r="E139" s="1895">
        <v>100</v>
      </c>
      <c r="F139" s="1896">
        <v>102.5</v>
      </c>
      <c r="G139" s="1926" t="s">
        <v>2270</v>
      </c>
      <c r="H139" s="1897">
        <v>105</v>
      </c>
      <c r="I139" s="1927" t="s">
        <v>2271</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2272</v>
      </c>
      <c r="J140" s="844">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2273</v>
      </c>
      <c r="J141" s="844">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2274</v>
      </c>
      <c r="J142" s="844">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2275</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2276</v>
      </c>
      <c r="E144" s="1901">
        <v>102</v>
      </c>
      <c r="F144" s="1907">
        <v>100</v>
      </c>
      <c r="G144" s="1930" t="s">
        <v>2276</v>
      </c>
      <c r="H144" s="1903">
        <v>105</v>
      </c>
      <c r="I144" s="1929" t="s">
        <v>2275</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2277</v>
      </c>
      <c r="C145" s="1908">
        <f>ROUND(MAX(C139:C144)/MIN(C139:C144)-1,3)</f>
        <v>7.2999999999999995E-2</v>
      </c>
      <c r="D145" s="1932"/>
      <c r="E145" s="1932"/>
      <c r="F145" s="1933" t="s">
        <v>2278</v>
      </c>
      <c r="G145" s="1934"/>
      <c r="H145" s="1935"/>
      <c r="I145" s="1936" t="s">
        <v>2275</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2287</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2288</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7" zoomScale="80" zoomScaleNormal="80" workbookViewId="0">
      <selection activeCell="K43" sqref="K43"/>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2619" t="s">
        <v>719</v>
      </c>
      <c r="C1" s="2620" t="s">
        <v>720</v>
      </c>
      <c r="D1" s="2621" t="s">
        <v>3171</v>
      </c>
      <c r="E1" s="2622"/>
      <c r="F1" s="2803" t="s">
        <v>3192</v>
      </c>
      <c r="G1" s="1596" t="s">
        <v>721</v>
      </c>
      <c r="H1" s="504"/>
      <c r="I1" s="504"/>
      <c r="J1" s="504"/>
      <c r="K1" s="505"/>
      <c r="L1" s="1557"/>
      <c r="M1" s="1558"/>
      <c r="N1" s="1558"/>
      <c r="O1" s="1558"/>
      <c r="P1" s="1559"/>
      <c r="Q1" s="1559"/>
      <c r="R1" s="1559"/>
      <c r="S1" s="1559"/>
      <c r="T1" s="1559"/>
      <c r="U1" s="1559"/>
      <c r="V1" s="1559"/>
      <c r="W1" s="1559"/>
      <c r="X1" s="1559"/>
      <c r="Y1" s="1559"/>
      <c r="Z1" s="1559"/>
      <c r="AA1" s="1559"/>
      <c r="AB1" s="1559"/>
      <c r="AC1" s="1560"/>
    </row>
    <row r="2" spans="1:29" s="1359" customFormat="1" ht="28.5" customHeight="1">
      <c r="A2" s="421" t="s">
        <v>467</v>
      </c>
      <c r="B2" s="2618">
        <f>ROUND(B3*D3/10000,0)</f>
        <v>77863</v>
      </c>
      <c r="C2" s="2123"/>
      <c r="D2" s="2123"/>
      <c r="E2" s="2123"/>
      <c r="F2" s="2197"/>
      <c r="G2" s="2123"/>
      <c r="H2" s="2123"/>
      <c r="I2" s="2123"/>
      <c r="J2" s="2123"/>
      <c r="K2" s="2198"/>
      <c r="L2" s="2199"/>
      <c r="M2" s="2200"/>
      <c r="N2" s="2200"/>
      <c r="O2" s="2200"/>
      <c r="P2" s="1597"/>
      <c r="Q2" s="1597"/>
      <c r="R2" s="1597"/>
      <c r="S2" s="1597"/>
      <c r="T2" s="1597"/>
      <c r="U2" s="1597"/>
      <c r="V2" s="1597"/>
      <c r="W2" s="1597"/>
      <c r="X2" s="1597"/>
      <c r="Y2" s="1597"/>
      <c r="Z2" s="1597"/>
      <c r="AA2" s="1597"/>
      <c r="AB2" s="1597"/>
      <c r="AC2" s="1598"/>
    </row>
    <row r="3" spans="1:29" s="1359" customFormat="1" ht="28.5" customHeight="1" thickBot="1">
      <c r="A3" s="507" t="s">
        <v>519</v>
      </c>
      <c r="B3" s="849">
        <f>C49</f>
        <v>19042</v>
      </c>
      <c r="C3" s="850" t="s">
        <v>722</v>
      </c>
      <c r="D3" s="849">
        <f>SUMIF('数据-汇总表'!$C19:$C33,D1,'数据-汇总表'!$E19:$E33)</f>
        <v>40890</v>
      </c>
      <c r="E3" s="2123"/>
      <c r="F3" s="2197"/>
      <c r="G3" s="2123"/>
      <c r="H3" s="2123"/>
      <c r="I3" s="2123"/>
      <c r="J3" s="2123"/>
      <c r="K3" s="2198"/>
      <c r="L3" s="2199"/>
      <c r="M3" s="2200"/>
      <c r="N3" s="2200"/>
      <c r="O3" s="2200"/>
      <c r="P3" s="1597"/>
      <c r="Q3" s="1597"/>
      <c r="R3" s="1597"/>
      <c r="S3" s="1597"/>
      <c r="T3" s="1597"/>
      <c r="U3" s="1597"/>
      <c r="V3" s="1597"/>
      <c r="W3" s="1597"/>
      <c r="X3" s="1597"/>
      <c r="Y3" s="1597"/>
      <c r="Z3" s="1597"/>
      <c r="AA3" s="1597"/>
      <c r="AB3" s="1597"/>
      <c r="AC3" s="1599"/>
    </row>
    <row r="4" spans="1:29" ht="15">
      <c r="A4" s="510" t="s">
        <v>521</v>
      </c>
      <c r="B4" s="511"/>
      <c r="C4" s="3685" t="s">
        <v>522</v>
      </c>
      <c r="D4" s="3686"/>
      <c r="E4" s="3710" t="s">
        <v>523</v>
      </c>
      <c r="F4" s="3711"/>
      <c r="G4" s="3685" t="s">
        <v>524</v>
      </c>
      <c r="H4" s="3686"/>
      <c r="I4" s="3685" t="s">
        <v>525</v>
      </c>
      <c r="J4" s="3686"/>
      <c r="K4" s="851" t="s">
        <v>526</v>
      </c>
      <c r="L4" s="2129"/>
      <c r="M4" s="2130"/>
      <c r="N4" s="2130"/>
      <c r="O4" s="2130"/>
      <c r="P4" s="3687" t="s">
        <v>527</v>
      </c>
      <c r="Q4" s="3688"/>
      <c r="R4" s="3673" t="s">
        <v>523</v>
      </c>
      <c r="S4" s="3674"/>
      <c r="T4" s="3673" t="s">
        <v>524</v>
      </c>
      <c r="U4" s="3674"/>
      <c r="V4" s="3693" t="s">
        <v>525</v>
      </c>
      <c r="W4" s="3693"/>
      <c r="X4" s="3182"/>
      <c r="Y4" s="3673" t="s">
        <v>527</v>
      </c>
      <c r="Z4" s="3674"/>
      <c r="AA4" s="3668" t="s">
        <v>523</v>
      </c>
      <c r="AB4" s="3668" t="s">
        <v>524</v>
      </c>
      <c r="AC4" s="3668" t="s">
        <v>525</v>
      </c>
    </row>
    <row r="5" spans="1:29" ht="15">
      <c r="A5" s="513"/>
      <c r="B5" s="514"/>
      <c r="C5" s="3696" t="s">
        <v>2928</v>
      </c>
      <c r="D5" s="3697"/>
      <c r="E5" s="3765" t="s">
        <v>3419</v>
      </c>
      <c r="F5" s="3766"/>
      <c r="G5" s="3767" t="s">
        <v>3419</v>
      </c>
      <c r="H5" s="3768"/>
      <c r="I5" s="3767" t="s">
        <v>3818</v>
      </c>
      <c r="J5" s="3768"/>
      <c r="K5" s="852"/>
      <c r="L5" s="2129"/>
      <c r="M5" s="2130"/>
      <c r="N5" s="2130"/>
      <c r="O5" s="2130"/>
      <c r="P5" s="3689"/>
      <c r="Q5" s="3690"/>
      <c r="R5" s="3675"/>
      <c r="S5" s="3676"/>
      <c r="T5" s="3675"/>
      <c r="U5" s="3676"/>
      <c r="V5" s="3693"/>
      <c r="W5" s="3693"/>
      <c r="X5" s="3182"/>
      <c r="Y5" s="3675"/>
      <c r="Z5" s="3676"/>
      <c r="AA5" s="3669"/>
      <c r="AB5" s="3669"/>
      <c r="AC5" s="3669"/>
    </row>
    <row r="6" spans="1:29" ht="15.75" thickBot="1">
      <c r="A6" s="515"/>
      <c r="B6" s="516"/>
      <c r="C6" s="3694" t="s">
        <v>2932</v>
      </c>
      <c r="D6" s="3695"/>
      <c r="E6" s="3769" t="s">
        <v>3815</v>
      </c>
      <c r="F6" s="3770"/>
      <c r="G6" s="3771" t="s">
        <v>3815</v>
      </c>
      <c r="H6" s="3772"/>
      <c r="I6" s="3773" t="s">
        <v>3816</v>
      </c>
      <c r="J6" s="3772"/>
      <c r="K6" s="852" t="s">
        <v>528</v>
      </c>
      <c r="L6" s="2129"/>
      <c r="M6" s="2130"/>
      <c r="N6" s="2130"/>
      <c r="O6" s="2130"/>
      <c r="P6" s="3691"/>
      <c r="Q6" s="3692"/>
      <c r="R6" s="3675"/>
      <c r="S6" s="3676"/>
      <c r="T6" s="3677"/>
      <c r="U6" s="3678"/>
      <c r="V6" s="3693"/>
      <c r="W6" s="3693"/>
      <c r="X6" s="3182"/>
      <c r="Y6" s="3677"/>
      <c r="Z6" s="3678"/>
      <c r="AA6" s="3670"/>
      <c r="AB6" s="3670"/>
      <c r="AC6" s="3670"/>
    </row>
    <row r="7" spans="1:29" s="1217" customFormat="1" ht="15.75" thickBot="1">
      <c r="A7" s="2908"/>
      <c r="B7" s="2915" t="s">
        <v>529</v>
      </c>
      <c r="C7" s="517">
        <f>'数据-取费表'!B2</f>
        <v>43346</v>
      </c>
      <c r="D7" s="518">
        <v>100</v>
      </c>
      <c r="E7" s="519">
        <v>43160</v>
      </c>
      <c r="F7" s="520">
        <f>SUMIF(58:58,YEAR(E7)&amp;"-"&amp;MONTH(E7),59:59)</f>
        <v>100</v>
      </c>
      <c r="G7" s="521">
        <f>E7</f>
        <v>43160</v>
      </c>
      <c r="H7" s="518">
        <f>SUMIF(58:58,YEAR(G7)&amp;"-"&amp;MONTH(G7),59:59)</f>
        <v>100</v>
      </c>
      <c r="I7" s="521">
        <v>43344</v>
      </c>
      <c r="J7" s="518">
        <f>SUMIF(58:58,YEAR(I7)&amp;"-"&amp;MONTH(I7),59:59)</f>
        <v>100</v>
      </c>
      <c r="K7" s="853"/>
      <c r="L7" s="2131"/>
      <c r="M7" s="2132"/>
      <c r="N7" s="2132"/>
      <c r="O7" s="2132"/>
      <c r="P7" s="3671" t="s">
        <v>530</v>
      </c>
      <c r="Q7" s="3680"/>
      <c r="R7" s="1563" t="s">
        <v>13</v>
      </c>
      <c r="S7" s="1564">
        <f t="shared" ref="S7:S15" si="0">F7</f>
        <v>100</v>
      </c>
      <c r="T7" s="1563" t="s">
        <v>13</v>
      </c>
      <c r="U7" s="1564">
        <f t="shared" ref="U7:U15" si="1">H7</f>
        <v>100</v>
      </c>
      <c r="V7" s="1563" t="s">
        <v>13</v>
      </c>
      <c r="W7" s="1564">
        <f t="shared" ref="W7:W15" si="2">J7</f>
        <v>100</v>
      </c>
      <c r="X7" s="1565"/>
      <c r="Y7" s="3671" t="s">
        <v>530</v>
      </c>
      <c r="Z7" s="3672"/>
      <c r="AA7" s="1566">
        <f>D7/F7</f>
        <v>1</v>
      </c>
      <c r="AB7" s="1566">
        <f>D7/H7</f>
        <v>1</v>
      </c>
      <c r="AC7" s="1566">
        <f>D7/J7</f>
        <v>1</v>
      </c>
    </row>
    <row r="8" spans="1:29" s="1217" customFormat="1" ht="15.75" thickBot="1">
      <c r="A8" s="2909"/>
      <c r="B8" s="2916" t="s">
        <v>531</v>
      </c>
      <c r="C8" s="523" t="s">
        <v>576</v>
      </c>
      <c r="D8" s="518">
        <v>100</v>
      </c>
      <c r="E8" s="854" t="s">
        <v>3398</v>
      </c>
      <c r="F8" s="520">
        <f>SUMIF(61:61,E8,62:62)-SUMIF(61:61,C8,62:62)+100</f>
        <v>100</v>
      </c>
      <c r="G8" s="523" t="s">
        <v>3398</v>
      </c>
      <c r="H8" s="518">
        <f>SUMIF(61:61,G8,62:62)-SUMIF(61:61,C8,62:62)+100</f>
        <v>100</v>
      </c>
      <c r="I8" s="854" t="s">
        <v>3398</v>
      </c>
      <c r="J8" s="518">
        <f>SUMIF(61:61,I8,62:62)-SUMIF(61:61,C8,62:62)+100</f>
        <v>100</v>
      </c>
      <c r="K8" s="853"/>
      <c r="L8" s="2131"/>
      <c r="M8" s="2132"/>
      <c r="N8" s="2132"/>
      <c r="O8" s="2132"/>
      <c r="P8" s="3671" t="s">
        <v>533</v>
      </c>
      <c r="Q8" s="3672"/>
      <c r="R8" s="1563" t="s">
        <v>13</v>
      </c>
      <c r="S8" s="1564">
        <f t="shared" si="0"/>
        <v>100</v>
      </c>
      <c r="T8" s="1563" t="s">
        <v>13</v>
      </c>
      <c r="U8" s="1564">
        <f t="shared" si="1"/>
        <v>100</v>
      </c>
      <c r="V8" s="1563" t="s">
        <v>13</v>
      </c>
      <c r="W8" s="1564">
        <f t="shared" si="2"/>
        <v>100</v>
      </c>
      <c r="X8" s="1565"/>
      <c r="Y8" s="3671" t="s">
        <v>533</v>
      </c>
      <c r="Z8" s="3672"/>
      <c r="AA8" s="1566">
        <f t="shared" ref="AA8:AA46" si="3">D8/F8</f>
        <v>1</v>
      </c>
      <c r="AB8" s="1566">
        <f t="shared" ref="AB8:AB46" si="4">D8/H8</f>
        <v>1</v>
      </c>
      <c r="AC8" s="1566">
        <f t="shared" ref="AC8:AC46" si="5">D8/J8</f>
        <v>1</v>
      </c>
    </row>
    <row r="9" spans="1:29" s="1217" customFormat="1" ht="15">
      <c r="A9" s="2910"/>
      <c r="B9" s="2917" t="s">
        <v>2755</v>
      </c>
      <c r="C9" s="3387" t="s">
        <v>3417</v>
      </c>
      <c r="D9" s="252">
        <v>100</v>
      </c>
      <c r="E9" s="856" t="s">
        <v>923</v>
      </c>
      <c r="F9" s="857">
        <f>SUMIF(63:63,E9,64:64)-SUMIF(63:63,C9,64:64)+100</f>
        <v>100</v>
      </c>
      <c r="G9" s="858" t="s">
        <v>923</v>
      </c>
      <c r="H9" s="252">
        <f>SUMIF(63:63,G9,64:64)-SUMIF(63:63,C9,64:64)+100</f>
        <v>100</v>
      </c>
      <c r="I9" s="856" t="s">
        <v>923</v>
      </c>
      <c r="J9" s="252">
        <f>SUMIF(63:63,I9,64:64)-SUMIF(63:63,C9,64:64)+100</f>
        <v>100</v>
      </c>
      <c r="K9" s="853"/>
      <c r="L9" s="2131"/>
      <c r="M9" s="2132"/>
      <c r="N9" s="2132"/>
      <c r="O9" s="2133"/>
      <c r="P9" s="3679" t="s">
        <v>535</v>
      </c>
      <c r="Q9" s="3177" t="str">
        <f t="shared" ref="Q9:Q15" si="6">B9</f>
        <v>用途</v>
      </c>
      <c r="R9" s="1563" t="s">
        <v>8</v>
      </c>
      <c r="S9" s="1564">
        <f t="shared" si="0"/>
        <v>100</v>
      </c>
      <c r="T9" s="1563" t="s">
        <v>8</v>
      </c>
      <c r="U9" s="1564">
        <f t="shared" si="1"/>
        <v>100</v>
      </c>
      <c r="V9" s="1563" t="s">
        <v>8</v>
      </c>
      <c r="W9" s="1564">
        <f t="shared" si="2"/>
        <v>100</v>
      </c>
      <c r="X9" s="1565"/>
      <c r="Y9" s="3636" t="s">
        <v>536</v>
      </c>
      <c r="Z9" s="3175" t="str">
        <f t="shared" ref="Z9:Z15" si="7">Q9</f>
        <v>用途</v>
      </c>
      <c r="AA9" s="1566">
        <f t="shared" si="3"/>
        <v>1</v>
      </c>
      <c r="AB9" s="1566">
        <f t="shared" si="4"/>
        <v>1</v>
      </c>
      <c r="AC9" s="1566">
        <f t="shared" si="5"/>
        <v>1</v>
      </c>
    </row>
    <row r="10" spans="1:29" s="1335" customFormat="1" ht="27">
      <c r="A10" s="2911"/>
      <c r="B10" s="2916" t="s">
        <v>2756</v>
      </c>
      <c r="C10" s="859" t="s">
        <v>3418</v>
      </c>
      <c r="D10" s="253">
        <v>100</v>
      </c>
      <c r="E10" s="860" t="s">
        <v>3418</v>
      </c>
      <c r="F10" s="861">
        <f>SUMIF(65:65,E10,66:66)-SUMIF(65:65,C10,66:66)+100</f>
        <v>100</v>
      </c>
      <c r="G10" s="859" t="s">
        <v>3418</v>
      </c>
      <c r="H10" s="253">
        <f>SUMIF(65:65,G10,66:66)-SUMIF(65:65,C10,66:66)+100</f>
        <v>100</v>
      </c>
      <c r="I10" s="860" t="s">
        <v>3418</v>
      </c>
      <c r="J10" s="253">
        <f>SUMIF(65:65,I10,66:66)-SUMIF(65:65,C10,66:66)+100</f>
        <v>100</v>
      </c>
      <c r="K10" s="862">
        <v>2</v>
      </c>
      <c r="L10" s="2134"/>
      <c r="M10" s="2174"/>
      <c r="N10" s="2174"/>
      <c r="O10" s="2135"/>
      <c r="P10" s="3679"/>
      <c r="Q10" s="3177" t="str">
        <f t="shared" si="6"/>
        <v>土地使用年限（年）</v>
      </c>
      <c r="R10" s="1563" t="s">
        <v>8</v>
      </c>
      <c r="S10" s="1564">
        <f t="shared" si="0"/>
        <v>100</v>
      </c>
      <c r="T10" s="1563" t="s">
        <v>8</v>
      </c>
      <c r="U10" s="1564">
        <f t="shared" si="1"/>
        <v>100</v>
      </c>
      <c r="V10" s="1563" t="s">
        <v>8</v>
      </c>
      <c r="W10" s="1564">
        <f t="shared" si="2"/>
        <v>100</v>
      </c>
      <c r="X10" s="1565"/>
      <c r="Y10" s="3636"/>
      <c r="Z10" s="3175" t="str">
        <f t="shared" si="7"/>
        <v>土地使用年限（年）</v>
      </c>
      <c r="AA10" s="1566">
        <f t="shared" si="3"/>
        <v>1</v>
      </c>
      <c r="AB10" s="1566">
        <f t="shared" si="4"/>
        <v>1</v>
      </c>
      <c r="AC10" s="1566">
        <f t="shared" si="5"/>
        <v>1</v>
      </c>
    </row>
    <row r="11" spans="1:29" ht="15.75" thickBot="1">
      <c r="A11" s="2912"/>
      <c r="B11" s="2916" t="s">
        <v>2757</v>
      </c>
      <c r="C11" s="531">
        <f>'数据-汇总表'!I6</f>
        <v>1.8</v>
      </c>
      <c r="D11" s="253">
        <v>100</v>
      </c>
      <c r="E11" s="532">
        <f>'不动产比较法-住宅（高层）'!E11</f>
        <v>1.5</v>
      </c>
      <c r="F11" s="861">
        <f>LOOKUP(E11,68:68,69:69)-LOOKUP(C11,68:68,69:69)+100</f>
        <v>100</v>
      </c>
      <c r="G11" s="531">
        <f>E11</f>
        <v>1.5</v>
      </c>
      <c r="H11" s="253">
        <f>LOOKUP(G11,68:68,69:69)-LOOKUP(C11,68:68,69:69)+100</f>
        <v>100</v>
      </c>
      <c r="I11" s="531">
        <f>'不动产比较法-住宅（高层）'!I11</f>
        <v>1.44</v>
      </c>
      <c r="J11" s="253">
        <f>LOOKUP(I11,68:68,69:69)-LOOKUP(C11,68:68,69:69)+100</f>
        <v>100</v>
      </c>
      <c r="K11" s="862">
        <v>1</v>
      </c>
      <c r="L11" s="2136"/>
      <c r="M11" s="2130"/>
      <c r="N11" s="2130"/>
      <c r="O11" s="2137"/>
      <c r="P11" s="3679"/>
      <c r="Q11" s="3177" t="str">
        <f t="shared" si="6"/>
        <v>容积率</v>
      </c>
      <c r="R11" s="1563" t="s">
        <v>11</v>
      </c>
      <c r="S11" s="1564">
        <f t="shared" si="0"/>
        <v>100</v>
      </c>
      <c r="T11" s="1563" t="s">
        <v>11</v>
      </c>
      <c r="U11" s="1564">
        <f t="shared" si="1"/>
        <v>100</v>
      </c>
      <c r="V11" s="1563" t="s">
        <v>11</v>
      </c>
      <c r="W11" s="1564">
        <f t="shared" si="2"/>
        <v>100</v>
      </c>
      <c r="X11" s="1565"/>
      <c r="Y11" s="3636"/>
      <c r="Z11" s="3175" t="str">
        <f t="shared" si="7"/>
        <v>容积率</v>
      </c>
      <c r="AA11" s="1566">
        <f t="shared" si="3"/>
        <v>1</v>
      </c>
      <c r="AB11" s="1566">
        <f t="shared" si="4"/>
        <v>1</v>
      </c>
      <c r="AC11" s="1566">
        <f t="shared" si="5"/>
        <v>1</v>
      </c>
    </row>
    <row r="12" spans="1:29" s="1217" customFormat="1" ht="15.75" hidden="1" thickBot="1">
      <c r="A12" s="2913"/>
      <c r="B12" s="2919"/>
      <c r="C12" s="526"/>
      <c r="D12" s="536">
        <v>100</v>
      </c>
      <c r="E12" s="526"/>
      <c r="F12" s="861">
        <f>SUMIF(70:70,E12,71:71)-SUMIF(70:70,C12,71:71)+100</f>
        <v>100</v>
      </c>
      <c r="G12" s="526"/>
      <c r="H12" s="253">
        <f>SUMIF(70:70,G12,71:71)-SUMIF(70:70,C12,71:71)+100</f>
        <v>100</v>
      </c>
      <c r="I12" s="526"/>
      <c r="J12" s="253">
        <f>SUMIF(70:70,I12,71:71)-SUMIF(70:70,C12,71:71)+100</f>
        <v>100</v>
      </c>
      <c r="K12" s="863"/>
      <c r="L12" s="2131"/>
      <c r="M12" s="2132"/>
      <c r="N12" s="2132"/>
      <c r="O12" s="2133"/>
      <c r="P12" s="3679"/>
      <c r="Q12" s="3177">
        <f t="shared" si="6"/>
        <v>0</v>
      </c>
      <c r="R12" s="1563" t="s">
        <v>11</v>
      </c>
      <c r="S12" s="1564">
        <f t="shared" si="0"/>
        <v>100</v>
      </c>
      <c r="T12" s="1563" t="s">
        <v>11</v>
      </c>
      <c r="U12" s="1564">
        <f t="shared" si="1"/>
        <v>100</v>
      </c>
      <c r="V12" s="1563" t="s">
        <v>11</v>
      </c>
      <c r="W12" s="1564">
        <f t="shared" si="2"/>
        <v>100</v>
      </c>
      <c r="X12" s="1565"/>
      <c r="Y12" s="3636"/>
      <c r="Z12" s="3175">
        <f t="shared" si="7"/>
        <v>0</v>
      </c>
      <c r="AA12" s="1566">
        <f>D12/F12</f>
        <v>1</v>
      </c>
      <c r="AB12" s="1566">
        <f>D12/H12</f>
        <v>1</v>
      </c>
      <c r="AC12" s="1566">
        <f>D12/J12</f>
        <v>1</v>
      </c>
    </row>
    <row r="13" spans="1:29" ht="15.75" hidden="1" thickBot="1">
      <c r="A13" s="2913"/>
      <c r="B13" s="2919"/>
      <c r="C13" s="537"/>
      <c r="D13" s="538">
        <v>100</v>
      </c>
      <c r="E13" s="537"/>
      <c r="F13" s="861">
        <f>SUMIF(72:72,E13,73:73)-SUMIF(72:72,C13,73:73)+100</f>
        <v>100</v>
      </c>
      <c r="G13" s="537"/>
      <c r="H13" s="538">
        <f>SUMIF(72:72,G13,73:73)-SUMIF(72:72,C13,73:73)+100</f>
        <v>100</v>
      </c>
      <c r="I13" s="537"/>
      <c r="J13" s="538">
        <f>SUMIF(72:72,I13,73:73)-SUMIF(72:72,C13,73:73)+100</f>
        <v>100</v>
      </c>
      <c r="K13" s="863"/>
      <c r="L13" s="2138"/>
      <c r="M13" s="2130"/>
      <c r="N13" s="2130"/>
      <c r="O13" s="2137"/>
      <c r="P13" s="3679"/>
      <c r="Q13" s="3177">
        <f t="shared" si="6"/>
        <v>0</v>
      </c>
      <c r="R13" s="1563" t="s">
        <v>11</v>
      </c>
      <c r="S13" s="1564">
        <f t="shared" si="0"/>
        <v>100</v>
      </c>
      <c r="T13" s="1563" t="s">
        <v>11</v>
      </c>
      <c r="U13" s="1564">
        <f t="shared" si="1"/>
        <v>100</v>
      </c>
      <c r="V13" s="1563" t="s">
        <v>11</v>
      </c>
      <c r="W13" s="1564">
        <f t="shared" si="2"/>
        <v>100</v>
      </c>
      <c r="X13" s="1565"/>
      <c r="Y13" s="3636"/>
      <c r="Z13" s="3175">
        <f t="shared" si="7"/>
        <v>0</v>
      </c>
      <c r="AA13" s="1566">
        <f t="shared" si="3"/>
        <v>1</v>
      </c>
      <c r="AB13" s="1566">
        <f t="shared" si="4"/>
        <v>1</v>
      </c>
      <c r="AC13" s="1566">
        <f t="shared" si="5"/>
        <v>1</v>
      </c>
    </row>
    <row r="14" spans="1:29" ht="15.75" hidden="1" thickBot="1">
      <c r="A14" s="2914"/>
      <c r="B14" s="2920"/>
      <c r="C14" s="543"/>
      <c r="D14" s="544">
        <v>100</v>
      </c>
      <c r="E14" s="543"/>
      <c r="F14" s="864">
        <f>SUMIF(74:74,E14,75:75)-SUMIF(74:74,C14,75:75)+100</f>
        <v>100</v>
      </c>
      <c r="G14" s="543"/>
      <c r="H14" s="544">
        <f>SUMIF(74:74,G14,75:75)-SUMIF(74:74,C14,75:75)+100</f>
        <v>100</v>
      </c>
      <c r="I14" s="543"/>
      <c r="J14" s="544">
        <f>SUMIF(74:74,I14,75:75)-SUMIF(74:74,C14,75:75)+100</f>
        <v>100</v>
      </c>
      <c r="K14" s="863"/>
      <c r="L14" s="2138"/>
      <c r="M14" s="2130"/>
      <c r="N14" s="2130"/>
      <c r="O14" s="2137"/>
      <c r="P14" s="3679"/>
      <c r="Q14" s="3177">
        <f t="shared" si="6"/>
        <v>0</v>
      </c>
      <c r="R14" s="1563" t="s">
        <v>11</v>
      </c>
      <c r="S14" s="1564">
        <f t="shared" si="0"/>
        <v>100</v>
      </c>
      <c r="T14" s="1563" t="s">
        <v>11</v>
      </c>
      <c r="U14" s="1564">
        <f t="shared" si="1"/>
        <v>100</v>
      </c>
      <c r="V14" s="1563" t="s">
        <v>11</v>
      </c>
      <c r="W14" s="1564">
        <f t="shared" si="2"/>
        <v>100</v>
      </c>
      <c r="X14" s="1565"/>
      <c r="Y14" s="3636"/>
      <c r="Z14" s="3175">
        <f t="shared" si="7"/>
        <v>0</v>
      </c>
      <c r="AA14" s="1566">
        <f t="shared" si="3"/>
        <v>1</v>
      </c>
      <c r="AB14" s="1566">
        <f t="shared" si="4"/>
        <v>1</v>
      </c>
      <c r="AC14" s="1566">
        <f t="shared" si="5"/>
        <v>1</v>
      </c>
    </row>
    <row r="15" spans="1:29" ht="99.75">
      <c r="A15" s="2906" t="s">
        <v>2753</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v>3</v>
      </c>
      <c r="L15" s="2138"/>
      <c r="M15" s="2130"/>
      <c r="N15" s="2130"/>
      <c r="O15" s="2137"/>
      <c r="P15" s="3681" t="s">
        <v>540</v>
      </c>
      <c r="Q15" s="3183" t="str">
        <f t="shared" si="6"/>
        <v>居住社区成熟度</v>
      </c>
      <c r="R15" s="1568" t="s">
        <v>11</v>
      </c>
      <c r="S15" s="1569">
        <f t="shared" si="0"/>
        <v>100</v>
      </c>
      <c r="T15" s="1568" t="s">
        <v>11</v>
      </c>
      <c r="U15" s="1569">
        <f t="shared" si="1"/>
        <v>100</v>
      </c>
      <c r="V15" s="1568" t="s">
        <v>11</v>
      </c>
      <c r="W15" s="1569">
        <f t="shared" si="2"/>
        <v>100</v>
      </c>
      <c r="X15" s="3182"/>
      <c r="Y15" s="3681" t="s">
        <v>540</v>
      </c>
      <c r="Z15" s="3184" t="str">
        <f t="shared" si="7"/>
        <v>居住社区成熟度</v>
      </c>
      <c r="AA15" s="3185">
        <f t="shared" si="3"/>
        <v>1</v>
      </c>
      <c r="AB15" s="3185">
        <f t="shared" si="4"/>
        <v>1</v>
      </c>
      <c r="AC15" s="3185">
        <f t="shared" si="5"/>
        <v>1</v>
      </c>
    </row>
    <row r="16" spans="1:29" ht="15">
      <c r="A16" s="530"/>
      <c r="B16" s="867"/>
      <c r="C16" s="574" t="s">
        <v>3404</v>
      </c>
      <c r="D16" s="553"/>
      <c r="E16" s="554" t="s">
        <v>3404</v>
      </c>
      <c r="F16" s="555"/>
      <c r="G16" s="556" t="s">
        <v>3404</v>
      </c>
      <c r="H16" s="557"/>
      <c r="I16" s="554" t="s">
        <v>3404</v>
      </c>
      <c r="J16" s="553"/>
      <c r="K16" s="868"/>
      <c r="L16" s="2138"/>
      <c r="M16" s="2130"/>
      <c r="N16" s="2130"/>
      <c r="O16" s="2137"/>
      <c r="P16" s="3682"/>
      <c r="Q16" s="3183"/>
      <c r="R16" s="1568"/>
      <c r="S16" s="1569"/>
      <c r="T16" s="1568"/>
      <c r="U16" s="1569"/>
      <c r="V16" s="1568"/>
      <c r="W16" s="1569"/>
      <c r="X16" s="3182"/>
      <c r="Y16" s="3682"/>
      <c r="Z16" s="3184"/>
      <c r="AA16" s="3185">
        <v>1</v>
      </c>
      <c r="AB16" s="3185">
        <v>1</v>
      </c>
      <c r="AC16" s="3185">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v>3</v>
      </c>
      <c r="L17" s="2138"/>
      <c r="M17" s="2130"/>
      <c r="N17" s="2130"/>
      <c r="O17" s="2137"/>
      <c r="P17" s="3682"/>
      <c r="Q17" s="3183" t="str">
        <f>B17</f>
        <v>交通便捷度</v>
      </c>
      <c r="R17" s="1568" t="s">
        <v>11</v>
      </c>
      <c r="S17" s="1569">
        <f>F17</f>
        <v>100</v>
      </c>
      <c r="T17" s="1568" t="s">
        <v>11</v>
      </c>
      <c r="U17" s="1569">
        <f>H17</f>
        <v>100</v>
      </c>
      <c r="V17" s="1568" t="s">
        <v>11</v>
      </c>
      <c r="W17" s="1569">
        <f>J17</f>
        <v>100</v>
      </c>
      <c r="X17" s="3182"/>
      <c r="Y17" s="3682"/>
      <c r="Z17" s="3184" t="str">
        <f>Q17</f>
        <v>交通便捷度</v>
      </c>
      <c r="AA17" s="3185">
        <f t="shared" si="3"/>
        <v>1</v>
      </c>
      <c r="AB17" s="3185">
        <f t="shared" si="4"/>
        <v>1</v>
      </c>
      <c r="AC17" s="3185">
        <f t="shared" si="5"/>
        <v>1</v>
      </c>
    </row>
    <row r="18" spans="1:29" ht="15">
      <c r="A18" s="530"/>
      <c r="B18" s="593"/>
      <c r="C18" s="871" t="s">
        <v>3404</v>
      </c>
      <c r="D18" s="557"/>
      <c r="E18" s="871" t="s">
        <v>3404</v>
      </c>
      <c r="F18" s="561"/>
      <c r="G18" s="871" t="s">
        <v>3404</v>
      </c>
      <c r="H18" s="553"/>
      <c r="I18" s="871" t="s">
        <v>3404</v>
      </c>
      <c r="J18" s="553"/>
      <c r="K18" s="868"/>
      <c r="L18" s="2138"/>
      <c r="M18" s="2130"/>
      <c r="N18" s="2130"/>
      <c r="O18" s="2137"/>
      <c r="P18" s="3682"/>
      <c r="Q18" s="3183"/>
      <c r="R18" s="1568"/>
      <c r="S18" s="1569"/>
      <c r="T18" s="1568"/>
      <c r="U18" s="1569"/>
      <c r="V18" s="1568"/>
      <c r="W18" s="1569"/>
      <c r="X18" s="3182"/>
      <c r="Y18" s="3682"/>
      <c r="Z18" s="3184"/>
      <c r="AA18" s="3185">
        <v>1</v>
      </c>
      <c r="AB18" s="3185">
        <v>1</v>
      </c>
      <c r="AC18" s="3185">
        <v>1</v>
      </c>
    </row>
    <row r="19" spans="1:29" ht="42.75">
      <c r="A19" s="530"/>
      <c r="B19" s="2596" t="s">
        <v>2546</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v>2</v>
      </c>
      <c r="L19" s="2138"/>
      <c r="M19" s="2130"/>
      <c r="N19" s="2130"/>
      <c r="O19" s="2137"/>
      <c r="P19" s="3682"/>
      <c r="Q19" s="3183" t="str">
        <f>B19</f>
        <v>公共配套设施</v>
      </c>
      <c r="R19" s="1568" t="s">
        <v>11</v>
      </c>
      <c r="S19" s="1569">
        <f>F19</f>
        <v>100</v>
      </c>
      <c r="T19" s="1568" t="s">
        <v>11</v>
      </c>
      <c r="U19" s="1569">
        <f>H19</f>
        <v>100</v>
      </c>
      <c r="V19" s="1568" t="s">
        <v>11</v>
      </c>
      <c r="W19" s="1569">
        <f>J19</f>
        <v>100</v>
      </c>
      <c r="X19" s="3182"/>
      <c r="Y19" s="3682"/>
      <c r="Z19" s="3184" t="str">
        <f>Q19</f>
        <v>公共配套设施</v>
      </c>
      <c r="AA19" s="3185">
        <f t="shared" si="3"/>
        <v>1</v>
      </c>
      <c r="AB19" s="3185">
        <f t="shared" si="4"/>
        <v>1</v>
      </c>
      <c r="AC19" s="3185">
        <f t="shared" si="5"/>
        <v>1</v>
      </c>
    </row>
    <row r="20" spans="1:29" ht="15">
      <c r="A20" s="530"/>
      <c r="B20" s="593"/>
      <c r="C20" s="574" t="s">
        <v>3404</v>
      </c>
      <c r="D20" s="553"/>
      <c r="E20" s="554" t="s">
        <v>3404</v>
      </c>
      <c r="F20" s="555"/>
      <c r="G20" s="556" t="s">
        <v>3404</v>
      </c>
      <c r="H20" s="553"/>
      <c r="I20" s="554" t="s">
        <v>3404</v>
      </c>
      <c r="J20" s="553"/>
      <c r="K20" s="868"/>
      <c r="L20" s="2138"/>
      <c r="M20" s="2130"/>
      <c r="N20" s="2130"/>
      <c r="O20" s="2137"/>
      <c r="P20" s="3682"/>
      <c r="Q20" s="3183"/>
      <c r="R20" s="1568"/>
      <c r="S20" s="1569"/>
      <c r="T20" s="1568"/>
      <c r="U20" s="1569"/>
      <c r="V20" s="1568"/>
      <c r="W20" s="1569"/>
      <c r="X20" s="3182"/>
      <c r="Y20" s="3682"/>
      <c r="Z20" s="3184"/>
      <c r="AA20" s="3185">
        <v>1</v>
      </c>
      <c r="AB20" s="3185">
        <v>1</v>
      </c>
      <c r="AC20" s="3185">
        <v>1</v>
      </c>
    </row>
    <row r="21" spans="1:29" ht="28.5">
      <c r="A21" s="530"/>
      <c r="B21" s="2589" t="s">
        <v>2547</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v>2</v>
      </c>
      <c r="L21" s="2138"/>
      <c r="M21" s="2130"/>
      <c r="N21" s="2130"/>
      <c r="O21" s="2137"/>
      <c r="P21" s="3682"/>
      <c r="Q21" s="3183" t="str">
        <f>B21</f>
        <v>基础设施水平</v>
      </c>
      <c r="R21" s="1568" t="s">
        <v>11</v>
      </c>
      <c r="S21" s="1569">
        <f>F21</f>
        <v>100</v>
      </c>
      <c r="T21" s="1568" t="s">
        <v>11</v>
      </c>
      <c r="U21" s="1569">
        <f>H21</f>
        <v>100</v>
      </c>
      <c r="V21" s="1568" t="s">
        <v>11</v>
      </c>
      <c r="W21" s="1569">
        <f>J21</f>
        <v>100</v>
      </c>
      <c r="X21" s="3182"/>
      <c r="Y21" s="3682"/>
      <c r="Z21" s="3184" t="str">
        <f>Q21</f>
        <v>基础设施水平</v>
      </c>
      <c r="AA21" s="3185">
        <f t="shared" ref="AA21" si="8">D21/F21</f>
        <v>1</v>
      </c>
      <c r="AB21" s="3185">
        <f t="shared" ref="AB21" si="9">D21/H21</f>
        <v>1</v>
      </c>
      <c r="AC21" s="3185">
        <f t="shared" ref="AC21" si="10">D21/J21</f>
        <v>1</v>
      </c>
    </row>
    <row r="22" spans="1:29" ht="15">
      <c r="A22" s="530"/>
      <c r="B22" s="919"/>
      <c r="C22" s="871" t="s">
        <v>3406</v>
      </c>
      <c r="D22" s="553"/>
      <c r="E22" s="871" t="s">
        <v>3406</v>
      </c>
      <c r="F22" s="555"/>
      <c r="G22" s="871" t="s">
        <v>3406</v>
      </c>
      <c r="H22" s="553"/>
      <c r="I22" s="871" t="s">
        <v>3406</v>
      </c>
      <c r="J22" s="553"/>
      <c r="K22" s="2595"/>
      <c r="L22" s="2138"/>
      <c r="M22" s="2130"/>
      <c r="N22" s="2130"/>
      <c r="O22" s="2137"/>
      <c r="P22" s="3682"/>
      <c r="Q22" s="3183"/>
      <c r="R22" s="1568"/>
      <c r="S22" s="1569"/>
      <c r="T22" s="1568"/>
      <c r="U22" s="1569"/>
      <c r="V22" s="1568"/>
      <c r="W22" s="1569"/>
      <c r="X22" s="3182"/>
      <c r="Y22" s="3682"/>
      <c r="Z22" s="3184"/>
      <c r="AA22" s="3185">
        <v>1</v>
      </c>
      <c r="AB22" s="3185">
        <v>1</v>
      </c>
      <c r="AC22" s="3185">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v>3</v>
      </c>
      <c r="L23" s="2138"/>
      <c r="M23" s="2130"/>
      <c r="N23" s="2130"/>
      <c r="O23" s="2137"/>
      <c r="P23" s="3682"/>
      <c r="Q23" s="3183" t="str">
        <f>B23</f>
        <v>自然及人文环境</v>
      </c>
      <c r="R23" s="1568" t="s">
        <v>11</v>
      </c>
      <c r="S23" s="1569">
        <f>F23</f>
        <v>100</v>
      </c>
      <c r="T23" s="1568" t="s">
        <v>11</v>
      </c>
      <c r="U23" s="1569">
        <f>H23</f>
        <v>100</v>
      </c>
      <c r="V23" s="1568" t="s">
        <v>11</v>
      </c>
      <c r="W23" s="1569">
        <f>J23</f>
        <v>100</v>
      </c>
      <c r="X23" s="3182"/>
      <c r="Y23" s="3682"/>
      <c r="Z23" s="3184" t="str">
        <f>Q23</f>
        <v>自然及人文环境</v>
      </c>
      <c r="AA23" s="3185">
        <f t="shared" si="3"/>
        <v>1</v>
      </c>
      <c r="AB23" s="3185">
        <f t="shared" si="4"/>
        <v>1</v>
      </c>
      <c r="AC23" s="3185">
        <f t="shared" si="5"/>
        <v>1</v>
      </c>
    </row>
    <row r="24" spans="1:29" ht="15.75" thickBot="1">
      <c r="A24" s="530"/>
      <c r="B24" s="593"/>
      <c r="C24" s="574" t="s">
        <v>3405</v>
      </c>
      <c r="D24" s="553"/>
      <c r="E24" s="574" t="s">
        <v>3405</v>
      </c>
      <c r="F24" s="555"/>
      <c r="G24" s="574" t="s">
        <v>3405</v>
      </c>
      <c r="H24" s="553"/>
      <c r="I24" s="574" t="s">
        <v>3405</v>
      </c>
      <c r="J24" s="553"/>
      <c r="K24" s="868"/>
      <c r="L24" s="2138"/>
      <c r="M24" s="2130"/>
      <c r="N24" s="2130"/>
      <c r="O24" s="2137"/>
      <c r="P24" s="3682"/>
      <c r="Q24" s="3183"/>
      <c r="R24" s="1568"/>
      <c r="S24" s="1569"/>
      <c r="T24" s="1568"/>
      <c r="U24" s="1569"/>
      <c r="V24" s="1568"/>
      <c r="W24" s="1569"/>
      <c r="X24" s="3182"/>
      <c r="Y24" s="3682"/>
      <c r="Z24" s="3184"/>
      <c r="AA24" s="3185">
        <v>1</v>
      </c>
      <c r="AB24" s="3185">
        <v>1</v>
      </c>
      <c r="AC24" s="3185">
        <v>1</v>
      </c>
    </row>
    <row r="25" spans="1:29" ht="15.75" hidden="1" thickBot="1">
      <c r="A25" s="530"/>
      <c r="B25" s="1891" t="s">
        <v>2256</v>
      </c>
      <c r="C25" s="572"/>
      <c r="D25" s="538">
        <v>100</v>
      </c>
      <c r="E25" s="872"/>
      <c r="F25" s="573">
        <f>SUMIF(86:86,E25,87:87)-SUMIF(86:86,C25,87:87)+100</f>
        <v>100</v>
      </c>
      <c r="G25" s="597"/>
      <c r="H25" s="538">
        <f>SUMIF(86:86,G25,87:87)-SUMIF(86:86,C25,87:87)+100</f>
        <v>100</v>
      </c>
      <c r="I25" s="872"/>
      <c r="J25" s="538">
        <f>SUMIF(86:86,I25,87:87)-SUMIF(86:86,C25,87:87)+100</f>
        <v>100</v>
      </c>
      <c r="K25" s="862"/>
      <c r="L25" s="2138"/>
      <c r="M25" s="2130"/>
      <c r="N25" s="2130"/>
      <c r="O25" s="2137"/>
      <c r="P25" s="3682"/>
      <c r="Q25" s="3183" t="str">
        <f t="shared" ref="Q25:Q46" si="11">B25</f>
        <v>楼层-1</v>
      </c>
      <c r="R25" s="1568" t="s">
        <v>11</v>
      </c>
      <c r="S25" s="1569">
        <f>F25</f>
        <v>100</v>
      </c>
      <c r="T25" s="1568" t="s">
        <v>11</v>
      </c>
      <c r="U25" s="1569">
        <f>H25</f>
        <v>100</v>
      </c>
      <c r="V25" s="1568" t="s">
        <v>11</v>
      </c>
      <c r="W25" s="1569">
        <f>J25</f>
        <v>100</v>
      </c>
      <c r="X25" s="3182"/>
      <c r="Y25" s="3682"/>
      <c r="Z25" s="3184" t="str">
        <f>Q25</f>
        <v>楼层-1</v>
      </c>
      <c r="AA25" s="3185">
        <f t="shared" si="3"/>
        <v>1</v>
      </c>
      <c r="AB25" s="3185">
        <f t="shared" si="4"/>
        <v>1</v>
      </c>
      <c r="AC25" s="3185">
        <f t="shared" si="5"/>
        <v>1</v>
      </c>
    </row>
    <row r="26" spans="1:29" ht="15.75" hidden="1" thickBot="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38"/>
      <c r="M26" s="2130"/>
      <c r="N26" s="2130"/>
      <c r="O26" s="2137"/>
      <c r="P26" s="3682"/>
      <c r="Q26" s="3183" t="str">
        <f t="shared" si="11"/>
        <v>朝向</v>
      </c>
      <c r="R26" s="1568" t="s">
        <v>11</v>
      </c>
      <c r="S26" s="1569">
        <f>F26</f>
        <v>100</v>
      </c>
      <c r="T26" s="1568" t="s">
        <v>11</v>
      </c>
      <c r="U26" s="1569">
        <f>H26</f>
        <v>100</v>
      </c>
      <c r="V26" s="1568" t="s">
        <v>11</v>
      </c>
      <c r="W26" s="1569">
        <f>J26</f>
        <v>100</v>
      </c>
      <c r="X26" s="3182"/>
      <c r="Y26" s="3682"/>
      <c r="Z26" s="3184" t="str">
        <f>Q26</f>
        <v>朝向</v>
      </c>
      <c r="AA26" s="3185">
        <f t="shared" si="3"/>
        <v>1</v>
      </c>
      <c r="AB26" s="3185">
        <f t="shared" si="4"/>
        <v>1</v>
      </c>
      <c r="AC26" s="3185">
        <f t="shared" si="5"/>
        <v>1</v>
      </c>
    </row>
    <row r="27" spans="1:29" s="1217" customFormat="1" ht="15.75" hidden="1" thickBot="1">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1"/>
      <c r="M27" s="2132"/>
      <c r="N27" s="2132"/>
      <c r="O27" s="2133"/>
      <c r="P27" s="3682"/>
      <c r="Q27" s="3177" t="str">
        <f t="shared" si="11"/>
        <v>道路级别</v>
      </c>
      <c r="R27" s="1563" t="s">
        <v>11</v>
      </c>
      <c r="S27" s="1564">
        <f>F27</f>
        <v>100</v>
      </c>
      <c r="T27" s="1563" t="s">
        <v>11</v>
      </c>
      <c r="U27" s="1564">
        <f>H27</f>
        <v>100</v>
      </c>
      <c r="V27" s="1563" t="s">
        <v>11</v>
      </c>
      <c r="W27" s="1564">
        <f>J27</f>
        <v>100</v>
      </c>
      <c r="X27" s="1565"/>
      <c r="Y27" s="3682"/>
      <c r="Z27" s="3175" t="str">
        <f>Q27</f>
        <v>道路级别</v>
      </c>
      <c r="AA27" s="3185">
        <f>D27/F27</f>
        <v>1</v>
      </c>
      <c r="AB27" s="3185">
        <f>D27/H27</f>
        <v>1</v>
      </c>
      <c r="AC27" s="3185">
        <f>D27/J27</f>
        <v>1</v>
      </c>
    </row>
    <row r="28" spans="1:29" ht="15.75" hidden="1" thickBot="1">
      <c r="A28" s="530"/>
      <c r="B28" s="875"/>
      <c r="C28" s="537"/>
      <c r="D28" s="538">
        <v>100</v>
      </c>
      <c r="E28" s="537"/>
      <c r="F28" s="573">
        <f>SUMIF(92:92,E28,93:93)-SUMIF(92:92,C28,93:93)+100</f>
        <v>100</v>
      </c>
      <c r="G28" s="537"/>
      <c r="H28" s="538">
        <f>SUMIF(92:92,G28,93:93)-SUMIF(92:92,C28,93:93)+100</f>
        <v>100</v>
      </c>
      <c r="I28" s="537"/>
      <c r="J28" s="538">
        <f>SUMIF(92:92,I28,93:93)-SUMIF(92:92,C28,93:93)+100</f>
        <v>100</v>
      </c>
      <c r="K28" s="863"/>
      <c r="L28" s="2138"/>
      <c r="M28" s="2130"/>
      <c r="N28" s="2130"/>
      <c r="O28" s="2137"/>
      <c r="P28" s="3682"/>
      <c r="Q28" s="3183">
        <f t="shared" si="11"/>
        <v>0</v>
      </c>
      <c r="R28" s="1568" t="s">
        <v>11</v>
      </c>
      <c r="S28" s="1569">
        <f t="shared" ref="S28:S46" si="12">F28</f>
        <v>100</v>
      </c>
      <c r="T28" s="1568" t="s">
        <v>11</v>
      </c>
      <c r="U28" s="1569">
        <f t="shared" ref="U28:U46" si="13">H28</f>
        <v>100</v>
      </c>
      <c r="V28" s="1568" t="s">
        <v>11</v>
      </c>
      <c r="W28" s="1569">
        <f t="shared" ref="W28:W46" si="14">J28</f>
        <v>100</v>
      </c>
      <c r="X28" s="3182"/>
      <c r="Y28" s="3682"/>
      <c r="Z28" s="3184">
        <f t="shared" ref="Z28:Z46" si="15">Q28</f>
        <v>0</v>
      </c>
      <c r="AA28" s="3185">
        <f t="shared" si="3"/>
        <v>1</v>
      </c>
      <c r="AB28" s="3185">
        <f t="shared" si="4"/>
        <v>1</v>
      </c>
      <c r="AC28" s="3185">
        <f t="shared" si="5"/>
        <v>1</v>
      </c>
    </row>
    <row r="29" spans="1:29" ht="15.75" hidden="1" thickBot="1">
      <c r="A29" s="530"/>
      <c r="B29" s="875"/>
      <c r="C29" s="537"/>
      <c r="D29" s="538">
        <v>100</v>
      </c>
      <c r="E29" s="537"/>
      <c r="F29" s="573">
        <f>SUMIF(94:94,E29,95:95)-SUMIF(94:94,C29,95:95)+100</f>
        <v>100</v>
      </c>
      <c r="G29" s="537"/>
      <c r="H29" s="538">
        <f>SUMIF(94:94,G29,95:95)-SUMIF(94:94,C29,95:95)+100</f>
        <v>100</v>
      </c>
      <c r="I29" s="537"/>
      <c r="J29" s="538">
        <f>SUMIF(94:94,I29,95:95)-SUMIF(94:94,C29,95:95)+100</f>
        <v>100</v>
      </c>
      <c r="K29" s="863"/>
      <c r="L29" s="2138"/>
      <c r="M29" s="2130"/>
      <c r="N29" s="2130"/>
      <c r="O29" s="2137"/>
      <c r="P29" s="3682"/>
      <c r="Q29" s="3183">
        <f t="shared" si="11"/>
        <v>0</v>
      </c>
      <c r="R29" s="1568" t="s">
        <v>11</v>
      </c>
      <c r="S29" s="1569">
        <f t="shared" si="12"/>
        <v>100</v>
      </c>
      <c r="T29" s="1568" t="s">
        <v>11</v>
      </c>
      <c r="U29" s="1569">
        <f t="shared" si="13"/>
        <v>100</v>
      </c>
      <c r="V29" s="1568" t="s">
        <v>11</v>
      </c>
      <c r="W29" s="1569">
        <f t="shared" si="14"/>
        <v>100</v>
      </c>
      <c r="X29" s="3182"/>
      <c r="Y29" s="3682"/>
      <c r="Z29" s="3184">
        <f t="shared" si="15"/>
        <v>0</v>
      </c>
      <c r="AA29" s="3185">
        <f t="shared" si="3"/>
        <v>1</v>
      </c>
      <c r="AB29" s="3185">
        <f t="shared" si="4"/>
        <v>1</v>
      </c>
      <c r="AC29" s="3185">
        <f t="shared" si="5"/>
        <v>1</v>
      </c>
    </row>
    <row r="30" spans="1:29" ht="15.75" hidden="1" thickBot="1">
      <c r="A30" s="530"/>
      <c r="B30" s="875"/>
      <c r="C30" s="537"/>
      <c r="D30" s="538">
        <v>100</v>
      </c>
      <c r="E30" s="537"/>
      <c r="F30" s="573">
        <f>SUMIF(96:96,E30,97:97)-SUMIF(96:96,C30,97:97)+100</f>
        <v>100</v>
      </c>
      <c r="G30" s="537"/>
      <c r="H30" s="538">
        <f>SUMIF(96:96,G30,97:97)-SUMIF(96:96,C30,97:97)+100</f>
        <v>100</v>
      </c>
      <c r="I30" s="537"/>
      <c r="J30" s="538">
        <f>SUMIF(96:96,I30,97:97)-SUMIF(96:96,C30,97:97)+100</f>
        <v>100</v>
      </c>
      <c r="K30" s="863"/>
      <c r="L30" s="2138"/>
      <c r="M30" s="2130"/>
      <c r="N30" s="2130"/>
      <c r="O30" s="2137"/>
      <c r="P30" s="3682"/>
      <c r="Q30" s="3183">
        <f t="shared" si="11"/>
        <v>0</v>
      </c>
      <c r="R30" s="1568" t="s">
        <v>11</v>
      </c>
      <c r="S30" s="1569">
        <f t="shared" si="12"/>
        <v>100</v>
      </c>
      <c r="T30" s="1568" t="s">
        <v>11</v>
      </c>
      <c r="U30" s="1569">
        <f t="shared" si="13"/>
        <v>100</v>
      </c>
      <c r="V30" s="1568" t="s">
        <v>11</v>
      </c>
      <c r="W30" s="1569">
        <f t="shared" si="14"/>
        <v>100</v>
      </c>
      <c r="X30" s="3182"/>
      <c r="Y30" s="3682"/>
      <c r="Z30" s="3184">
        <f t="shared" si="15"/>
        <v>0</v>
      </c>
      <c r="AA30" s="3185">
        <f t="shared" si="3"/>
        <v>1</v>
      </c>
      <c r="AB30" s="3185">
        <f t="shared" si="4"/>
        <v>1</v>
      </c>
      <c r="AC30" s="3185">
        <f t="shared" si="5"/>
        <v>1</v>
      </c>
    </row>
    <row r="31" spans="1:29" ht="15.75" hidden="1" thickBot="1">
      <c r="A31" s="541"/>
      <c r="B31" s="875"/>
      <c r="C31" s="543"/>
      <c r="D31" s="544">
        <v>100</v>
      </c>
      <c r="E31" s="543"/>
      <c r="F31" s="864">
        <f>SUMIF(98:98,E31,99:99)-SUMIF(98:98,C31,99:99)+100</f>
        <v>100</v>
      </c>
      <c r="G31" s="543"/>
      <c r="H31" s="544">
        <f>SUMIF(98:98,G31,99:99)-SUMIF(98:98,C31,99:99)+100</f>
        <v>100</v>
      </c>
      <c r="I31" s="543"/>
      <c r="J31" s="544">
        <f>SUMIF(98:98,I31,99:99)-SUMIF(98:98,C31,99:99)+100</f>
        <v>100</v>
      </c>
      <c r="K31" s="863"/>
      <c r="L31" s="2138"/>
      <c r="M31" s="2130"/>
      <c r="N31" s="2130"/>
      <c r="O31" s="2137"/>
      <c r="P31" s="3682"/>
      <c r="Q31" s="3183">
        <f t="shared" si="11"/>
        <v>0</v>
      </c>
      <c r="R31" s="1568" t="s">
        <v>11</v>
      </c>
      <c r="S31" s="1569">
        <f t="shared" si="12"/>
        <v>100</v>
      </c>
      <c r="T31" s="1568" t="s">
        <v>11</v>
      </c>
      <c r="U31" s="1569">
        <f t="shared" si="13"/>
        <v>100</v>
      </c>
      <c r="V31" s="1568" t="s">
        <v>11</v>
      </c>
      <c r="W31" s="1569">
        <f t="shared" si="14"/>
        <v>100</v>
      </c>
      <c r="X31" s="3182"/>
      <c r="Y31" s="3682"/>
      <c r="Z31" s="3184">
        <f t="shared" si="15"/>
        <v>0</v>
      </c>
      <c r="AA31" s="3185">
        <f t="shared" si="3"/>
        <v>1</v>
      </c>
      <c r="AB31" s="3185">
        <f t="shared" si="4"/>
        <v>1</v>
      </c>
      <c r="AC31" s="3185">
        <f t="shared" si="5"/>
        <v>1</v>
      </c>
    </row>
    <row r="32" spans="1:29" ht="15">
      <c r="A32" s="2903" t="s">
        <v>2754</v>
      </c>
      <c r="B32" s="172" t="s">
        <v>725</v>
      </c>
      <c r="C32" s="876" t="s">
        <v>3167</v>
      </c>
      <c r="D32" s="595">
        <v>100</v>
      </c>
      <c r="E32" s="876" t="s">
        <v>3435</v>
      </c>
      <c r="F32" s="573">
        <f>SUMIF(100:100,E32,101:101)-SUMIF(100:100,C32,101:101)+100</f>
        <v>85</v>
      </c>
      <c r="G32" s="876" t="s">
        <v>3167</v>
      </c>
      <c r="H32" s="595">
        <f>SUMIF(100:100,G32,101:101)-SUMIF(100:100,C32,101:101)+100</f>
        <v>100</v>
      </c>
      <c r="I32" s="876" t="s">
        <v>3435</v>
      </c>
      <c r="J32" s="538">
        <f>SUMIF(100:100,I32,101:101)-SUMIF(100:100,C32,101:101)+100</f>
        <v>85</v>
      </c>
      <c r="K32" s="862">
        <v>15</v>
      </c>
      <c r="L32" s="2138"/>
      <c r="M32" s="2130"/>
      <c r="N32" s="2130"/>
      <c r="O32" s="2137"/>
      <c r="P32" s="3683" t="s">
        <v>550</v>
      </c>
      <c r="Q32" s="3183" t="str">
        <f t="shared" si="11"/>
        <v>建筑类型</v>
      </c>
      <c r="R32" s="1568" t="s">
        <v>11</v>
      </c>
      <c r="S32" s="1569">
        <f t="shared" si="12"/>
        <v>85</v>
      </c>
      <c r="T32" s="1568" t="s">
        <v>11</v>
      </c>
      <c r="U32" s="1569">
        <f t="shared" si="13"/>
        <v>100</v>
      </c>
      <c r="V32" s="1568" t="s">
        <v>11</v>
      </c>
      <c r="W32" s="1569">
        <f t="shared" si="14"/>
        <v>85</v>
      </c>
      <c r="X32" s="3182"/>
      <c r="Y32" s="3684" t="s">
        <v>550</v>
      </c>
      <c r="Z32" s="3184" t="str">
        <f t="shared" si="15"/>
        <v>建筑类型</v>
      </c>
      <c r="AA32" s="3185">
        <f t="shared" si="3"/>
        <v>1.1764705882352942</v>
      </c>
      <c r="AB32" s="3185">
        <f t="shared" si="4"/>
        <v>1</v>
      </c>
      <c r="AC32" s="3185">
        <f t="shared" si="5"/>
        <v>1.1764705882352942</v>
      </c>
    </row>
    <row r="33" spans="1:29" s="1336" customFormat="1" ht="15">
      <c r="A33" s="601"/>
      <c r="B33" s="525" t="s">
        <v>726</v>
      </c>
      <c r="C33" s="877">
        <f>'数据-汇总表'!E3</f>
        <v>180792</v>
      </c>
      <c r="D33" s="253">
        <v>100</v>
      </c>
      <c r="E33" s="877">
        <f>'不动产比较法-住宅（高层）'!E33</f>
        <v>1700000</v>
      </c>
      <c r="F33" s="861">
        <f>LOOKUP(E33,103:103,104:104)-LOOKUP(C33,103:103,104:104)+100</f>
        <v>100</v>
      </c>
      <c r="G33" s="877">
        <f>E33</f>
        <v>1700000</v>
      </c>
      <c r="H33" s="253">
        <f>LOOKUP(G33,103:103,104:104)-LOOKUP(C33,103:103,104:104)+100</f>
        <v>100</v>
      </c>
      <c r="I33" s="877">
        <f>'不动产比较法-住宅（高层）'!I33</f>
        <v>679359.24</v>
      </c>
      <c r="J33" s="253">
        <f>LOOKUP(I33,103:103,104:104)-LOOKUP(C33,103:103,104:104)+100</f>
        <v>100</v>
      </c>
      <c r="K33" s="863"/>
      <c r="L33" s="2136"/>
      <c r="M33" s="2167"/>
      <c r="N33" s="2167"/>
      <c r="O33" s="2139"/>
      <c r="P33" s="3684"/>
      <c r="Q33" s="1600" t="str">
        <f t="shared" si="11"/>
        <v>项目建筑规模</v>
      </c>
      <c r="R33" s="1572" t="s">
        <v>11</v>
      </c>
      <c r="S33" s="1573">
        <f t="shared" si="12"/>
        <v>100</v>
      </c>
      <c r="T33" s="1572" t="s">
        <v>11</v>
      </c>
      <c r="U33" s="1573">
        <f t="shared" si="13"/>
        <v>100</v>
      </c>
      <c r="V33" s="1572" t="s">
        <v>11</v>
      </c>
      <c r="W33" s="1573">
        <f t="shared" si="14"/>
        <v>100</v>
      </c>
      <c r="X33" s="1574"/>
      <c r="Y33" s="3684"/>
      <c r="Z33" s="1575" t="str">
        <f t="shared" si="15"/>
        <v>项目建筑规模</v>
      </c>
      <c r="AA33" s="3185">
        <f t="shared" si="3"/>
        <v>1</v>
      </c>
      <c r="AB33" s="3185">
        <f t="shared" si="4"/>
        <v>1</v>
      </c>
      <c r="AC33" s="3185">
        <f t="shared" si="5"/>
        <v>1</v>
      </c>
    </row>
    <row r="34" spans="1:29" ht="15">
      <c r="A34" s="592"/>
      <c r="B34" s="525" t="s">
        <v>727</v>
      </c>
      <c r="C34" s="878" t="s">
        <v>3187</v>
      </c>
      <c r="D34" s="538">
        <v>100</v>
      </c>
      <c r="E34" s="878" t="s">
        <v>3187</v>
      </c>
      <c r="F34" s="573">
        <f>SUMIF(105:105,E34,106:106)-SUMIF(105:105,C34,106:106)+100</f>
        <v>100</v>
      </c>
      <c r="G34" s="878" t="s">
        <v>3187</v>
      </c>
      <c r="H34" s="538">
        <f>SUMIF(105:105,G34,106:106)-SUMIF(105:105,C34,106:106)+100</f>
        <v>100</v>
      </c>
      <c r="I34" s="878" t="s">
        <v>3187</v>
      </c>
      <c r="J34" s="538">
        <f>SUMIF(105:105,I34,106:106)-SUMIF(105:105,C34,106:106)+100</f>
        <v>100</v>
      </c>
      <c r="K34" s="862">
        <v>2</v>
      </c>
      <c r="L34" s="2138"/>
      <c r="M34" s="2130"/>
      <c r="N34" s="2130"/>
      <c r="O34" s="2137"/>
      <c r="P34" s="3684"/>
      <c r="Q34" s="3183" t="str">
        <f t="shared" si="11"/>
        <v>建筑结构</v>
      </c>
      <c r="R34" s="1568" t="s">
        <v>11</v>
      </c>
      <c r="S34" s="1569">
        <f t="shared" si="12"/>
        <v>100</v>
      </c>
      <c r="T34" s="1568" t="s">
        <v>11</v>
      </c>
      <c r="U34" s="1569">
        <f t="shared" si="13"/>
        <v>100</v>
      </c>
      <c r="V34" s="1568" t="s">
        <v>11</v>
      </c>
      <c r="W34" s="1569">
        <f t="shared" si="14"/>
        <v>100</v>
      </c>
      <c r="X34" s="3182"/>
      <c r="Y34" s="3684"/>
      <c r="Z34" s="3184" t="str">
        <f t="shared" si="15"/>
        <v>建筑结构</v>
      </c>
      <c r="AA34" s="3185">
        <f t="shared" si="3"/>
        <v>1</v>
      </c>
      <c r="AB34" s="3185">
        <f t="shared" si="4"/>
        <v>1</v>
      </c>
      <c r="AC34" s="3185">
        <f t="shared" si="5"/>
        <v>1</v>
      </c>
    </row>
    <row r="35" spans="1:29" ht="15">
      <c r="A35" s="592"/>
      <c r="B35" s="525" t="s">
        <v>728</v>
      </c>
      <c r="C35" s="597" t="s">
        <v>3432</v>
      </c>
      <c r="D35" s="538">
        <v>100</v>
      </c>
      <c r="E35" s="597" t="s">
        <v>3432</v>
      </c>
      <c r="F35" s="573">
        <f>SUMIF(107:107,E35,108:108)-SUMIF(107:107,C35,108:108)+100</f>
        <v>100</v>
      </c>
      <c r="G35" s="597" t="s">
        <v>3432</v>
      </c>
      <c r="H35" s="538">
        <f>SUMIF(107:107,G35,108:108)-SUMIF(107:107,C35,108:108)+100</f>
        <v>100</v>
      </c>
      <c r="I35" s="597" t="s">
        <v>3812</v>
      </c>
      <c r="J35" s="538">
        <f>SUMIF(107:107,I35,108:108)-SUMIF(107:107,C35,108:108)+100</f>
        <v>95</v>
      </c>
      <c r="K35" s="862">
        <v>5</v>
      </c>
      <c r="L35" s="2138"/>
      <c r="M35" s="2130"/>
      <c r="N35" s="2130"/>
      <c r="O35" s="2137"/>
      <c r="P35" s="3684"/>
      <c r="Q35" s="3183" t="str">
        <f t="shared" si="11"/>
        <v>建筑品质</v>
      </c>
      <c r="R35" s="1568" t="s">
        <v>11</v>
      </c>
      <c r="S35" s="1569">
        <f t="shared" si="12"/>
        <v>100</v>
      </c>
      <c r="T35" s="1568" t="s">
        <v>11</v>
      </c>
      <c r="U35" s="1569">
        <f t="shared" si="13"/>
        <v>100</v>
      </c>
      <c r="V35" s="1568" t="s">
        <v>11</v>
      </c>
      <c r="W35" s="1569">
        <f t="shared" si="14"/>
        <v>95</v>
      </c>
      <c r="X35" s="3182"/>
      <c r="Y35" s="3684"/>
      <c r="Z35" s="3184" t="str">
        <f t="shared" si="15"/>
        <v>建筑品质</v>
      </c>
      <c r="AA35" s="3185">
        <f t="shared" si="3"/>
        <v>1</v>
      </c>
      <c r="AB35" s="3185">
        <f t="shared" si="4"/>
        <v>1</v>
      </c>
      <c r="AC35" s="3185">
        <f t="shared" si="5"/>
        <v>1.0526315789473684</v>
      </c>
    </row>
    <row r="36" spans="1:29" ht="15">
      <c r="A36" s="592"/>
      <c r="B36" s="525" t="s">
        <v>729</v>
      </c>
      <c r="C36" s="597" t="s">
        <v>3441</v>
      </c>
      <c r="D36" s="538">
        <v>100</v>
      </c>
      <c r="E36" s="597" t="s">
        <v>3441</v>
      </c>
      <c r="F36" s="573">
        <f>SUMIF(109:109,E36,110:110)-SUMIF(109:109,C36,110:110)+100</f>
        <v>100</v>
      </c>
      <c r="G36" s="597" t="s">
        <v>3441</v>
      </c>
      <c r="H36" s="538">
        <f>SUMIF(109:109,G36,110:110)-SUMIF(109:109,C36,110:110)+100</f>
        <v>100</v>
      </c>
      <c r="I36" s="597" t="s">
        <v>3441</v>
      </c>
      <c r="J36" s="538">
        <f>SUMIF(109:109,I36,110:110)-SUMIF(109:109,C36,110:110)+100</f>
        <v>100</v>
      </c>
      <c r="K36" s="862">
        <v>2</v>
      </c>
      <c r="L36" s="2138"/>
      <c r="M36" s="2130"/>
      <c r="N36" s="2130"/>
      <c r="O36" s="2137"/>
      <c r="P36" s="3684"/>
      <c r="Q36" s="3183" t="str">
        <f t="shared" si="11"/>
        <v>公共部分装修</v>
      </c>
      <c r="R36" s="1568" t="s">
        <v>11</v>
      </c>
      <c r="S36" s="1569">
        <f t="shared" si="12"/>
        <v>100</v>
      </c>
      <c r="T36" s="1568" t="s">
        <v>11</v>
      </c>
      <c r="U36" s="1569">
        <f t="shared" si="13"/>
        <v>100</v>
      </c>
      <c r="V36" s="1568" t="s">
        <v>11</v>
      </c>
      <c r="W36" s="1569">
        <f t="shared" si="14"/>
        <v>100</v>
      </c>
      <c r="X36" s="3182"/>
      <c r="Y36" s="3684"/>
      <c r="Z36" s="3184" t="str">
        <f t="shared" si="15"/>
        <v>公共部分装修</v>
      </c>
      <c r="AA36" s="3185">
        <f t="shared" si="3"/>
        <v>1</v>
      </c>
      <c r="AB36" s="3185">
        <f t="shared" si="4"/>
        <v>1</v>
      </c>
      <c r="AC36" s="3185">
        <f t="shared" si="5"/>
        <v>1</v>
      </c>
    </row>
    <row r="37" spans="1:29" s="1217" customFormat="1" ht="15">
      <c r="A37" s="598"/>
      <c r="B37" s="525" t="s">
        <v>730</v>
      </c>
      <c r="C37" s="880">
        <v>1</v>
      </c>
      <c r="D37" s="253">
        <v>100</v>
      </c>
      <c r="E37" s="880">
        <v>1</v>
      </c>
      <c r="F37" s="861">
        <f>LOOKUP(E37,112:112,113:113)-LOOKUP(C37,112:112,113:113)+100</f>
        <v>100</v>
      </c>
      <c r="G37" s="880">
        <v>1</v>
      </c>
      <c r="H37" s="253">
        <f>LOOKUP(G37,112:112,113:113)-LOOKUP(C37,112:112,113:113)+100</f>
        <v>100</v>
      </c>
      <c r="I37" s="880">
        <v>1</v>
      </c>
      <c r="J37" s="253">
        <f>LOOKUP(I37,112:112,113:113)-LOOKUP(C37,112:112,113:113)+100</f>
        <v>100</v>
      </c>
      <c r="K37" s="862">
        <v>2</v>
      </c>
      <c r="L37" s="2131"/>
      <c r="M37" s="2132"/>
      <c r="N37" s="2132"/>
      <c r="O37" s="2133"/>
      <c r="P37" s="3684"/>
      <c r="Q37" s="3177" t="str">
        <f t="shared" si="11"/>
        <v>成新度</v>
      </c>
      <c r="R37" s="1563" t="s">
        <v>11</v>
      </c>
      <c r="S37" s="1564">
        <f t="shared" si="12"/>
        <v>100</v>
      </c>
      <c r="T37" s="1563" t="s">
        <v>11</v>
      </c>
      <c r="U37" s="1564">
        <f t="shared" si="13"/>
        <v>100</v>
      </c>
      <c r="V37" s="1563" t="s">
        <v>11</v>
      </c>
      <c r="W37" s="1564">
        <f t="shared" si="14"/>
        <v>100</v>
      </c>
      <c r="X37" s="1565"/>
      <c r="Y37" s="3684"/>
      <c r="Z37" s="3175" t="str">
        <f t="shared" si="15"/>
        <v>成新度</v>
      </c>
      <c r="AA37" s="1566">
        <f t="shared" si="3"/>
        <v>1</v>
      </c>
      <c r="AB37" s="1566">
        <f t="shared" si="4"/>
        <v>1</v>
      </c>
      <c r="AC37" s="1566">
        <f t="shared" si="5"/>
        <v>1</v>
      </c>
    </row>
    <row r="38" spans="1:29" ht="15">
      <c r="A38" s="592"/>
      <c r="B38" s="525" t="s">
        <v>731</v>
      </c>
      <c r="C38" s="597" t="s">
        <v>3427</v>
      </c>
      <c r="D38" s="538">
        <v>100</v>
      </c>
      <c r="E38" s="597" t="s">
        <v>3427</v>
      </c>
      <c r="F38" s="573">
        <f>SUMIF(114:114,E38,115:115)-SUMIF(114:114,C38,115:115)+100</f>
        <v>100</v>
      </c>
      <c r="G38" s="597" t="s">
        <v>3427</v>
      </c>
      <c r="H38" s="538">
        <f>SUMIF(114:114,G38,115:115)-SUMIF(114:114,C38,115:115)+100</f>
        <v>100</v>
      </c>
      <c r="I38" s="597" t="s">
        <v>3427</v>
      </c>
      <c r="J38" s="538">
        <f>SUMIF(114:114,I38,115:115)-SUMIF(114:114,C38,115:115)+100</f>
        <v>100</v>
      </c>
      <c r="K38" s="862">
        <v>2</v>
      </c>
      <c r="L38" s="2138"/>
      <c r="M38" s="2130"/>
      <c r="N38" s="2130"/>
      <c r="O38" s="2137"/>
      <c r="P38" s="3684" t="s">
        <v>550</v>
      </c>
      <c r="Q38" s="3183" t="str">
        <f t="shared" si="11"/>
        <v>物业管理</v>
      </c>
      <c r="R38" s="1568" t="s">
        <v>11</v>
      </c>
      <c r="S38" s="1569">
        <f t="shared" si="12"/>
        <v>100</v>
      </c>
      <c r="T38" s="1568" t="s">
        <v>11</v>
      </c>
      <c r="U38" s="1569">
        <f t="shared" si="13"/>
        <v>100</v>
      </c>
      <c r="V38" s="1568" t="s">
        <v>11</v>
      </c>
      <c r="W38" s="1569">
        <f t="shared" si="14"/>
        <v>100</v>
      </c>
      <c r="X38" s="3182"/>
      <c r="Y38" s="3684" t="s">
        <v>550</v>
      </c>
      <c r="Z38" s="3184" t="str">
        <f t="shared" si="15"/>
        <v>物业管理</v>
      </c>
      <c r="AA38" s="3185">
        <f t="shared" si="3"/>
        <v>1</v>
      </c>
      <c r="AB38" s="3185">
        <f t="shared" si="4"/>
        <v>1</v>
      </c>
      <c r="AC38" s="3185">
        <f t="shared" si="5"/>
        <v>1</v>
      </c>
    </row>
    <row r="39" spans="1:29" ht="15">
      <c r="A39" s="592"/>
      <c r="B39" s="1891" t="s">
        <v>2564</v>
      </c>
      <c r="C39" s="597" t="s">
        <v>3406</v>
      </c>
      <c r="D39" s="538">
        <v>100</v>
      </c>
      <c r="E39" s="597" t="s">
        <v>3406</v>
      </c>
      <c r="F39" s="573">
        <f>SUMIF(116:116,E39,117:117)-SUMIF(116:116,C39,117:117)+100</f>
        <v>100</v>
      </c>
      <c r="G39" s="597" t="s">
        <v>3406</v>
      </c>
      <c r="H39" s="538">
        <f>SUMIF(116:116,G39,117:117)-SUMIF(116:116,C39,117:117)+100</f>
        <v>100</v>
      </c>
      <c r="I39" s="597" t="s">
        <v>3406</v>
      </c>
      <c r="J39" s="538">
        <f>SUMIF(116:116,I39,117:117)-SUMIF(116:116,C39,117:117)+100</f>
        <v>100</v>
      </c>
      <c r="K39" s="862">
        <v>2</v>
      </c>
      <c r="L39" s="2138"/>
      <c r="M39" s="2130"/>
      <c r="N39" s="2130"/>
      <c r="O39" s="2137"/>
      <c r="P39" s="3684"/>
      <c r="Q39" s="3183" t="str">
        <f t="shared" si="11"/>
        <v>市政基础设施</v>
      </c>
      <c r="R39" s="1568" t="s">
        <v>11</v>
      </c>
      <c r="S39" s="1569">
        <f t="shared" si="12"/>
        <v>100</v>
      </c>
      <c r="T39" s="1568" t="s">
        <v>11</v>
      </c>
      <c r="U39" s="1569">
        <f t="shared" si="13"/>
        <v>100</v>
      </c>
      <c r="V39" s="1568" t="s">
        <v>11</v>
      </c>
      <c r="W39" s="1569">
        <f t="shared" si="14"/>
        <v>100</v>
      </c>
      <c r="X39" s="3182"/>
      <c r="Y39" s="3684"/>
      <c r="Z39" s="3184" t="str">
        <f t="shared" si="15"/>
        <v>市政基础设施</v>
      </c>
      <c r="AA39" s="3185">
        <f t="shared" si="3"/>
        <v>1</v>
      </c>
      <c r="AB39" s="3185">
        <f t="shared" si="4"/>
        <v>1</v>
      </c>
      <c r="AC39" s="3185">
        <f t="shared" si="5"/>
        <v>1</v>
      </c>
    </row>
    <row r="40" spans="1:29" ht="15">
      <c r="A40" s="592"/>
      <c r="B40" s="525" t="s">
        <v>732</v>
      </c>
      <c r="C40" s="597" t="s">
        <v>3430</v>
      </c>
      <c r="D40" s="538">
        <v>100</v>
      </c>
      <c r="E40" s="597" t="s">
        <v>3430</v>
      </c>
      <c r="F40" s="573">
        <f>SUMIF(118:118,E40,119:119)-SUMIF(118:118,C40,119:119)+100</f>
        <v>100</v>
      </c>
      <c r="G40" s="597" t="s">
        <v>3430</v>
      </c>
      <c r="H40" s="538">
        <f>SUMIF(118:118,G40,119:119)-SUMIF(118:118,C40,119:119)+100</f>
        <v>100</v>
      </c>
      <c r="I40" s="597" t="s">
        <v>3430</v>
      </c>
      <c r="J40" s="538">
        <f>SUMIF(118:118,I40,119:119)-SUMIF(118:118,C40,119:119)+100</f>
        <v>100</v>
      </c>
      <c r="K40" s="862">
        <v>5</v>
      </c>
      <c r="L40" s="2138"/>
      <c r="M40" s="2130"/>
      <c r="N40" s="2130"/>
      <c r="O40" s="2137"/>
      <c r="P40" s="3684"/>
      <c r="Q40" s="3183" t="str">
        <f t="shared" si="11"/>
        <v>房型</v>
      </c>
      <c r="R40" s="1568" t="s">
        <v>11</v>
      </c>
      <c r="S40" s="1569">
        <f t="shared" si="12"/>
        <v>100</v>
      </c>
      <c r="T40" s="1568" t="s">
        <v>11</v>
      </c>
      <c r="U40" s="1569">
        <f t="shared" si="13"/>
        <v>100</v>
      </c>
      <c r="V40" s="1568" t="s">
        <v>11</v>
      </c>
      <c r="W40" s="1569">
        <f t="shared" si="14"/>
        <v>100</v>
      </c>
      <c r="X40" s="3182"/>
      <c r="Y40" s="3684"/>
      <c r="Z40" s="3184" t="str">
        <f t="shared" si="15"/>
        <v>房型</v>
      </c>
      <c r="AA40" s="3185">
        <f t="shared" si="3"/>
        <v>1</v>
      </c>
      <c r="AB40" s="3185">
        <f t="shared" si="4"/>
        <v>1</v>
      </c>
      <c r="AC40" s="3185">
        <f t="shared" si="5"/>
        <v>1</v>
      </c>
    </row>
    <row r="41" spans="1:29" s="1336" customFormat="1" ht="28.5">
      <c r="A41" s="601"/>
      <c r="B41" s="525" t="s">
        <v>733</v>
      </c>
      <c r="C41" s="877"/>
      <c r="D41" s="253">
        <v>100</v>
      </c>
      <c r="E41" s="877"/>
      <c r="F41" s="861">
        <f>SUMIF(120:120,E41,121:121)-SUMIF(120:120,C41,121:121)+100</f>
        <v>100</v>
      </c>
      <c r="G41" s="877"/>
      <c r="H41" s="253">
        <f>SUMIF(120:120,G41,121:121)-SUMIF(120:120,C41,121:121)+100</f>
        <v>100</v>
      </c>
      <c r="I41" s="877"/>
      <c r="J41" s="538">
        <f>SUMIF(120:120,I41,121:121)-SUMIF(120:120,C41,121:121)+100</f>
        <v>100</v>
      </c>
      <c r="K41" s="863"/>
      <c r="L41" s="2136"/>
      <c r="M41" s="2167"/>
      <c r="N41" s="2167"/>
      <c r="O41" s="2139"/>
      <c r="P41" s="3684"/>
      <c r="Q41" s="1600" t="str">
        <f t="shared" si="11"/>
        <v>单套/主力户型建筑面积</v>
      </c>
      <c r="R41" s="1572" t="s">
        <v>11</v>
      </c>
      <c r="S41" s="1573">
        <f t="shared" si="12"/>
        <v>100</v>
      </c>
      <c r="T41" s="1572" t="s">
        <v>11</v>
      </c>
      <c r="U41" s="1573">
        <f t="shared" si="13"/>
        <v>100</v>
      </c>
      <c r="V41" s="1572" t="s">
        <v>11</v>
      </c>
      <c r="W41" s="1573">
        <f t="shared" si="14"/>
        <v>100</v>
      </c>
      <c r="X41" s="1574"/>
      <c r="Y41" s="3684"/>
      <c r="Z41" s="1575" t="str">
        <f t="shared" si="15"/>
        <v>单套/主力户型建筑面积</v>
      </c>
      <c r="AA41" s="3185">
        <f t="shared" si="3"/>
        <v>1</v>
      </c>
      <c r="AB41" s="3185">
        <f t="shared" si="4"/>
        <v>1</v>
      </c>
      <c r="AC41" s="3185">
        <f t="shared" si="5"/>
        <v>1</v>
      </c>
    </row>
    <row r="42" spans="1:29" ht="15">
      <c r="A42" s="592"/>
      <c r="B42" s="525" t="s">
        <v>734</v>
      </c>
      <c r="C42" s="597" t="s">
        <v>3439</v>
      </c>
      <c r="D42" s="538">
        <v>100</v>
      </c>
      <c r="E42" s="597" t="s">
        <v>3439</v>
      </c>
      <c r="F42" s="573">
        <f>SUMIF(122:122,E42,123:123)-SUMIF(122:122,C42,123:123)+100</f>
        <v>100</v>
      </c>
      <c r="G42" s="597" t="s">
        <v>3439</v>
      </c>
      <c r="H42" s="538">
        <f>SUMIF(122:122,G42,123:123)-SUMIF(122:122,C42,123:123)+100</f>
        <v>100</v>
      </c>
      <c r="I42" s="597" t="s">
        <v>3437</v>
      </c>
      <c r="J42" s="538">
        <f>SUMIF(122:122,I42,123:123)-SUMIF(122:122,C42,123:123)+100</f>
        <v>103</v>
      </c>
      <c r="K42" s="862">
        <v>3</v>
      </c>
      <c r="L42" s="2138"/>
      <c r="M42" s="2130"/>
      <c r="N42" s="2130"/>
      <c r="O42" s="2137"/>
      <c r="P42" s="3684"/>
      <c r="Q42" s="3183" t="str">
        <f t="shared" si="11"/>
        <v>内部装修</v>
      </c>
      <c r="R42" s="1568" t="s">
        <v>11</v>
      </c>
      <c r="S42" s="1569">
        <f t="shared" si="12"/>
        <v>100</v>
      </c>
      <c r="T42" s="1568" t="s">
        <v>11</v>
      </c>
      <c r="U42" s="1569">
        <f t="shared" si="13"/>
        <v>100</v>
      </c>
      <c r="V42" s="1568" t="s">
        <v>11</v>
      </c>
      <c r="W42" s="1569">
        <f t="shared" si="14"/>
        <v>103</v>
      </c>
      <c r="X42" s="3182"/>
      <c r="Y42" s="3684"/>
      <c r="Z42" s="3184" t="str">
        <f t="shared" si="15"/>
        <v>内部装修</v>
      </c>
      <c r="AA42" s="3185">
        <f t="shared" si="3"/>
        <v>1</v>
      </c>
      <c r="AB42" s="3185">
        <f t="shared" si="4"/>
        <v>1</v>
      </c>
      <c r="AC42" s="3185">
        <f t="shared" si="5"/>
        <v>0.970873786407767</v>
      </c>
    </row>
    <row r="43" spans="1:29" ht="27.75" thickBot="1">
      <c r="A43" s="592"/>
      <c r="B43" s="525" t="s">
        <v>735</v>
      </c>
      <c r="C43" s="597" t="s">
        <v>3405</v>
      </c>
      <c r="D43" s="538">
        <v>100</v>
      </c>
      <c r="E43" s="597" t="s">
        <v>3405</v>
      </c>
      <c r="F43" s="573">
        <f>SUMIF(124:124,E43,125:125)-SUMIF(124:124,C43,125:125)+100</f>
        <v>100</v>
      </c>
      <c r="G43" s="3470" t="s">
        <v>3405</v>
      </c>
      <c r="H43" s="544">
        <f>SUMIF(124:124,G43,125:125)-SUMIF(124:124,C43,125:125)+100</f>
        <v>100</v>
      </c>
      <c r="I43" s="597" t="s">
        <v>3405</v>
      </c>
      <c r="J43" s="538">
        <f>SUMIF(124:124,I43,125:125)-SUMIF(124:124,C43,125:125)+100</f>
        <v>100</v>
      </c>
      <c r="K43" s="862">
        <v>2</v>
      </c>
      <c r="L43" s="2138"/>
      <c r="M43" s="2130"/>
      <c r="N43" s="2130"/>
      <c r="O43" s="2137"/>
      <c r="P43" s="3684"/>
      <c r="Q43" s="3183" t="str">
        <f t="shared" si="11"/>
        <v>内部装修维护情况</v>
      </c>
      <c r="R43" s="1568" t="s">
        <v>11</v>
      </c>
      <c r="S43" s="1569">
        <f t="shared" si="12"/>
        <v>100</v>
      </c>
      <c r="T43" s="1568" t="s">
        <v>11</v>
      </c>
      <c r="U43" s="1569">
        <f t="shared" si="13"/>
        <v>100</v>
      </c>
      <c r="V43" s="1568" t="s">
        <v>11</v>
      </c>
      <c r="W43" s="1569">
        <f t="shared" si="14"/>
        <v>100</v>
      </c>
      <c r="X43" s="3182"/>
      <c r="Y43" s="3684"/>
      <c r="Z43" s="3184" t="str">
        <f t="shared" si="15"/>
        <v>内部装修维护情况</v>
      </c>
      <c r="AA43" s="3185">
        <f t="shared" si="3"/>
        <v>1</v>
      </c>
      <c r="AB43" s="3185">
        <f t="shared" si="4"/>
        <v>1</v>
      </c>
      <c r="AC43" s="3185">
        <f t="shared" si="5"/>
        <v>1</v>
      </c>
    </row>
    <row r="44" spans="1:29" s="1217" customFormat="1" ht="15.75" hidden="1" thickBot="1">
      <c r="A44" s="598"/>
      <c r="B44" s="875"/>
      <c r="C44" s="877"/>
      <c r="D44" s="253">
        <v>100</v>
      </c>
      <c r="E44" s="877"/>
      <c r="F44" s="861">
        <f>SUMIF(126:126,E44,127:127)-SUMIF(126:126,C44,127:127)+100</f>
        <v>100</v>
      </c>
      <c r="G44" s="3469"/>
      <c r="H44" s="873">
        <f>SUMIF(126:126,G44,127:127)-SUMIF(126:126,C44,127:127)+100</f>
        <v>100</v>
      </c>
      <c r="I44" s="877"/>
      <c r="J44" s="253">
        <f>SUMIF(126:126,I44,127:127)-SUMIF(126:126,C44,127:127)+100</f>
        <v>100</v>
      </c>
      <c r="K44" s="863"/>
      <c r="L44" s="2131"/>
      <c r="M44" s="2132"/>
      <c r="N44" s="2132"/>
      <c r="O44" s="2133"/>
      <c r="P44" s="3684"/>
      <c r="Q44" s="3177">
        <f t="shared" si="11"/>
        <v>0</v>
      </c>
      <c r="R44" s="1563" t="s">
        <v>11</v>
      </c>
      <c r="S44" s="1564">
        <f t="shared" si="12"/>
        <v>100</v>
      </c>
      <c r="T44" s="1563" t="s">
        <v>11</v>
      </c>
      <c r="U44" s="1564">
        <f t="shared" si="13"/>
        <v>100</v>
      </c>
      <c r="V44" s="1563" t="s">
        <v>11</v>
      </c>
      <c r="W44" s="1564">
        <f t="shared" si="14"/>
        <v>100</v>
      </c>
      <c r="X44" s="1565"/>
      <c r="Y44" s="3684"/>
      <c r="Z44" s="3175">
        <f t="shared" si="15"/>
        <v>0</v>
      </c>
      <c r="AA44" s="1566">
        <f t="shared" si="3"/>
        <v>1</v>
      </c>
      <c r="AB44" s="1566">
        <f t="shared" si="4"/>
        <v>1</v>
      </c>
      <c r="AC44" s="1566">
        <f t="shared" si="5"/>
        <v>1</v>
      </c>
    </row>
    <row r="45" spans="1:29" ht="15.75" hidden="1" thickBot="1">
      <c r="A45" s="592"/>
      <c r="B45" s="875"/>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8"/>
      <c r="M45" s="2130"/>
      <c r="N45" s="2130"/>
      <c r="O45" s="2137"/>
      <c r="P45" s="3684"/>
      <c r="Q45" s="3183">
        <f t="shared" si="11"/>
        <v>0</v>
      </c>
      <c r="R45" s="1568" t="s">
        <v>11</v>
      </c>
      <c r="S45" s="1569">
        <f t="shared" si="12"/>
        <v>100</v>
      </c>
      <c r="T45" s="1568" t="s">
        <v>11</v>
      </c>
      <c r="U45" s="1569">
        <f t="shared" si="13"/>
        <v>100</v>
      </c>
      <c r="V45" s="1568" t="s">
        <v>11</v>
      </c>
      <c r="W45" s="1569">
        <f t="shared" si="14"/>
        <v>100</v>
      </c>
      <c r="X45" s="3182"/>
      <c r="Y45" s="3684"/>
      <c r="Z45" s="3184">
        <f t="shared" si="15"/>
        <v>0</v>
      </c>
      <c r="AA45" s="3185">
        <f t="shared" si="3"/>
        <v>1</v>
      </c>
      <c r="AB45" s="3185">
        <f t="shared" si="4"/>
        <v>1</v>
      </c>
      <c r="AC45" s="3185">
        <f t="shared" si="5"/>
        <v>1</v>
      </c>
    </row>
    <row r="46" spans="1:29" ht="15.75" hidden="1" thickBot="1">
      <c r="A46" s="883"/>
      <c r="B46" s="542"/>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8"/>
      <c r="M46" s="2130"/>
      <c r="N46" s="2130"/>
      <c r="O46" s="2137"/>
      <c r="P46" s="3764"/>
      <c r="Q46" s="3183">
        <f t="shared" si="11"/>
        <v>0</v>
      </c>
      <c r="R46" s="1568" t="s">
        <v>10</v>
      </c>
      <c r="S46" s="1569">
        <f t="shared" si="12"/>
        <v>100</v>
      </c>
      <c r="T46" s="1568" t="s">
        <v>10</v>
      </c>
      <c r="U46" s="1569">
        <f t="shared" si="13"/>
        <v>100</v>
      </c>
      <c r="V46" s="1568" t="s">
        <v>10</v>
      </c>
      <c r="W46" s="1569">
        <f t="shared" si="14"/>
        <v>100</v>
      </c>
      <c r="X46" s="3182"/>
      <c r="Y46" s="3764"/>
      <c r="Z46" s="3184">
        <f t="shared" si="15"/>
        <v>0</v>
      </c>
      <c r="AA46" s="3185">
        <f t="shared" si="3"/>
        <v>1</v>
      </c>
      <c r="AB46" s="3185">
        <f t="shared" si="4"/>
        <v>1</v>
      </c>
      <c r="AC46" s="3185">
        <f t="shared" si="5"/>
        <v>1</v>
      </c>
    </row>
    <row r="47" spans="1:29" ht="15">
      <c r="A47" s="605" t="s">
        <v>736</v>
      </c>
      <c r="B47" s="884"/>
      <c r="C47" s="2623" t="s">
        <v>9</v>
      </c>
      <c r="D47" s="2624"/>
      <c r="E47" s="2625">
        <f>世茂公园美地已成交数据!L64</f>
        <v>16038</v>
      </c>
      <c r="F47" s="2626"/>
      <c r="G47" s="2627">
        <f>世茂公园美地已成交数据!Y67</f>
        <v>19020</v>
      </c>
      <c r="H47" s="2628"/>
      <c r="I47" s="2625">
        <v>16000</v>
      </c>
      <c r="J47" s="2628"/>
      <c r="K47" s="1601"/>
      <c r="L47" s="2140"/>
      <c r="M47" s="2141"/>
      <c r="N47" s="2130"/>
      <c r="O47" s="2141"/>
      <c r="P47" s="3679" t="str">
        <f>A47</f>
        <v>成交单价（元/平方米）</v>
      </c>
      <c r="Q47" s="3679"/>
      <c r="R47" s="3763">
        <f>E47</f>
        <v>16038</v>
      </c>
      <c r="S47" s="3763"/>
      <c r="T47" s="3763">
        <f>G47</f>
        <v>19020</v>
      </c>
      <c r="U47" s="3763"/>
      <c r="V47" s="3763">
        <f>I47</f>
        <v>16000</v>
      </c>
      <c r="W47" s="3763"/>
      <c r="X47" s="1554"/>
      <c r="Y47" s="1576"/>
      <c r="Z47" s="1554"/>
      <c r="AA47" s="1554"/>
      <c r="AB47" s="1554"/>
      <c r="AC47" s="1554"/>
    </row>
    <row r="48" spans="1:29" ht="15.75" thickBot="1">
      <c r="A48" s="613" t="s">
        <v>2692</v>
      </c>
      <c r="B48" s="885"/>
      <c r="C48" s="2629">
        <f>R49</f>
        <v>19042</v>
      </c>
      <c r="D48" s="2630"/>
      <c r="E48" s="2631">
        <f>R48</f>
        <v>18868</v>
      </c>
      <c r="F48" s="2631"/>
      <c r="G48" s="2629">
        <f>T48</f>
        <v>19020</v>
      </c>
      <c r="H48" s="2630"/>
      <c r="I48" s="2631">
        <f>V48</f>
        <v>19237</v>
      </c>
      <c r="J48" s="2630"/>
      <c r="K48" s="1602"/>
      <c r="L48" s="2140"/>
      <c r="M48" s="2141"/>
      <c r="N48" s="2141"/>
      <c r="O48" s="2141"/>
      <c r="P48" s="3679" t="str">
        <f>A48</f>
        <v>比较价格（元/平方米）</v>
      </c>
      <c r="Q48" s="3679"/>
      <c r="R48" s="3763">
        <f>IF(F1="售价",ROUND(PRODUCT(R47,AA7:AA46),0),ROUND(PRODUCT(R47,AA7:AA46),1))</f>
        <v>18868</v>
      </c>
      <c r="S48" s="3763"/>
      <c r="T48" s="3763">
        <f>IF(F1="售价",ROUND(PRODUCT(T47,AB7:AB46),0),ROUND(PRODUCT(T47,AB7:AB46),1))</f>
        <v>19020</v>
      </c>
      <c r="U48" s="3763"/>
      <c r="V48" s="3763">
        <f>IF(F1="售价",ROUND(PRODUCT(V47,AC7:AC46),0),ROUND(PRODUCT(V47,AC7:AC46),1))</f>
        <v>19237</v>
      </c>
      <c r="W48" s="3763"/>
      <c r="X48" s="1554"/>
      <c r="Y48" s="1554"/>
      <c r="Z48" s="1554"/>
      <c r="AA48" s="1554"/>
      <c r="AB48" s="1554"/>
      <c r="AC48" s="1554"/>
    </row>
    <row r="49" spans="1:29" ht="15.75" thickBot="1">
      <c r="A49" s="619" t="s">
        <v>2934</v>
      </c>
      <c r="B49" s="620"/>
      <c r="C49" s="2632">
        <f>R49</f>
        <v>19042</v>
      </c>
      <c r="D49" s="2632"/>
      <c r="E49" s="2632"/>
      <c r="F49" s="2632"/>
      <c r="G49" s="2632"/>
      <c r="H49" s="2632"/>
      <c r="I49" s="2632"/>
      <c r="J49" s="2632"/>
      <c r="K49" s="1603"/>
      <c r="L49" s="2140"/>
      <c r="M49" s="2141"/>
      <c r="N49" s="2141"/>
      <c r="O49" s="2141"/>
      <c r="P49" s="3700" t="str">
        <f>A49</f>
        <v>估价对象XX用房的比较价格（楼面单价，元/平方米）</v>
      </c>
      <c r="Q49" s="3701"/>
      <c r="R49" s="3762">
        <f>IF(F1="售价",ROUND(AVERAGE(R48:V48),0),ROUND(AVERAGE(R48:V48),1))</f>
        <v>19042</v>
      </c>
      <c r="S49" s="3762"/>
      <c r="T49" s="3762"/>
      <c r="U49" s="3762"/>
      <c r="V49" s="3762"/>
      <c r="W49" s="3762"/>
      <c r="X49" s="1554"/>
      <c r="Y49" s="1554"/>
      <c r="Z49" s="1554"/>
      <c r="AA49" s="1554"/>
      <c r="AB49" s="1554"/>
      <c r="AC49" s="1554"/>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2" t="s">
        <v>557</v>
      </c>
      <c r="D52" s="623"/>
      <c r="E52" s="624">
        <f>IF(E47&lt;E48,E48/E47-1,E47/E48-1)</f>
        <v>0.17645591719665799</v>
      </c>
      <c r="F52" s="625" t="str">
        <f>IF(OR(E52&gt;=0.3,E52&lt;=-0.3),"超过30%","")</f>
        <v/>
      </c>
      <c r="G52" s="624">
        <f>IF(G47&lt;G48,G48/G47-1,G47/G48-1)</f>
        <v>0</v>
      </c>
      <c r="H52" s="625" t="str">
        <f>IF(OR(G52&gt;=0.3,G52&lt;=-0.3),"超过30%","")</f>
        <v/>
      </c>
      <c r="I52" s="624">
        <f>IF(I47&lt;I48,I48/I47-1,I47/I48-1)</f>
        <v>0.2023124999999999</v>
      </c>
      <c r="J52" s="625"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2" t="s">
        <v>558</v>
      </c>
      <c r="D53" s="626"/>
      <c r="E53" s="624">
        <f>IF(E48&lt;G48,G48/E48-1,E48/G48-1)</f>
        <v>8.0559677761289361E-3</v>
      </c>
      <c r="F53" s="625" t="str">
        <f>IF(OR(E53&gt;=0.2,E53&lt;=-0.2),"超过20%","")</f>
        <v/>
      </c>
      <c r="G53" s="624">
        <f>IF(G48&lt;I48,I48/G48-1,G48/I48-1)</f>
        <v>1.1409043112513118E-2</v>
      </c>
      <c r="H53" s="625" t="str">
        <f>IF(OR(G53&gt;=0.2,G53&lt;=-0.2),"超过20%","")</f>
        <v/>
      </c>
      <c r="I53" s="624">
        <f>IF(I48&lt;E48,E48/I48-1,I48/E48-1)</f>
        <v>1.955692177231283E-2</v>
      </c>
      <c r="J53" s="625"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2" customFormat="1" ht="13.5" customHeight="1">
      <c r="A54" s="2142"/>
      <c r="B54" s="2142"/>
      <c r="C54" s="622" t="s">
        <v>559</v>
      </c>
      <c r="D54" s="626"/>
      <c r="E54" s="624">
        <f>IF(E47&lt;G47,G47/E47-1,E47/G47-1)</f>
        <v>0.18593340815563031</v>
      </c>
      <c r="F54" s="625" t="str">
        <f>IF(OR(E54&gt;=0.3,E54&lt;=-0.3),"超过30%","")</f>
        <v/>
      </c>
      <c r="G54" s="624">
        <f>IF(G47&lt;I47,I47/G47-1,G47/I47-1)</f>
        <v>0.18874999999999997</v>
      </c>
      <c r="H54" s="625" t="str">
        <f>IF(OR(G54&gt;=0.3,G54&lt;=-0.3),"超过30%","")</f>
        <v/>
      </c>
      <c r="I54" s="624">
        <f>IF(I47&lt;E47,E47/I47-1,I47/E47-1)</f>
        <v>2.375000000000016E-3</v>
      </c>
      <c r="J54" s="625"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2"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79" t="s">
        <v>574</v>
      </c>
      <c r="B57" s="1554"/>
      <c r="C57" s="1578"/>
      <c r="D57" s="1578"/>
      <c r="E57" s="1578"/>
      <c r="F57" s="1580"/>
      <c r="G57" s="1580"/>
      <c r="H57" s="1578"/>
      <c r="I57" s="1578"/>
      <c r="J57" s="1578"/>
      <c r="K57" s="1581"/>
      <c r="L57" s="1577"/>
      <c r="M57" s="1578"/>
      <c r="N57" s="1578"/>
      <c r="O57" s="1578"/>
      <c r="P57" s="2153"/>
      <c r="Q57" s="2154"/>
      <c r="R57" s="2141"/>
      <c r="S57" s="2141"/>
      <c r="T57" s="2141"/>
      <c r="U57" s="2141"/>
      <c r="V57" s="2141"/>
      <c r="W57" s="2141"/>
      <c r="X57" s="2141"/>
      <c r="Y57" s="2141"/>
      <c r="Z57" s="2141"/>
      <c r="AA57" s="2141"/>
      <c r="AB57" s="2141"/>
      <c r="AC57" s="2141"/>
    </row>
    <row r="58" spans="1:29" s="1344" customFormat="1" ht="15">
      <c r="A58" s="643" t="s">
        <v>529</v>
      </c>
      <c r="B58" s="644"/>
      <c r="C58" s="2800" t="str">
        <f>YEAR(C7)&amp;"-"&amp;MONTH(C7)</f>
        <v>2018-9</v>
      </c>
      <c r="D58" s="2800">
        <f>EDATE(C58,-1)</f>
        <v>43313</v>
      </c>
      <c r="E58" s="2800">
        <f t="shared" ref="E58:O58" si="16">EDATE(D58,-1)</f>
        <v>43282</v>
      </c>
      <c r="F58" s="2800">
        <f t="shared" si="16"/>
        <v>43252</v>
      </c>
      <c r="G58" s="2800">
        <f t="shared" si="16"/>
        <v>43221</v>
      </c>
      <c r="H58" s="2800">
        <f t="shared" si="16"/>
        <v>43191</v>
      </c>
      <c r="I58" s="2800">
        <f t="shared" si="16"/>
        <v>43160</v>
      </c>
      <c r="J58" s="2800">
        <f t="shared" si="16"/>
        <v>43132</v>
      </c>
      <c r="K58" s="2800">
        <f t="shared" si="16"/>
        <v>43101</v>
      </c>
      <c r="L58" s="2800">
        <f t="shared" si="16"/>
        <v>43070</v>
      </c>
      <c r="M58" s="2800">
        <f t="shared" si="16"/>
        <v>43040</v>
      </c>
      <c r="N58" s="2800">
        <f t="shared" si="16"/>
        <v>43009</v>
      </c>
      <c r="O58" s="2800">
        <f t="shared" si="16"/>
        <v>42979</v>
      </c>
      <c r="P58" s="2156"/>
      <c r="Q58" s="2157"/>
      <c r="R58" s="2157"/>
      <c r="S58" s="2157"/>
      <c r="T58" s="2157"/>
      <c r="U58" s="2157"/>
      <c r="V58" s="2157"/>
      <c r="W58" s="2157"/>
      <c r="X58" s="2157"/>
      <c r="Y58" s="2157"/>
      <c r="Z58" s="2157"/>
      <c r="AA58" s="2157"/>
      <c r="AB58" s="2157"/>
      <c r="AC58" s="2157"/>
    </row>
    <row r="59" spans="1:29" s="1217" customFormat="1" ht="15">
      <c r="A59" s="645"/>
      <c r="B59" s="646"/>
      <c r="C59" s="647">
        <v>100</v>
      </c>
      <c r="D59" s="648"/>
      <c r="E59" s="648"/>
      <c r="F59" s="648"/>
      <c r="G59" s="648"/>
      <c r="H59" s="648"/>
      <c r="I59" s="648">
        <v>100</v>
      </c>
      <c r="J59" s="648"/>
      <c r="K59" s="648"/>
      <c r="L59" s="648"/>
      <c r="M59" s="648"/>
      <c r="N59" s="648"/>
      <c r="O59" s="648"/>
      <c r="P59" s="2154"/>
      <c r="Q59" s="1989"/>
      <c r="R59" s="1989"/>
      <c r="S59" s="1989"/>
      <c r="T59" s="1989"/>
      <c r="U59" s="1989"/>
      <c r="V59" s="1989"/>
      <c r="W59" s="1989"/>
      <c r="X59" s="1989"/>
      <c r="Y59" s="1989"/>
      <c r="Z59" s="1989"/>
      <c r="AA59" s="1989"/>
      <c r="AB59" s="1989"/>
      <c r="AC59" s="1989"/>
    </row>
    <row r="60" spans="1:29" s="1217" customFormat="1" ht="15.75" thickBot="1">
      <c r="A60" s="651" t="s">
        <v>575</v>
      </c>
      <c r="B60" s="652"/>
      <c r="C60" s="653"/>
      <c r="D60" s="654"/>
      <c r="E60" s="654"/>
      <c r="F60" s="654"/>
      <c r="G60" s="654"/>
      <c r="H60" s="654"/>
      <c r="I60" s="654"/>
      <c r="J60" s="654"/>
      <c r="K60" s="654"/>
      <c r="L60" s="654"/>
      <c r="M60" s="655"/>
      <c r="N60" s="654"/>
      <c r="O60" s="656"/>
      <c r="P60" s="2154"/>
      <c r="Q60" s="2154"/>
      <c r="R60" s="1989"/>
      <c r="S60" s="1989"/>
      <c r="T60" s="1989"/>
      <c r="U60" s="1989"/>
      <c r="V60" s="1989"/>
      <c r="W60" s="1989"/>
      <c r="X60" s="1989"/>
      <c r="Y60" s="1989"/>
      <c r="Z60" s="1989"/>
      <c r="AA60" s="1989"/>
      <c r="AB60" s="1989"/>
      <c r="AC60" s="1989"/>
    </row>
    <row r="61" spans="1:29" s="1217" customFormat="1" ht="15">
      <c r="A61" s="657" t="s">
        <v>531</v>
      </c>
      <c r="B61" s="646"/>
      <c r="C61" s="658" t="s">
        <v>576</v>
      </c>
      <c r="D61" s="659"/>
      <c r="E61" s="659"/>
      <c r="F61" s="659"/>
      <c r="G61" s="659"/>
      <c r="H61" s="659"/>
      <c r="I61" s="659"/>
      <c r="J61" s="659"/>
      <c r="K61" s="659"/>
      <c r="L61" s="660"/>
      <c r="M61" s="661"/>
      <c r="N61" s="2158"/>
      <c r="O61" s="2158"/>
      <c r="P61" s="2159"/>
      <c r="Q61" s="2154"/>
      <c r="R61" s="1989"/>
      <c r="S61" s="1989"/>
      <c r="T61" s="1989"/>
      <c r="U61" s="1989"/>
      <c r="V61" s="1989"/>
      <c r="W61" s="1989"/>
      <c r="X61" s="1989"/>
      <c r="Y61" s="1989"/>
      <c r="Z61" s="1989"/>
      <c r="AA61" s="1989"/>
      <c r="AB61" s="1989"/>
      <c r="AC61" s="1989"/>
    </row>
    <row r="62" spans="1:29" s="1217" customFormat="1" ht="15.75" thickBot="1">
      <c r="A62" s="657"/>
      <c r="B62" s="646"/>
      <c r="C62" s="886">
        <v>100</v>
      </c>
      <c r="D62" s="648"/>
      <c r="E62" s="648"/>
      <c r="F62" s="648"/>
      <c r="G62" s="648"/>
      <c r="H62" s="648"/>
      <c r="I62" s="648"/>
      <c r="J62" s="648"/>
      <c r="K62" s="648"/>
      <c r="L62" s="648"/>
      <c r="M62" s="650"/>
      <c r="N62" s="2158"/>
      <c r="O62" s="2158"/>
      <c r="P62" s="2154"/>
      <c r="Q62" s="2154"/>
      <c r="R62" s="1989"/>
      <c r="S62" s="1989"/>
      <c r="T62" s="1989"/>
      <c r="U62" s="1989"/>
      <c r="V62" s="1989"/>
      <c r="W62" s="1989"/>
      <c r="X62" s="1989"/>
      <c r="Y62" s="1989"/>
      <c r="Z62" s="1989"/>
      <c r="AA62" s="1989"/>
      <c r="AB62" s="1989"/>
      <c r="AC62" s="1989"/>
    </row>
    <row r="63" spans="1:29">
      <c r="A63" s="662" t="s">
        <v>577</v>
      </c>
      <c r="B63" s="663" t="s">
        <v>534</v>
      </c>
      <c r="C63" s="702" t="str">
        <f>C9</f>
        <v>住宅</v>
      </c>
      <c r="D63" s="596"/>
      <c r="E63" s="596"/>
      <c r="F63" s="596"/>
      <c r="G63" s="596"/>
      <c r="H63" s="596"/>
      <c r="I63" s="596"/>
      <c r="J63" s="596"/>
      <c r="K63" s="664"/>
      <c r="L63" s="665"/>
      <c r="M63" s="666"/>
      <c r="N63" s="2160"/>
      <c r="O63" s="2160"/>
      <c r="P63" s="2161"/>
      <c r="Q63" s="2154"/>
      <c r="R63" s="2141"/>
      <c r="S63" s="2141"/>
      <c r="T63" s="2141"/>
      <c r="U63" s="2141"/>
      <c r="V63" s="2141"/>
      <c r="W63" s="2141"/>
      <c r="X63" s="2141"/>
      <c r="Y63" s="2141"/>
      <c r="Z63" s="2141"/>
      <c r="AA63" s="2141"/>
      <c r="AB63" s="2141"/>
      <c r="AC63" s="2141"/>
    </row>
    <row r="64" spans="1:29" ht="15.75" thickBot="1">
      <c r="A64" s="667"/>
      <c r="B64" s="668"/>
      <c r="C64" s="669">
        <v>100</v>
      </c>
      <c r="D64" s="669"/>
      <c r="E64" s="1604"/>
      <c r="F64" s="1604"/>
      <c r="G64" s="1604"/>
      <c r="H64" s="1604"/>
      <c r="I64" s="1604"/>
      <c r="J64" s="1604"/>
      <c r="K64" s="1604"/>
      <c r="L64" s="1604"/>
      <c r="M64" s="1605"/>
      <c r="N64" s="2162"/>
      <c r="O64" s="2162"/>
      <c r="P64" s="2161"/>
      <c r="Q64" s="2154"/>
      <c r="R64" s="2141"/>
      <c r="S64" s="2141"/>
      <c r="T64" s="2141"/>
      <c r="U64" s="2141"/>
      <c r="V64" s="2141"/>
      <c r="W64" s="2141"/>
      <c r="X64" s="2141"/>
      <c r="Y64" s="2141"/>
      <c r="Z64" s="2141"/>
      <c r="AA64" s="2141"/>
      <c r="AB64" s="2141"/>
      <c r="AC64" s="2141"/>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0"/>
      <c r="O65" s="2160"/>
      <c r="P65" s="2161"/>
      <c r="Q65" s="2154"/>
      <c r="R65" s="2141"/>
      <c r="S65" s="2141"/>
      <c r="T65" s="2141"/>
      <c r="U65" s="2141"/>
      <c r="V65" s="2141"/>
      <c r="W65" s="2141"/>
      <c r="X65" s="2141"/>
      <c r="Y65" s="2141"/>
      <c r="Z65" s="2141"/>
      <c r="AA65" s="2141"/>
      <c r="AB65" s="2141"/>
      <c r="AC65" s="2141"/>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62"/>
      <c r="O66" s="2162"/>
      <c r="P66" s="2161"/>
      <c r="Q66" s="2154"/>
      <c r="R66" s="2141"/>
      <c r="S66" s="2141"/>
      <c r="T66" s="2141"/>
      <c r="U66" s="2141"/>
      <c r="V66" s="2141"/>
      <c r="W66" s="2141"/>
      <c r="X66" s="2141"/>
      <c r="Y66" s="2141"/>
      <c r="Z66" s="2141"/>
      <c r="AA66" s="2141"/>
      <c r="AB66" s="2141"/>
      <c r="AC66" s="2141"/>
    </row>
    <row r="67" spans="1:29" ht="15.75" thickTop="1">
      <c r="A67" s="667"/>
      <c r="B67" s="679" t="s">
        <v>538</v>
      </c>
      <c r="C67" s="680" t="str">
        <f>C68&amp;"（含）"&amp;"-"&amp;D68</f>
        <v>1（含）-2</v>
      </c>
      <c r="D67" s="680" t="str">
        <f t="shared" ref="D67:L67" si="18">D68&amp;"（含）"&amp;"-"&amp;E68</f>
        <v>2（含）-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7"/>
      <c r="B68" s="681"/>
      <c r="C68" s="539">
        <v>1</v>
      </c>
      <c r="D68" s="539">
        <v>2</v>
      </c>
      <c r="E68" s="539"/>
      <c r="F68" s="539"/>
      <c r="G68" s="539"/>
      <c r="H68" s="539"/>
      <c r="I68" s="539"/>
      <c r="J68" s="539"/>
      <c r="K68" s="682"/>
      <c r="L68" s="683"/>
      <c r="M68" s="684"/>
      <c r="N68" s="2160"/>
      <c r="O68" s="2160"/>
      <c r="P68" s="2161"/>
      <c r="Q68" s="2154"/>
      <c r="R68" s="2141"/>
      <c r="S68" s="2141"/>
      <c r="T68" s="2141"/>
      <c r="U68" s="2141"/>
      <c r="V68" s="2141"/>
      <c r="W68" s="2141"/>
      <c r="X68" s="2141"/>
      <c r="Y68" s="2141"/>
      <c r="Z68" s="2141"/>
      <c r="AA68" s="2141"/>
      <c r="AB68" s="2141"/>
      <c r="AC68" s="2141"/>
    </row>
    <row r="69" spans="1:29" ht="15.75" thickBot="1">
      <c r="A69" s="667"/>
      <c r="B69" s="668"/>
      <c r="C69" s="677">
        <v>100</v>
      </c>
      <c r="D69" s="677">
        <f t="shared" ref="D69:M69" si="19">C69-$K11</f>
        <v>99</v>
      </c>
      <c r="E69" s="677">
        <f t="shared" si="19"/>
        <v>98</v>
      </c>
      <c r="F69" s="677">
        <f t="shared" si="19"/>
        <v>97</v>
      </c>
      <c r="G69" s="677">
        <f t="shared" si="19"/>
        <v>96</v>
      </c>
      <c r="H69" s="677">
        <f t="shared" si="19"/>
        <v>95</v>
      </c>
      <c r="I69" s="677">
        <f t="shared" si="19"/>
        <v>94</v>
      </c>
      <c r="J69" s="677">
        <f t="shared" si="19"/>
        <v>93</v>
      </c>
      <c r="K69" s="677">
        <f t="shared" si="19"/>
        <v>92</v>
      </c>
      <c r="L69" s="677">
        <f t="shared" si="19"/>
        <v>91</v>
      </c>
      <c r="M69" s="678">
        <f t="shared" si="19"/>
        <v>90</v>
      </c>
      <c r="N69" s="2162"/>
      <c r="O69" s="2162"/>
      <c r="P69" s="2161"/>
      <c r="Q69" s="2154"/>
      <c r="R69" s="2141"/>
      <c r="S69" s="2141"/>
      <c r="T69" s="2141"/>
      <c r="U69" s="2141"/>
      <c r="V69" s="2141"/>
      <c r="W69" s="2141"/>
      <c r="X69" s="2141"/>
      <c r="Y69" s="2141"/>
      <c r="Z69" s="2141"/>
      <c r="AA69" s="2141"/>
      <c r="AB69" s="2141"/>
      <c r="AC69" s="2141"/>
    </row>
    <row r="70" spans="1:29" s="1336" customFormat="1" ht="16.5" hidden="1" thickTop="1" thickBot="1">
      <c r="A70" s="685"/>
      <c r="B70" s="671">
        <f>B12</f>
        <v>0</v>
      </c>
      <c r="C70" s="686"/>
      <c r="D70" s="686"/>
      <c r="E70" s="686"/>
      <c r="F70" s="686"/>
      <c r="G70" s="686"/>
      <c r="H70" s="687"/>
      <c r="I70" s="687"/>
      <c r="J70" s="687"/>
      <c r="K70" s="687"/>
      <c r="L70" s="688"/>
      <c r="M70" s="689"/>
      <c r="N70" s="2163"/>
      <c r="O70" s="2163"/>
      <c r="P70" s="2164"/>
      <c r="Q70" s="2165"/>
      <c r="R70" s="2166"/>
      <c r="S70" s="2166"/>
      <c r="T70" s="2166"/>
      <c r="U70" s="2166"/>
      <c r="V70" s="2166"/>
      <c r="W70" s="2166"/>
      <c r="X70" s="2166"/>
      <c r="Y70" s="2166"/>
      <c r="Z70" s="2166"/>
      <c r="AA70" s="2166"/>
      <c r="AB70" s="2166"/>
      <c r="AC70" s="2166"/>
    </row>
    <row r="71" spans="1:29" s="1336" customFormat="1" ht="16.5" hidden="1" thickTop="1" thickBot="1">
      <c r="A71" s="685"/>
      <c r="B71" s="676"/>
      <c r="C71" s="690"/>
      <c r="D71" s="669"/>
      <c r="E71" s="669"/>
      <c r="F71" s="669"/>
      <c r="G71" s="669"/>
      <c r="H71" s="669"/>
      <c r="I71" s="669"/>
      <c r="J71" s="669"/>
      <c r="K71" s="669"/>
      <c r="L71" s="669"/>
      <c r="M71" s="670"/>
      <c r="N71" s="2162"/>
      <c r="O71" s="2162"/>
      <c r="P71" s="2164"/>
      <c r="Q71" s="2165"/>
      <c r="R71" s="2166"/>
      <c r="S71" s="2166"/>
      <c r="T71" s="2166"/>
      <c r="U71" s="2166"/>
      <c r="V71" s="2166"/>
      <c r="W71" s="2166"/>
      <c r="X71" s="2166"/>
      <c r="Y71" s="2166"/>
      <c r="Z71" s="2166"/>
      <c r="AA71" s="2166"/>
      <c r="AB71" s="2166"/>
      <c r="AC71" s="2166"/>
    </row>
    <row r="72" spans="1:29" s="1336" customFormat="1" ht="16.5" hidden="1" thickTop="1" thickBot="1">
      <c r="A72" s="685"/>
      <c r="B72" s="671">
        <f>B13</f>
        <v>0</v>
      </c>
      <c r="C72" s="686"/>
      <c r="D72" s="686"/>
      <c r="E72" s="686"/>
      <c r="F72" s="686"/>
      <c r="G72" s="686"/>
      <c r="H72" s="687"/>
      <c r="I72" s="687"/>
      <c r="J72" s="687"/>
      <c r="K72" s="687"/>
      <c r="L72" s="688"/>
      <c r="M72" s="689"/>
      <c r="N72" s="2163"/>
      <c r="O72" s="2163"/>
      <c r="P72" s="2167"/>
      <c r="Q72" s="2168"/>
      <c r="R72" s="2166"/>
      <c r="S72" s="2166"/>
      <c r="T72" s="2166"/>
      <c r="U72" s="2166"/>
      <c r="V72" s="2166"/>
      <c r="W72" s="2166"/>
      <c r="X72" s="2166"/>
      <c r="Y72" s="2166"/>
      <c r="Z72" s="2166"/>
      <c r="AA72" s="2166"/>
      <c r="AB72" s="2166"/>
      <c r="AC72" s="2166"/>
    </row>
    <row r="73" spans="1:29" s="1336" customFormat="1" ht="16.5" hidden="1" thickTop="1" thickBot="1">
      <c r="A73" s="685"/>
      <c r="B73" s="676"/>
      <c r="C73" s="690"/>
      <c r="D73" s="690"/>
      <c r="E73" s="690"/>
      <c r="F73" s="690"/>
      <c r="G73" s="690"/>
      <c r="H73" s="691"/>
      <c r="I73" s="691"/>
      <c r="J73" s="691"/>
      <c r="K73" s="691"/>
      <c r="L73" s="691"/>
      <c r="M73" s="692"/>
      <c r="N73" s="2163"/>
      <c r="O73" s="2163"/>
      <c r="P73" s="2164"/>
      <c r="Q73" s="2165"/>
      <c r="R73" s="2166"/>
      <c r="S73" s="2166"/>
      <c r="T73" s="2166"/>
      <c r="U73" s="2166"/>
      <c r="V73" s="2166"/>
      <c r="W73" s="2166"/>
      <c r="X73" s="2166"/>
      <c r="Y73" s="2166"/>
      <c r="Z73" s="2166"/>
      <c r="AA73" s="2166"/>
      <c r="AB73" s="2166"/>
      <c r="AC73" s="2166"/>
    </row>
    <row r="74" spans="1:29" s="1336" customFormat="1" ht="16.5" hidden="1" thickTop="1" thickBot="1">
      <c r="A74" s="685"/>
      <c r="B74" s="679">
        <f>B14</f>
        <v>0</v>
      </c>
      <c r="C74" s="686"/>
      <c r="D74" s="686"/>
      <c r="E74" s="686"/>
      <c r="F74" s="686"/>
      <c r="G74" s="659"/>
      <c r="H74" s="693"/>
      <c r="I74" s="693"/>
      <c r="J74" s="693"/>
      <c r="K74" s="693"/>
      <c r="L74" s="694"/>
      <c r="M74" s="695"/>
      <c r="N74" s="2163"/>
      <c r="O74" s="2163"/>
      <c r="P74" s="2169"/>
      <c r="Q74" s="2165"/>
      <c r="R74" s="2166"/>
      <c r="S74" s="2166"/>
      <c r="T74" s="2166"/>
      <c r="U74" s="2166"/>
      <c r="V74" s="2166"/>
      <c r="W74" s="2166"/>
      <c r="X74" s="2166"/>
      <c r="Y74" s="2166"/>
      <c r="Z74" s="2166"/>
      <c r="AA74" s="2166"/>
      <c r="AB74" s="2166"/>
      <c r="AC74" s="2166"/>
    </row>
    <row r="75" spans="1:29" s="1336" customFormat="1" ht="16.5" hidden="1" thickTop="1" thickBot="1">
      <c r="A75" s="696"/>
      <c r="B75" s="697"/>
      <c r="C75" s="698"/>
      <c r="D75" s="698"/>
      <c r="E75" s="698"/>
      <c r="F75" s="698"/>
      <c r="G75" s="698"/>
      <c r="H75" s="699"/>
      <c r="I75" s="699"/>
      <c r="J75" s="699"/>
      <c r="K75" s="699"/>
      <c r="L75" s="699"/>
      <c r="M75" s="700"/>
      <c r="N75" s="2163"/>
      <c r="O75" s="2163"/>
      <c r="P75" s="2164"/>
      <c r="Q75" s="2165"/>
      <c r="R75" s="2166"/>
      <c r="S75" s="2166"/>
      <c r="T75" s="2166"/>
      <c r="U75" s="2166"/>
      <c r="V75" s="2166"/>
      <c r="W75" s="2166"/>
      <c r="X75" s="2166"/>
      <c r="Y75" s="2166"/>
      <c r="Z75" s="2166"/>
      <c r="AA75" s="2166"/>
      <c r="AB75" s="2166"/>
      <c r="AC75" s="2166"/>
    </row>
    <row r="76" spans="1:29" ht="15" thickTop="1">
      <c r="A76" s="662" t="s">
        <v>539</v>
      </c>
      <c r="B76" s="663" t="s">
        <v>578</v>
      </c>
      <c r="C76" s="701" t="s">
        <v>579</v>
      </c>
      <c r="D76" s="701" t="s">
        <v>580</v>
      </c>
      <c r="E76" s="701" t="s">
        <v>581</v>
      </c>
      <c r="F76" s="701" t="s">
        <v>582</v>
      </c>
      <c r="G76" s="701" t="s">
        <v>583</v>
      </c>
      <c r="H76" s="702"/>
      <c r="I76" s="702"/>
      <c r="J76" s="702"/>
      <c r="K76" s="703"/>
      <c r="L76" s="704"/>
      <c r="M76" s="705"/>
      <c r="N76" s="2160"/>
      <c r="O76" s="2160"/>
      <c r="P76" s="2170"/>
      <c r="Q76" s="2154"/>
      <c r="R76" s="2141"/>
      <c r="S76" s="2141"/>
      <c r="T76" s="2141"/>
      <c r="U76" s="2141"/>
      <c r="V76" s="2141"/>
      <c r="W76" s="2141"/>
      <c r="X76" s="2141"/>
      <c r="Y76" s="2141"/>
      <c r="Z76" s="2141"/>
      <c r="AA76" s="2141"/>
      <c r="AB76" s="2141"/>
      <c r="AC76" s="2141"/>
    </row>
    <row r="77" spans="1:29" ht="15.75" thickBot="1">
      <c r="A77" s="667"/>
      <c r="B77" s="676"/>
      <c r="C77" s="677">
        <v>100</v>
      </c>
      <c r="D77" s="677">
        <f>C77-$K15</f>
        <v>97</v>
      </c>
      <c r="E77" s="677">
        <f>D77-$K15</f>
        <v>94</v>
      </c>
      <c r="F77" s="677">
        <f>E77-$K15</f>
        <v>91</v>
      </c>
      <c r="G77" s="677">
        <f>F77-$K15</f>
        <v>88</v>
      </c>
      <c r="H77" s="677"/>
      <c r="I77" s="677"/>
      <c r="J77" s="677"/>
      <c r="K77" s="677"/>
      <c r="L77" s="677"/>
      <c r="M77" s="678"/>
      <c r="N77" s="2162"/>
      <c r="O77" s="2162"/>
      <c r="P77" s="2161"/>
      <c r="Q77" s="2154"/>
      <c r="R77" s="2141"/>
      <c r="S77" s="2141"/>
      <c r="T77" s="2141"/>
      <c r="U77" s="2141"/>
      <c r="V77" s="2141"/>
      <c r="W77" s="2141"/>
      <c r="X77" s="2141"/>
      <c r="Y77" s="2141"/>
      <c r="Z77" s="2141"/>
      <c r="AA77" s="2141"/>
      <c r="AB77" s="2141"/>
      <c r="AC77" s="2141"/>
    </row>
    <row r="78" spans="1:29" ht="15.75" thickTop="1">
      <c r="A78" s="667"/>
      <c r="B78" s="671" t="s">
        <v>586</v>
      </c>
      <c r="C78" s="706" t="s">
        <v>579</v>
      </c>
      <c r="D78" s="706" t="s">
        <v>580</v>
      </c>
      <c r="E78" s="706" t="s">
        <v>581</v>
      </c>
      <c r="F78" s="706" t="s">
        <v>582</v>
      </c>
      <c r="G78" s="706" t="s">
        <v>583</v>
      </c>
      <c r="H78" s="672"/>
      <c r="I78" s="672"/>
      <c r="J78" s="672"/>
      <c r="K78" s="673"/>
      <c r="L78" s="674"/>
      <c r="M78" s="675"/>
      <c r="N78" s="2160"/>
      <c r="O78" s="2160"/>
      <c r="P78" s="2161"/>
      <c r="Q78" s="2154"/>
      <c r="R78" s="2141"/>
      <c r="S78" s="2141"/>
      <c r="T78" s="2141"/>
      <c r="U78" s="2141"/>
      <c r="V78" s="2141"/>
      <c r="W78" s="2141"/>
      <c r="X78" s="2141"/>
      <c r="Y78" s="2141"/>
      <c r="Z78" s="2141"/>
      <c r="AA78" s="2141"/>
      <c r="AB78" s="2141"/>
      <c r="AC78" s="2141"/>
    </row>
    <row r="79" spans="1:29" ht="15.75" thickBot="1">
      <c r="A79" s="667"/>
      <c r="B79" s="676"/>
      <c r="C79" s="677">
        <v>100</v>
      </c>
      <c r="D79" s="677">
        <f>C79-$K17</f>
        <v>97</v>
      </c>
      <c r="E79" s="677">
        <f>D79-$K17</f>
        <v>94</v>
      </c>
      <c r="F79" s="677">
        <f>E79-$K17</f>
        <v>91</v>
      </c>
      <c r="G79" s="677">
        <f>F79-$K17</f>
        <v>88</v>
      </c>
      <c r="H79" s="677"/>
      <c r="I79" s="677"/>
      <c r="J79" s="677"/>
      <c r="K79" s="677"/>
      <c r="L79" s="677"/>
      <c r="M79" s="678"/>
      <c r="N79" s="2162"/>
      <c r="O79" s="2162"/>
      <c r="P79" s="2161"/>
      <c r="Q79" s="2154"/>
      <c r="R79" s="2141"/>
      <c r="S79" s="2141"/>
      <c r="T79" s="2141"/>
      <c r="U79" s="2141"/>
      <c r="V79" s="2141"/>
      <c r="W79" s="2141"/>
      <c r="X79" s="2141"/>
      <c r="Y79" s="2141"/>
      <c r="Z79" s="2141"/>
      <c r="AA79" s="2141"/>
      <c r="AB79" s="2141"/>
      <c r="AC79" s="2141"/>
    </row>
    <row r="80" spans="1:29" ht="15.75" thickTop="1">
      <c r="A80" s="667"/>
      <c r="B80" s="1892" t="s">
        <v>2317</v>
      </c>
      <c r="C80" s="706" t="s">
        <v>579</v>
      </c>
      <c r="D80" s="706" t="s">
        <v>580</v>
      </c>
      <c r="E80" s="706" t="s">
        <v>581</v>
      </c>
      <c r="F80" s="706" t="s">
        <v>582</v>
      </c>
      <c r="G80" s="706" t="s">
        <v>583</v>
      </c>
      <c r="H80" s="672"/>
      <c r="I80" s="672"/>
      <c r="J80" s="672"/>
      <c r="K80" s="673"/>
      <c r="L80" s="674"/>
      <c r="M80" s="675"/>
      <c r="N80" s="2160"/>
      <c r="O80" s="2160"/>
      <c r="P80" s="2161"/>
      <c r="Q80" s="2154"/>
      <c r="R80" s="2141"/>
      <c r="S80" s="2141"/>
      <c r="T80" s="2141"/>
      <c r="U80" s="2141"/>
      <c r="V80" s="2141"/>
      <c r="W80" s="2141"/>
      <c r="X80" s="2141"/>
      <c r="Y80" s="2141"/>
      <c r="Z80" s="2141"/>
      <c r="AA80" s="2141"/>
      <c r="AB80" s="2141"/>
      <c r="AC80" s="2141"/>
    </row>
    <row r="81" spans="1:29" ht="15.75" thickBot="1">
      <c r="A81" s="667"/>
      <c r="B81" s="676"/>
      <c r="C81" s="677">
        <v>100</v>
      </c>
      <c r="D81" s="677">
        <f>C81-$K19</f>
        <v>98</v>
      </c>
      <c r="E81" s="677">
        <f>D81-$K19</f>
        <v>96</v>
      </c>
      <c r="F81" s="677">
        <f>E81-$K19</f>
        <v>94</v>
      </c>
      <c r="G81" s="677">
        <f>F81-$K19</f>
        <v>92</v>
      </c>
      <c r="H81" s="677"/>
      <c r="I81" s="677"/>
      <c r="J81" s="677"/>
      <c r="K81" s="677"/>
      <c r="L81" s="677"/>
      <c r="M81" s="678"/>
      <c r="N81" s="2162"/>
      <c r="O81" s="2162"/>
      <c r="P81" s="2161"/>
      <c r="Q81" s="2154"/>
      <c r="R81" s="2141"/>
      <c r="S81" s="2141"/>
      <c r="T81" s="2141"/>
      <c r="U81" s="2141"/>
      <c r="V81" s="2141"/>
      <c r="W81" s="2141"/>
      <c r="X81" s="2141"/>
      <c r="Y81" s="2141"/>
      <c r="Z81" s="2141"/>
      <c r="AA81" s="2141"/>
      <c r="AB81" s="2141"/>
      <c r="AC81" s="2141"/>
    </row>
    <row r="82" spans="1:29" ht="15.75" thickTop="1">
      <c r="A82" s="667"/>
      <c r="B82" s="2593" t="s">
        <v>2547</v>
      </c>
      <c r="C82" s="2594" t="s">
        <v>2559</v>
      </c>
      <c r="D82" s="2594" t="s">
        <v>2560</v>
      </c>
      <c r="E82" s="2594" t="s">
        <v>2561</v>
      </c>
      <c r="F82" s="2594" t="s">
        <v>2562</v>
      </c>
      <c r="G82" s="2594" t="s">
        <v>2563</v>
      </c>
      <c r="H82" s="672"/>
      <c r="I82" s="672"/>
      <c r="J82" s="672"/>
      <c r="K82" s="672"/>
      <c r="L82" s="672"/>
      <c r="M82" s="2597"/>
      <c r="N82" s="2162"/>
      <c r="O82" s="2162"/>
      <c r="P82" s="2161"/>
      <c r="Q82" s="2154"/>
      <c r="R82" s="2141"/>
      <c r="S82" s="2141"/>
      <c r="T82" s="2141"/>
      <c r="U82" s="2141"/>
      <c r="V82" s="2141"/>
      <c r="W82" s="2141"/>
      <c r="X82" s="2141"/>
      <c r="Y82" s="2141"/>
      <c r="Z82" s="2141"/>
      <c r="AA82" s="2141"/>
      <c r="AB82" s="2141"/>
      <c r="AC82" s="2141"/>
    </row>
    <row r="83" spans="1:29" ht="15.75" thickBot="1">
      <c r="A83" s="667"/>
      <c r="B83" s="679"/>
      <c r="C83" s="677">
        <v>100</v>
      </c>
      <c r="D83" s="677">
        <f>C83-$K21</f>
        <v>98</v>
      </c>
      <c r="E83" s="677">
        <f>D83-$K21</f>
        <v>96</v>
      </c>
      <c r="F83" s="677">
        <f>E83-$K21</f>
        <v>94</v>
      </c>
      <c r="G83" s="677">
        <f>F83-$K21</f>
        <v>92</v>
      </c>
      <c r="H83" s="932"/>
      <c r="I83" s="932"/>
      <c r="J83" s="932"/>
      <c r="K83" s="932"/>
      <c r="L83" s="932"/>
      <c r="M83" s="557"/>
      <c r="N83" s="2162"/>
      <c r="O83" s="2162"/>
      <c r="P83" s="2161"/>
      <c r="Q83" s="2154"/>
      <c r="R83" s="2141"/>
      <c r="S83" s="2141"/>
      <c r="T83" s="2141"/>
      <c r="U83" s="2141"/>
      <c r="V83" s="2141"/>
      <c r="W83" s="2141"/>
      <c r="X83" s="2141"/>
      <c r="Y83" s="2141"/>
      <c r="Z83" s="2141"/>
      <c r="AA83" s="2141"/>
      <c r="AB83" s="2141"/>
      <c r="AC83" s="2141"/>
    </row>
    <row r="84" spans="1:29" ht="15.75" thickTop="1">
      <c r="A84" s="667"/>
      <c r="B84" s="671" t="s">
        <v>744</v>
      </c>
      <c r="C84" s="706" t="s">
        <v>579</v>
      </c>
      <c r="D84" s="706" t="s">
        <v>580</v>
      </c>
      <c r="E84" s="706" t="s">
        <v>581</v>
      </c>
      <c r="F84" s="706" t="s">
        <v>582</v>
      </c>
      <c r="G84" s="706" t="s">
        <v>583</v>
      </c>
      <c r="H84" s="672"/>
      <c r="I84" s="672"/>
      <c r="J84" s="672"/>
      <c r="K84" s="673"/>
      <c r="L84" s="674"/>
      <c r="M84" s="675"/>
      <c r="N84" s="2160"/>
      <c r="O84" s="2160"/>
      <c r="P84" s="2161"/>
      <c r="Q84" s="2154"/>
      <c r="R84" s="2141"/>
      <c r="S84" s="2141"/>
      <c r="T84" s="2141"/>
      <c r="U84" s="2141"/>
      <c r="V84" s="2141"/>
      <c r="W84" s="2141"/>
      <c r="X84" s="2141"/>
      <c r="Y84" s="2141"/>
      <c r="Z84" s="2141"/>
      <c r="AA84" s="2141"/>
      <c r="AB84" s="2141"/>
      <c r="AC84" s="2141"/>
    </row>
    <row r="85" spans="1:29" ht="15.75" thickBot="1">
      <c r="A85" s="667"/>
      <c r="B85" s="676"/>
      <c r="C85" s="677">
        <v>100</v>
      </c>
      <c r="D85" s="677">
        <f>C85-$K23</f>
        <v>97</v>
      </c>
      <c r="E85" s="677">
        <f>D85-$K23</f>
        <v>94</v>
      </c>
      <c r="F85" s="677">
        <f>E85-$K23</f>
        <v>91</v>
      </c>
      <c r="G85" s="677">
        <f>F85-$K23</f>
        <v>88</v>
      </c>
      <c r="H85" s="677"/>
      <c r="I85" s="677"/>
      <c r="J85" s="677"/>
      <c r="K85" s="677"/>
      <c r="L85" s="677"/>
      <c r="M85" s="678"/>
      <c r="N85" s="2162"/>
      <c r="O85" s="2162"/>
      <c r="P85" s="2161"/>
      <c r="Q85" s="2154"/>
      <c r="R85" s="2141"/>
      <c r="S85" s="2141"/>
      <c r="T85" s="2141"/>
      <c r="U85" s="2141"/>
      <c r="V85" s="2141"/>
      <c r="W85" s="2141"/>
      <c r="X85" s="2141"/>
      <c r="Y85" s="2141"/>
      <c r="Z85" s="2141"/>
      <c r="AA85" s="2141"/>
      <c r="AB85" s="2141"/>
      <c r="AC85" s="2141"/>
    </row>
    <row r="86" spans="1:29" s="1217" customFormat="1" ht="16.5" hidden="1" thickTop="1" thickBot="1">
      <c r="A86" s="707"/>
      <c r="B86" s="1892" t="s">
        <v>2257</v>
      </c>
      <c r="C86" s="686"/>
      <c r="D86" s="686"/>
      <c r="E86" s="686"/>
      <c r="F86" s="686"/>
      <c r="G86" s="686"/>
      <c r="H86" s="686"/>
      <c r="I86" s="686"/>
      <c r="J86" s="686"/>
      <c r="K86" s="686"/>
      <c r="L86" s="887"/>
      <c r="M86" s="888"/>
      <c r="N86" s="2158"/>
      <c r="O86" s="2158"/>
      <c r="P86" s="2161"/>
      <c r="Q86" s="2154"/>
      <c r="R86" s="1989"/>
      <c r="S86" s="1989"/>
      <c r="T86" s="1989"/>
      <c r="U86" s="1989"/>
      <c r="V86" s="1989"/>
      <c r="W86" s="1989"/>
      <c r="X86" s="1989"/>
      <c r="Y86" s="1989"/>
      <c r="Z86" s="1989"/>
      <c r="AA86" s="1989"/>
      <c r="AB86" s="1989"/>
      <c r="AC86" s="1989"/>
    </row>
    <row r="87" spans="1:29" s="1217" customFormat="1" ht="16.5" hidden="1" thickTop="1"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2"/>
      <c r="O87" s="2162"/>
      <c r="P87" s="2161"/>
      <c r="Q87" s="2154"/>
      <c r="R87" s="1989"/>
      <c r="S87" s="1989"/>
      <c r="T87" s="1989"/>
      <c r="U87" s="1989"/>
      <c r="V87" s="1989"/>
      <c r="W87" s="1989"/>
      <c r="X87" s="1989"/>
      <c r="Y87" s="1989"/>
      <c r="Z87" s="1989"/>
      <c r="AA87" s="1989"/>
      <c r="AB87" s="1989"/>
      <c r="AC87" s="1989"/>
    </row>
    <row r="88" spans="1:29" s="1217" customFormat="1" ht="16.5" hidden="1" thickTop="1" thickBot="1">
      <c r="A88" s="707"/>
      <c r="B88" s="671" t="s">
        <v>746</v>
      </c>
      <c r="C88" s="686"/>
      <c r="D88" s="686"/>
      <c r="E88" s="686"/>
      <c r="F88" s="889"/>
      <c r="G88" s="686"/>
      <c r="H88" s="686"/>
      <c r="I88" s="686"/>
      <c r="J88" s="686"/>
      <c r="K88" s="686"/>
      <c r="L88" s="686"/>
      <c r="M88" s="888"/>
      <c r="N88" s="2158"/>
      <c r="O88" s="2158"/>
      <c r="P88" s="2161"/>
      <c r="Q88" s="2154"/>
      <c r="R88" s="1989"/>
      <c r="S88" s="1989"/>
      <c r="T88" s="1989"/>
      <c r="U88" s="1989"/>
      <c r="V88" s="1989"/>
      <c r="W88" s="1989"/>
      <c r="X88" s="1989"/>
      <c r="Y88" s="1989"/>
      <c r="Z88" s="1989"/>
      <c r="AA88" s="1989"/>
      <c r="AB88" s="1989"/>
      <c r="AC88" s="1989"/>
    </row>
    <row r="89" spans="1:29" s="1217" customFormat="1" ht="16.5" hidden="1" thickTop="1"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2"/>
      <c r="O89" s="2162"/>
      <c r="P89" s="2161"/>
      <c r="Q89" s="2154"/>
      <c r="R89" s="1989"/>
      <c r="S89" s="1989"/>
      <c r="T89" s="1989"/>
      <c r="U89" s="1989"/>
      <c r="V89" s="1989"/>
      <c r="W89" s="1989"/>
      <c r="X89" s="1989"/>
      <c r="Y89" s="1989"/>
      <c r="Z89" s="1989"/>
      <c r="AA89" s="1989"/>
      <c r="AB89" s="1989"/>
      <c r="AC89" s="1989"/>
    </row>
    <row r="90" spans="1:29" s="1336" customFormat="1" ht="16.5" hidden="1" thickTop="1" thickBot="1">
      <c r="A90" s="685"/>
      <c r="B90" s="671" t="str">
        <f>B27</f>
        <v>道路级别</v>
      </c>
      <c r="C90" s="686"/>
      <c r="D90" s="686"/>
      <c r="E90" s="686"/>
      <c r="F90" s="686"/>
      <c r="G90" s="686"/>
      <c r="H90" s="687"/>
      <c r="I90" s="687"/>
      <c r="J90" s="687"/>
      <c r="K90" s="687"/>
      <c r="L90" s="688"/>
      <c r="M90" s="689"/>
      <c r="N90" s="2163"/>
      <c r="O90" s="2163"/>
      <c r="P90" s="2164"/>
      <c r="Q90" s="2165"/>
      <c r="R90" s="2166"/>
      <c r="S90" s="2166"/>
      <c r="T90" s="2166"/>
      <c r="U90" s="2166"/>
      <c r="V90" s="2166"/>
      <c r="W90" s="2166"/>
      <c r="X90" s="2166"/>
      <c r="Y90" s="2166"/>
      <c r="Z90" s="2166"/>
      <c r="AA90" s="2166"/>
      <c r="AB90" s="2166"/>
      <c r="AC90" s="2166"/>
    </row>
    <row r="91" spans="1:29" s="1336" customFormat="1" ht="16.5" hidden="1" thickTop="1" thickBot="1">
      <c r="A91" s="685"/>
      <c r="B91" s="676"/>
      <c r="C91" s="690"/>
      <c r="D91" s="690"/>
      <c r="E91" s="690"/>
      <c r="F91" s="690"/>
      <c r="G91" s="690"/>
      <c r="H91" s="691"/>
      <c r="I91" s="691"/>
      <c r="J91" s="691"/>
      <c r="K91" s="691"/>
      <c r="L91" s="691"/>
      <c r="M91" s="692"/>
      <c r="N91" s="2163"/>
      <c r="O91" s="2163"/>
      <c r="P91" s="2164"/>
      <c r="Q91" s="2165"/>
      <c r="R91" s="2166"/>
      <c r="S91" s="2166"/>
      <c r="T91" s="2166"/>
      <c r="U91" s="2166"/>
      <c r="V91" s="2166"/>
      <c r="W91" s="2166"/>
      <c r="X91" s="2166"/>
      <c r="Y91" s="2166"/>
      <c r="Z91" s="2166"/>
      <c r="AA91" s="2166"/>
      <c r="AB91" s="2166"/>
      <c r="AC91" s="2166"/>
    </row>
    <row r="92" spans="1:29" ht="16.5" hidden="1" thickTop="1" thickBot="1">
      <c r="A92" s="667"/>
      <c r="B92" s="671">
        <f>B28</f>
        <v>0</v>
      </c>
      <c r="C92" s="686"/>
      <c r="D92" s="686"/>
      <c r="E92" s="686"/>
      <c r="F92" s="686"/>
      <c r="G92" s="716"/>
      <c r="H92" s="716"/>
      <c r="I92" s="716"/>
      <c r="J92" s="716"/>
      <c r="K92" s="717"/>
      <c r="L92" s="718"/>
      <c r="M92" s="719"/>
      <c r="N92" s="2160"/>
      <c r="O92" s="2160"/>
      <c r="P92" s="2161"/>
      <c r="Q92" s="2154"/>
      <c r="R92" s="2141"/>
      <c r="S92" s="2141"/>
      <c r="T92" s="2141"/>
      <c r="U92" s="2141"/>
      <c r="V92" s="2141"/>
      <c r="W92" s="2141"/>
      <c r="X92" s="2141"/>
      <c r="Y92" s="2141"/>
      <c r="Z92" s="2141"/>
      <c r="AA92" s="2141"/>
      <c r="AB92" s="2141"/>
      <c r="AC92" s="2141"/>
    </row>
    <row r="93" spans="1:29" ht="16.5" hidden="1" thickTop="1" thickBot="1">
      <c r="A93" s="667"/>
      <c r="B93" s="676"/>
      <c r="C93" s="690"/>
      <c r="D93" s="669"/>
      <c r="E93" s="669"/>
      <c r="F93" s="669"/>
      <c r="G93" s="669"/>
      <c r="H93" s="669"/>
      <c r="I93" s="669"/>
      <c r="J93" s="669"/>
      <c r="K93" s="669"/>
      <c r="L93" s="669"/>
      <c r="M93" s="670"/>
      <c r="N93" s="2162"/>
      <c r="O93" s="2162"/>
      <c r="P93" s="2161"/>
      <c r="Q93" s="2154"/>
      <c r="R93" s="2141"/>
      <c r="S93" s="2141"/>
      <c r="T93" s="2141"/>
      <c r="U93" s="2141"/>
      <c r="V93" s="2141"/>
      <c r="W93" s="2141"/>
      <c r="X93" s="2141"/>
      <c r="Y93" s="2141"/>
      <c r="Z93" s="2141"/>
      <c r="AA93" s="2141"/>
      <c r="AB93" s="2141"/>
      <c r="AC93" s="2141"/>
    </row>
    <row r="94" spans="1:29" ht="16.5" hidden="1" thickTop="1" thickBot="1">
      <c r="A94" s="667"/>
      <c r="B94" s="671">
        <f>B29</f>
        <v>0</v>
      </c>
      <c r="C94" s="686"/>
      <c r="D94" s="686"/>
      <c r="E94" s="686"/>
      <c r="F94" s="686"/>
      <c r="G94" s="716"/>
      <c r="H94" s="716"/>
      <c r="I94" s="716"/>
      <c r="J94" s="716"/>
      <c r="K94" s="717"/>
      <c r="L94" s="718"/>
      <c r="M94" s="719"/>
      <c r="N94" s="2160"/>
      <c r="O94" s="2160"/>
      <c r="P94" s="2161"/>
      <c r="Q94" s="2154"/>
      <c r="R94" s="2141"/>
      <c r="S94" s="2141"/>
      <c r="T94" s="2141"/>
      <c r="U94" s="2141"/>
      <c r="V94" s="2141"/>
      <c r="W94" s="2141"/>
      <c r="X94" s="2141"/>
      <c r="Y94" s="2141"/>
      <c r="Z94" s="2141"/>
      <c r="AA94" s="2141"/>
      <c r="AB94" s="2141"/>
      <c r="AC94" s="2141"/>
    </row>
    <row r="95" spans="1:29" ht="16.5" hidden="1" thickTop="1" thickBot="1">
      <c r="A95" s="667"/>
      <c r="B95" s="676"/>
      <c r="C95" s="690"/>
      <c r="D95" s="690"/>
      <c r="E95" s="690"/>
      <c r="F95" s="690"/>
      <c r="G95" s="669"/>
      <c r="H95" s="669"/>
      <c r="I95" s="669"/>
      <c r="J95" s="669"/>
      <c r="K95" s="669"/>
      <c r="L95" s="669"/>
      <c r="M95" s="670"/>
      <c r="N95" s="2162"/>
      <c r="O95" s="2162"/>
      <c r="P95" s="2161"/>
      <c r="Q95" s="2154"/>
      <c r="R95" s="2141"/>
      <c r="S95" s="2141"/>
      <c r="T95" s="2141"/>
      <c r="U95" s="2141"/>
      <c r="V95" s="2141"/>
      <c r="W95" s="2141"/>
      <c r="X95" s="2141"/>
      <c r="Y95" s="2141"/>
      <c r="Z95" s="2141"/>
      <c r="AA95" s="2141"/>
      <c r="AB95" s="2141"/>
      <c r="AC95" s="2141"/>
    </row>
    <row r="96" spans="1:29" ht="16.5" hidden="1" thickTop="1" thickBot="1">
      <c r="A96" s="667"/>
      <c r="B96" s="671">
        <f>B30</f>
        <v>0</v>
      </c>
      <c r="C96" s="686"/>
      <c r="D96" s="686"/>
      <c r="E96" s="686"/>
      <c r="F96" s="686"/>
      <c r="G96" s="716"/>
      <c r="H96" s="716"/>
      <c r="I96" s="716"/>
      <c r="J96" s="716"/>
      <c r="K96" s="717"/>
      <c r="L96" s="718"/>
      <c r="M96" s="719"/>
      <c r="N96" s="2160"/>
      <c r="O96" s="2160"/>
      <c r="P96" s="2161"/>
      <c r="Q96" s="2154"/>
      <c r="R96" s="2141"/>
      <c r="S96" s="2141"/>
      <c r="T96" s="2141"/>
      <c r="U96" s="2141"/>
      <c r="V96" s="2141"/>
      <c r="W96" s="2141"/>
      <c r="X96" s="2141"/>
      <c r="Y96" s="2141"/>
      <c r="Z96" s="2141"/>
      <c r="AA96" s="2141"/>
      <c r="AB96" s="2141"/>
      <c r="AC96" s="2141"/>
    </row>
    <row r="97" spans="1:29" ht="16.5" hidden="1" thickTop="1" thickBot="1">
      <c r="A97" s="667"/>
      <c r="B97" s="676"/>
      <c r="C97" s="698"/>
      <c r="D97" s="698"/>
      <c r="E97" s="698"/>
      <c r="F97" s="698"/>
      <c r="G97" s="669"/>
      <c r="H97" s="669"/>
      <c r="I97" s="669"/>
      <c r="J97" s="669"/>
      <c r="K97" s="669"/>
      <c r="L97" s="669"/>
      <c r="M97" s="670"/>
      <c r="N97" s="2162"/>
      <c r="O97" s="2162"/>
      <c r="P97" s="2161"/>
      <c r="Q97" s="2154"/>
      <c r="R97" s="2141"/>
      <c r="S97" s="2141"/>
      <c r="T97" s="2141"/>
      <c r="U97" s="2141"/>
      <c r="V97" s="2141"/>
      <c r="W97" s="2141"/>
      <c r="X97" s="2141"/>
      <c r="Y97" s="2141"/>
      <c r="Z97" s="2141"/>
      <c r="AA97" s="2141"/>
      <c r="AB97" s="2141"/>
      <c r="AC97" s="2141"/>
    </row>
    <row r="98" spans="1:29" ht="16.5" hidden="1" thickTop="1" thickBot="1">
      <c r="A98" s="667"/>
      <c r="B98" s="679">
        <f>B31</f>
        <v>0</v>
      </c>
      <c r="C98" s="720"/>
      <c r="D98" s="720"/>
      <c r="E98" s="720"/>
      <c r="F98" s="720"/>
      <c r="G98" s="720"/>
      <c r="H98" s="720"/>
      <c r="I98" s="720"/>
      <c r="J98" s="720"/>
      <c r="K98" s="721"/>
      <c r="L98" s="722"/>
      <c r="M98" s="723"/>
      <c r="N98" s="2160"/>
      <c r="O98" s="2160"/>
      <c r="P98" s="2161"/>
      <c r="Q98" s="2154"/>
      <c r="R98" s="2141"/>
      <c r="S98" s="2141"/>
      <c r="T98" s="2141"/>
      <c r="U98" s="2141"/>
      <c r="V98" s="2141"/>
      <c r="W98" s="2141"/>
      <c r="X98" s="2141"/>
      <c r="Y98" s="2141"/>
      <c r="Z98" s="2141"/>
      <c r="AA98" s="2141"/>
      <c r="AB98" s="2141"/>
      <c r="AC98" s="2141"/>
    </row>
    <row r="99" spans="1:29" ht="16.5" hidden="1" thickTop="1" thickBot="1">
      <c r="A99" s="890"/>
      <c r="B99" s="697"/>
      <c r="C99" s="724"/>
      <c r="D99" s="724"/>
      <c r="E99" s="724"/>
      <c r="F99" s="724"/>
      <c r="G99" s="724"/>
      <c r="H99" s="724"/>
      <c r="I99" s="724"/>
      <c r="J99" s="724"/>
      <c r="K99" s="724"/>
      <c r="L99" s="724"/>
      <c r="M99" s="725"/>
      <c r="N99" s="2162"/>
      <c r="O99" s="2162"/>
      <c r="P99" s="2161"/>
      <c r="Q99" s="2154"/>
      <c r="R99" s="2141"/>
      <c r="S99" s="2141"/>
      <c r="T99" s="2141"/>
      <c r="U99" s="2141"/>
      <c r="V99" s="2141"/>
      <c r="W99" s="2141"/>
      <c r="X99" s="2141"/>
      <c r="Y99" s="2141"/>
      <c r="Z99" s="2141"/>
      <c r="AA99" s="2141"/>
      <c r="AB99" s="2141"/>
      <c r="AC99" s="2141"/>
    </row>
    <row r="100" spans="1:29" ht="15" thickTop="1">
      <c r="A100" s="662" t="s">
        <v>551</v>
      </c>
      <c r="B100" s="663" t="s">
        <v>747</v>
      </c>
      <c r="C100" s="3388" t="s">
        <v>3434</v>
      </c>
      <c r="D100" s="3388" t="s">
        <v>3436</v>
      </c>
      <c r="E100" s="596"/>
      <c r="F100" s="596"/>
      <c r="G100" s="596"/>
      <c r="H100" s="596"/>
      <c r="I100" s="596"/>
      <c r="J100" s="596"/>
      <c r="K100" s="664"/>
      <c r="L100" s="665"/>
      <c r="M100" s="666"/>
      <c r="N100" s="2160"/>
      <c r="O100" s="2160"/>
      <c r="P100" s="2161"/>
      <c r="Q100" s="2154"/>
      <c r="R100" s="2141"/>
      <c r="S100" s="2141"/>
      <c r="T100" s="2141"/>
      <c r="U100" s="2141"/>
      <c r="V100" s="2141"/>
      <c r="W100" s="2141"/>
      <c r="X100" s="2141"/>
      <c r="Y100" s="2141"/>
      <c r="Z100" s="2141"/>
      <c r="AA100" s="2141"/>
      <c r="AB100" s="2141"/>
      <c r="AC100" s="2141"/>
    </row>
    <row r="101" spans="1:29" ht="15.75" thickBot="1">
      <c r="A101" s="667"/>
      <c r="B101" s="676"/>
      <c r="C101" s="677">
        <v>100</v>
      </c>
      <c r="D101" s="677">
        <f t="shared" ref="D101:M101" si="22">C101-$K32</f>
        <v>85</v>
      </c>
      <c r="E101" s="677">
        <f t="shared" si="22"/>
        <v>70</v>
      </c>
      <c r="F101" s="677">
        <f t="shared" si="22"/>
        <v>55</v>
      </c>
      <c r="G101" s="677">
        <f t="shared" si="22"/>
        <v>40</v>
      </c>
      <c r="H101" s="677">
        <f t="shared" si="22"/>
        <v>25</v>
      </c>
      <c r="I101" s="677">
        <f t="shared" si="22"/>
        <v>10</v>
      </c>
      <c r="J101" s="677">
        <f t="shared" si="22"/>
        <v>-5</v>
      </c>
      <c r="K101" s="677">
        <f t="shared" si="22"/>
        <v>-20</v>
      </c>
      <c r="L101" s="677">
        <f t="shared" si="22"/>
        <v>-35</v>
      </c>
      <c r="M101" s="677">
        <f t="shared" si="22"/>
        <v>-50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7"/>
      <c r="B102" s="671" t="s">
        <v>748</v>
      </c>
      <c r="C102" s="706" t="str">
        <f>C103&amp;"(含)"&amp;"-"&amp;D103</f>
        <v>0(含)-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6" customFormat="1">
      <c r="A103" s="726"/>
      <c r="B103" s="727"/>
      <c r="C103" s="728">
        <v>0</v>
      </c>
      <c r="D103" s="728"/>
      <c r="E103" s="728"/>
      <c r="F103" s="728"/>
      <c r="G103" s="728"/>
      <c r="H103" s="728"/>
      <c r="I103" s="728"/>
      <c r="J103" s="729"/>
      <c r="K103" s="729"/>
      <c r="L103" s="730"/>
      <c r="M103" s="731"/>
      <c r="N103" s="2163"/>
      <c r="O103" s="2163"/>
      <c r="P103" s="2164"/>
      <c r="Q103" s="2165"/>
      <c r="R103" s="2166"/>
      <c r="S103" s="2166"/>
      <c r="T103" s="2166"/>
      <c r="U103" s="2166"/>
      <c r="V103" s="2166"/>
      <c r="W103" s="2166"/>
      <c r="X103" s="2166"/>
      <c r="Y103" s="2166"/>
      <c r="Z103" s="2166"/>
      <c r="AA103" s="2166"/>
      <c r="AB103" s="2166"/>
      <c r="AC103" s="2166"/>
    </row>
    <row r="104" spans="1:29" s="1336" customFormat="1" ht="15.75" thickBot="1">
      <c r="A104" s="685"/>
      <c r="B104" s="676"/>
      <c r="C104" s="690"/>
      <c r="D104" s="669"/>
      <c r="E104" s="669"/>
      <c r="F104" s="669"/>
      <c r="G104" s="669"/>
      <c r="H104" s="669"/>
      <c r="I104" s="669"/>
      <c r="J104" s="669"/>
      <c r="K104" s="669"/>
      <c r="L104" s="669"/>
      <c r="M104" s="669"/>
      <c r="N104" s="2162"/>
      <c r="O104" s="2162"/>
      <c r="P104" s="2164"/>
      <c r="Q104" s="2165"/>
      <c r="R104" s="2166"/>
      <c r="S104" s="2166"/>
      <c r="T104" s="2166"/>
      <c r="U104" s="2166"/>
      <c r="V104" s="2166"/>
      <c r="W104" s="2166"/>
      <c r="X104" s="2166"/>
      <c r="Y104" s="2166"/>
      <c r="Z104" s="2166"/>
      <c r="AA104" s="2166"/>
      <c r="AB104" s="2166"/>
      <c r="AC104" s="2166"/>
    </row>
    <row r="105" spans="1:29" ht="15" thickTop="1">
      <c r="A105" s="733"/>
      <c r="B105" s="671" t="s">
        <v>749</v>
      </c>
      <c r="C105" s="3381" t="s">
        <v>3424</v>
      </c>
      <c r="D105" s="686"/>
      <c r="E105" s="716"/>
      <c r="F105" s="716"/>
      <c r="G105" s="716"/>
      <c r="H105" s="716"/>
      <c r="I105" s="716"/>
      <c r="J105" s="716"/>
      <c r="K105" s="717"/>
      <c r="L105" s="718"/>
      <c r="M105" s="719"/>
      <c r="N105" s="2160"/>
      <c r="O105" s="2160"/>
      <c r="P105" s="2161"/>
      <c r="Q105" s="2154"/>
      <c r="R105" s="2141"/>
      <c r="S105" s="2141"/>
      <c r="T105" s="2141"/>
      <c r="U105" s="2141"/>
      <c r="V105" s="2141"/>
      <c r="W105" s="2141"/>
      <c r="X105" s="2141"/>
      <c r="Y105" s="2141"/>
      <c r="Z105" s="2141"/>
      <c r="AA105" s="2141"/>
      <c r="AB105" s="2141"/>
      <c r="AC105" s="2141"/>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3"/>
      <c r="B107" s="671" t="s">
        <v>750</v>
      </c>
      <c r="C107" s="3382" t="s">
        <v>3433</v>
      </c>
      <c r="D107" s="3382" t="s">
        <v>3813</v>
      </c>
      <c r="E107" s="716"/>
      <c r="F107" s="716"/>
      <c r="G107" s="716"/>
      <c r="H107" s="716"/>
      <c r="I107" s="716"/>
      <c r="J107" s="716"/>
      <c r="K107" s="717"/>
      <c r="L107" s="718"/>
      <c r="M107" s="719"/>
      <c r="N107" s="2160"/>
      <c r="O107" s="2160"/>
      <c r="P107" s="2161"/>
      <c r="Q107" s="2154"/>
      <c r="R107" s="2141"/>
      <c r="S107" s="2141"/>
      <c r="T107" s="2141"/>
      <c r="U107" s="2141"/>
      <c r="V107" s="2141"/>
      <c r="W107" s="2141"/>
      <c r="X107" s="2141"/>
      <c r="Y107" s="2141"/>
      <c r="Z107" s="2141"/>
      <c r="AA107" s="2141"/>
      <c r="AB107" s="2141"/>
      <c r="AC107" s="2141"/>
    </row>
    <row r="108" spans="1:29" ht="15.75" thickBot="1">
      <c r="A108" s="667"/>
      <c r="B108" s="676"/>
      <c r="C108" s="677">
        <v>100</v>
      </c>
      <c r="D108" s="677">
        <f t="shared" ref="D108:M108" si="25">C108-$K35</f>
        <v>95</v>
      </c>
      <c r="E108" s="677">
        <f t="shared" si="25"/>
        <v>90</v>
      </c>
      <c r="F108" s="677">
        <f t="shared" si="25"/>
        <v>85</v>
      </c>
      <c r="G108" s="677">
        <f t="shared" si="25"/>
        <v>80</v>
      </c>
      <c r="H108" s="677">
        <f t="shared" si="25"/>
        <v>75</v>
      </c>
      <c r="I108" s="677">
        <f t="shared" si="25"/>
        <v>70</v>
      </c>
      <c r="J108" s="677">
        <f t="shared" si="25"/>
        <v>65</v>
      </c>
      <c r="K108" s="677">
        <f t="shared" si="25"/>
        <v>60</v>
      </c>
      <c r="L108" s="677">
        <f t="shared" si="25"/>
        <v>55</v>
      </c>
      <c r="M108" s="677">
        <f t="shared" si="25"/>
        <v>50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3"/>
      <c r="B109" s="671" t="s">
        <v>751</v>
      </c>
      <c r="C109" s="3381" t="s">
        <v>3442</v>
      </c>
      <c r="D109" s="686"/>
      <c r="E109" s="686"/>
      <c r="F109" s="716"/>
      <c r="G109" s="716"/>
      <c r="H109" s="716"/>
      <c r="I109" s="716"/>
      <c r="J109" s="716"/>
      <c r="K109" s="717"/>
      <c r="L109" s="718"/>
      <c r="M109" s="719"/>
      <c r="N109" s="2160"/>
      <c r="O109" s="2160"/>
      <c r="P109" s="2161"/>
      <c r="Q109" s="2154"/>
      <c r="R109" s="2141"/>
      <c r="S109" s="2141"/>
      <c r="T109" s="2141"/>
      <c r="U109" s="2141"/>
      <c r="V109" s="2141"/>
      <c r="W109" s="2141"/>
      <c r="X109" s="2141"/>
      <c r="Y109" s="2141"/>
      <c r="Z109" s="2141"/>
      <c r="AA109" s="2141"/>
      <c r="AB109" s="2141"/>
      <c r="AC109" s="2141"/>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62"/>
      <c r="O110" s="2162"/>
      <c r="P110" s="2161"/>
      <c r="Q110" s="2154"/>
      <c r="R110" s="2141"/>
      <c r="S110" s="2141"/>
      <c r="T110" s="2141"/>
      <c r="U110" s="2141"/>
      <c r="V110" s="2141"/>
      <c r="W110" s="2141"/>
      <c r="X110" s="2141"/>
      <c r="Y110" s="2141"/>
      <c r="Z110" s="2141"/>
      <c r="AA110" s="2141"/>
      <c r="AB110" s="2141"/>
      <c r="AC110" s="2141"/>
    </row>
    <row r="111" spans="1:29" s="1336"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3"/>
      <c r="O111" s="2163"/>
      <c r="P111" s="2164"/>
      <c r="Q111" s="2165"/>
      <c r="R111" s="2166"/>
      <c r="S111" s="2166"/>
      <c r="T111" s="2166"/>
      <c r="U111" s="2166"/>
      <c r="V111" s="2166"/>
      <c r="W111" s="2166"/>
      <c r="X111" s="2166"/>
      <c r="Y111" s="2166"/>
      <c r="Z111" s="2166"/>
      <c r="AA111" s="2166"/>
      <c r="AB111" s="2166"/>
      <c r="AC111" s="2166"/>
    </row>
    <row r="112" spans="1:29" s="1336" customFormat="1">
      <c r="A112" s="726"/>
      <c r="B112" s="679"/>
      <c r="C112" s="891">
        <v>0.5</v>
      </c>
      <c r="D112" s="891">
        <v>0.6</v>
      </c>
      <c r="E112" s="891">
        <v>0.7</v>
      </c>
      <c r="F112" s="891">
        <v>0.8</v>
      </c>
      <c r="G112" s="891">
        <v>0.9</v>
      </c>
      <c r="H112" s="891">
        <v>1.0001</v>
      </c>
      <c r="I112" s="891"/>
      <c r="J112" s="892"/>
      <c r="K112" s="892"/>
      <c r="L112" s="893"/>
      <c r="M112" s="894"/>
      <c r="N112" s="2163"/>
      <c r="O112" s="2163"/>
      <c r="P112" s="2164"/>
      <c r="Q112" s="2165"/>
      <c r="R112" s="2166"/>
      <c r="S112" s="2166"/>
      <c r="T112" s="2166"/>
      <c r="U112" s="2166"/>
      <c r="V112" s="2166"/>
      <c r="W112" s="2166"/>
      <c r="X112" s="2166"/>
      <c r="Y112" s="2166"/>
      <c r="Z112" s="2166"/>
      <c r="AA112" s="2166"/>
      <c r="AB112" s="2166"/>
      <c r="AC112" s="2166"/>
    </row>
    <row r="113" spans="1:29" s="1336"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63"/>
      <c r="O113" s="2163"/>
      <c r="P113" s="2164"/>
      <c r="Q113" s="2165"/>
      <c r="R113" s="2166"/>
      <c r="S113" s="2166"/>
      <c r="T113" s="2166"/>
      <c r="U113" s="2166"/>
      <c r="V113" s="2166"/>
      <c r="W113" s="2166"/>
      <c r="X113" s="2166"/>
      <c r="Y113" s="2166"/>
      <c r="Z113" s="2166"/>
      <c r="AA113" s="2166"/>
      <c r="AB113" s="2166"/>
      <c r="AC113" s="2166"/>
    </row>
    <row r="114" spans="1:29" ht="15" thickTop="1">
      <c r="A114" s="733"/>
      <c r="B114" s="671" t="s">
        <v>753</v>
      </c>
      <c r="C114" s="3381" t="s">
        <v>3428</v>
      </c>
      <c r="D114" s="686"/>
      <c r="E114" s="716"/>
      <c r="F114" s="716"/>
      <c r="G114" s="716"/>
      <c r="H114" s="716"/>
      <c r="I114" s="716"/>
      <c r="J114" s="716"/>
      <c r="K114" s="717"/>
      <c r="L114" s="718"/>
      <c r="M114" s="719"/>
      <c r="N114" s="2160"/>
      <c r="O114" s="2160"/>
      <c r="P114" s="2161"/>
      <c r="Q114" s="2154"/>
      <c r="R114" s="2141"/>
      <c r="S114" s="2141"/>
      <c r="T114" s="2141"/>
      <c r="U114" s="2141"/>
      <c r="V114" s="2141"/>
      <c r="W114" s="2141"/>
      <c r="X114" s="2141"/>
      <c r="Y114" s="2141"/>
      <c r="Z114" s="2141"/>
      <c r="AA114" s="2141"/>
      <c r="AB114" s="2141"/>
      <c r="AC114" s="2141"/>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3"/>
      <c r="B116" s="1892" t="s">
        <v>2556</v>
      </c>
      <c r="C116" s="3381" t="s">
        <v>3429</v>
      </c>
      <c r="D116" s="686"/>
      <c r="E116" s="686"/>
      <c r="F116" s="686"/>
      <c r="G116" s="686"/>
      <c r="H116" s="716"/>
      <c r="I116" s="716"/>
      <c r="J116" s="716"/>
      <c r="K116" s="717"/>
      <c r="L116" s="718"/>
      <c r="M116" s="719"/>
      <c r="N116" s="2160"/>
      <c r="O116" s="2160"/>
      <c r="P116" s="2161"/>
      <c r="Q116" s="2154"/>
      <c r="R116" s="2141"/>
      <c r="S116" s="2141"/>
      <c r="T116" s="2141"/>
      <c r="U116" s="2141"/>
      <c r="V116" s="2141"/>
      <c r="W116" s="2141"/>
      <c r="X116" s="2141"/>
      <c r="Y116" s="2141"/>
      <c r="Z116" s="2141"/>
      <c r="AA116" s="2141"/>
      <c r="AB116" s="2141"/>
      <c r="AC116" s="2141"/>
    </row>
    <row r="117" spans="1:29" ht="15.75" thickBot="1">
      <c r="A117" s="667"/>
      <c r="B117" s="676"/>
      <c r="C117" s="677">
        <v>100</v>
      </c>
      <c r="D117" s="677">
        <f>C117-$K39</f>
        <v>98</v>
      </c>
      <c r="E117" s="677">
        <f>D117-$K39</f>
        <v>96</v>
      </c>
      <c r="F117" s="677">
        <f>E117-$K39</f>
        <v>94</v>
      </c>
      <c r="G117" s="677">
        <f>F117-$K39</f>
        <v>92</v>
      </c>
      <c r="H117" s="677"/>
      <c r="I117" s="677"/>
      <c r="J117" s="677"/>
      <c r="K117" s="677"/>
      <c r="L117" s="677"/>
      <c r="M117" s="678"/>
      <c r="N117" s="2162"/>
      <c r="O117" s="2162"/>
      <c r="P117" s="2161"/>
      <c r="Q117" s="2154"/>
      <c r="R117" s="2141"/>
      <c r="S117" s="2141"/>
      <c r="T117" s="2141"/>
      <c r="U117" s="2141"/>
      <c r="V117" s="2141"/>
      <c r="W117" s="2141"/>
      <c r="X117" s="2141"/>
      <c r="Y117" s="2141"/>
      <c r="Z117" s="2141"/>
      <c r="AA117" s="2141"/>
      <c r="AB117" s="2141"/>
      <c r="AC117" s="2141"/>
    </row>
    <row r="118" spans="1:29" ht="15" thickTop="1">
      <c r="A118" s="733"/>
      <c r="B118" s="671" t="s">
        <v>754</v>
      </c>
      <c r="C118" s="3382" t="s">
        <v>3431</v>
      </c>
      <c r="D118" s="716"/>
      <c r="E118" s="716"/>
      <c r="F118" s="716"/>
      <c r="G118" s="716"/>
      <c r="H118" s="716"/>
      <c r="I118" s="716"/>
      <c r="J118" s="716"/>
      <c r="K118" s="717"/>
      <c r="L118" s="718"/>
      <c r="M118" s="719"/>
      <c r="N118" s="2160"/>
      <c r="O118" s="2160"/>
      <c r="P118" s="2161"/>
      <c r="Q118" s="2154"/>
      <c r="R118" s="2141"/>
      <c r="S118" s="2141"/>
      <c r="T118" s="2141"/>
      <c r="U118" s="2141"/>
      <c r="V118" s="2141"/>
      <c r="W118" s="2141"/>
      <c r="X118" s="2141"/>
      <c r="Y118" s="2141"/>
      <c r="Z118" s="2141"/>
      <c r="AA118" s="2141"/>
      <c r="AB118" s="2141"/>
      <c r="AC118" s="2141"/>
    </row>
    <row r="119" spans="1:29" ht="15.75" thickBot="1">
      <c r="A119" s="667"/>
      <c r="B119" s="676"/>
      <c r="C119" s="677">
        <v>100</v>
      </c>
      <c r="D119" s="677">
        <f t="shared" ref="D119:M119" si="28">C119-$K40</f>
        <v>95</v>
      </c>
      <c r="E119" s="677">
        <f t="shared" si="28"/>
        <v>90</v>
      </c>
      <c r="F119" s="677">
        <f t="shared" si="28"/>
        <v>85</v>
      </c>
      <c r="G119" s="677">
        <f t="shared" si="28"/>
        <v>80</v>
      </c>
      <c r="H119" s="677">
        <f t="shared" si="28"/>
        <v>75</v>
      </c>
      <c r="I119" s="677">
        <f t="shared" si="28"/>
        <v>70</v>
      </c>
      <c r="J119" s="677">
        <f t="shared" si="28"/>
        <v>65</v>
      </c>
      <c r="K119" s="677">
        <f t="shared" si="28"/>
        <v>60</v>
      </c>
      <c r="L119" s="677">
        <f t="shared" si="28"/>
        <v>55</v>
      </c>
      <c r="M119" s="677">
        <f t="shared" si="28"/>
        <v>50</v>
      </c>
      <c r="N119" s="2162"/>
      <c r="O119" s="2162"/>
      <c r="P119" s="2161"/>
      <c r="Q119" s="2154"/>
      <c r="R119" s="2141"/>
      <c r="S119" s="2141"/>
      <c r="T119" s="2141"/>
      <c r="U119" s="2141"/>
      <c r="V119" s="2141"/>
      <c r="W119" s="2141"/>
      <c r="X119" s="2141"/>
      <c r="Y119" s="2141"/>
      <c r="Z119" s="2141"/>
      <c r="AA119" s="2141"/>
      <c r="AB119" s="2141"/>
      <c r="AC119" s="2141"/>
    </row>
    <row r="120" spans="1:29" s="1336" customFormat="1" ht="28.5" thickTop="1">
      <c r="A120" s="726"/>
      <c r="B120" s="671" t="s">
        <v>733</v>
      </c>
      <c r="C120" s="686"/>
      <c r="D120" s="686"/>
      <c r="E120" s="686"/>
      <c r="F120" s="686"/>
      <c r="G120" s="686"/>
      <c r="H120" s="686"/>
      <c r="I120" s="686"/>
      <c r="J120" s="686"/>
      <c r="K120" s="686"/>
      <c r="L120" s="887"/>
      <c r="M120" s="888"/>
      <c r="N120" s="2163"/>
      <c r="O120" s="2163"/>
      <c r="P120" s="2164"/>
      <c r="Q120" s="2165"/>
      <c r="R120" s="2166"/>
      <c r="S120" s="2166"/>
      <c r="T120" s="2166"/>
      <c r="U120" s="2166"/>
      <c r="V120" s="2166"/>
      <c r="W120" s="2166"/>
      <c r="X120" s="2166"/>
      <c r="Y120" s="2166"/>
      <c r="Z120" s="2166"/>
      <c r="AA120" s="2166"/>
      <c r="AB120" s="2166"/>
      <c r="AC120" s="2166"/>
    </row>
    <row r="121" spans="1:29" s="1336" customFormat="1" ht="15.75" thickBot="1">
      <c r="A121" s="685"/>
      <c r="B121" s="668"/>
      <c r="C121" s="690"/>
      <c r="D121" s="669"/>
      <c r="E121" s="669"/>
      <c r="F121" s="669"/>
      <c r="G121" s="669"/>
      <c r="H121" s="669"/>
      <c r="I121" s="669"/>
      <c r="J121" s="669"/>
      <c r="K121" s="669"/>
      <c r="L121" s="669"/>
      <c r="M121" s="669"/>
      <c r="N121" s="2163"/>
      <c r="O121" s="2163"/>
      <c r="P121" s="2164"/>
      <c r="Q121" s="2165"/>
      <c r="R121" s="2166"/>
      <c r="S121" s="2166"/>
      <c r="T121" s="2166"/>
      <c r="U121" s="2166"/>
      <c r="V121" s="2166"/>
      <c r="W121" s="2166"/>
      <c r="X121" s="2166"/>
      <c r="Y121" s="2166"/>
      <c r="Z121" s="2166"/>
      <c r="AA121" s="2166"/>
      <c r="AB121" s="2166"/>
      <c r="AC121" s="2166"/>
    </row>
    <row r="122" spans="1:29" ht="15" thickTop="1">
      <c r="A122" s="733"/>
      <c r="B122" s="671" t="s">
        <v>755</v>
      </c>
      <c r="C122" s="3381" t="s">
        <v>3442</v>
      </c>
      <c r="D122" s="3381" t="s">
        <v>3438</v>
      </c>
      <c r="E122" s="3381" t="s">
        <v>3440</v>
      </c>
      <c r="F122" s="716"/>
      <c r="G122" s="716"/>
      <c r="H122" s="716"/>
      <c r="I122" s="716"/>
      <c r="J122" s="716"/>
      <c r="K122" s="717"/>
      <c r="L122" s="718"/>
      <c r="M122" s="719"/>
      <c r="N122" s="2160"/>
      <c r="O122" s="2160"/>
      <c r="P122" s="2161"/>
      <c r="Q122" s="2154"/>
      <c r="R122" s="2141"/>
      <c r="S122" s="2141"/>
      <c r="T122" s="2141"/>
      <c r="U122" s="2141"/>
      <c r="V122" s="2141"/>
      <c r="W122" s="2141"/>
      <c r="X122" s="2141"/>
      <c r="Y122" s="2141"/>
      <c r="Z122" s="2141"/>
      <c r="AA122" s="2141"/>
      <c r="AB122" s="2141"/>
      <c r="AC122" s="2141"/>
    </row>
    <row r="123" spans="1:29" ht="15.75" thickBot="1">
      <c r="A123" s="667"/>
      <c r="B123" s="676"/>
      <c r="C123" s="677">
        <v>100</v>
      </c>
      <c r="D123" s="677">
        <f t="shared" ref="D123:M123" si="29">C123-$K42</f>
        <v>97</v>
      </c>
      <c r="E123" s="677">
        <f t="shared" si="29"/>
        <v>94</v>
      </c>
      <c r="F123" s="677">
        <f t="shared" si="29"/>
        <v>91</v>
      </c>
      <c r="G123" s="677">
        <f t="shared" si="29"/>
        <v>88</v>
      </c>
      <c r="H123" s="677">
        <f t="shared" si="29"/>
        <v>85</v>
      </c>
      <c r="I123" s="677">
        <f t="shared" si="29"/>
        <v>82</v>
      </c>
      <c r="J123" s="677">
        <f t="shared" si="29"/>
        <v>79</v>
      </c>
      <c r="K123" s="677">
        <f t="shared" si="29"/>
        <v>76</v>
      </c>
      <c r="L123" s="677">
        <f t="shared" si="29"/>
        <v>73</v>
      </c>
      <c r="M123" s="677">
        <f t="shared" si="29"/>
        <v>70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0"/>
      <c r="O124" s="2160"/>
      <c r="P124" s="2164"/>
      <c r="Q124" s="2154"/>
      <c r="R124" s="2141"/>
      <c r="S124" s="2141"/>
      <c r="T124" s="2141"/>
      <c r="U124" s="2141"/>
      <c r="V124" s="2141"/>
      <c r="W124" s="2141"/>
      <c r="X124" s="2141"/>
      <c r="Y124" s="2141"/>
      <c r="Z124" s="2141"/>
      <c r="AA124" s="2141"/>
      <c r="AB124" s="2141"/>
      <c r="AC124" s="2141"/>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62"/>
      <c r="O125" s="2162"/>
      <c r="P125" s="2161"/>
      <c r="Q125" s="2154"/>
      <c r="R125" s="2141"/>
      <c r="S125" s="2141"/>
      <c r="T125" s="2141"/>
      <c r="U125" s="2141"/>
      <c r="V125" s="2141"/>
      <c r="W125" s="2141"/>
      <c r="X125" s="2141"/>
      <c r="Y125" s="2141"/>
      <c r="Z125" s="2141"/>
      <c r="AA125" s="2141"/>
      <c r="AB125" s="2141"/>
      <c r="AC125" s="2141"/>
    </row>
    <row r="126" spans="1:29" s="1336" customFormat="1" ht="15" hidden="1" thickTop="1">
      <c r="A126" s="726"/>
      <c r="B126" s="671">
        <f>B44</f>
        <v>0</v>
      </c>
      <c r="C126" s="686"/>
      <c r="D126" s="686"/>
      <c r="E126" s="686"/>
      <c r="F126" s="686"/>
      <c r="G126" s="686"/>
      <c r="H126" s="687"/>
      <c r="I126" s="687"/>
      <c r="J126" s="687"/>
      <c r="K126" s="687"/>
      <c r="L126" s="688"/>
      <c r="M126" s="689"/>
      <c r="N126" s="2163"/>
      <c r="O126" s="2163"/>
      <c r="P126" s="2164"/>
      <c r="Q126" s="2165"/>
      <c r="R126" s="2166"/>
      <c r="S126" s="2166"/>
      <c r="T126" s="2166"/>
      <c r="U126" s="2166"/>
      <c r="V126" s="2166"/>
      <c r="W126" s="2166"/>
      <c r="X126" s="2166"/>
      <c r="Y126" s="2166"/>
      <c r="Z126" s="2166"/>
      <c r="AA126" s="2166"/>
      <c r="AB126" s="2166"/>
      <c r="AC126" s="2166"/>
    </row>
    <row r="127" spans="1:29" s="1336" customFormat="1" ht="16.5" hidden="1" thickTop="1" thickBot="1">
      <c r="A127" s="685"/>
      <c r="B127" s="676"/>
      <c r="C127" s="690"/>
      <c r="D127" s="669"/>
      <c r="E127" s="669"/>
      <c r="F127" s="669"/>
      <c r="G127" s="690"/>
      <c r="H127" s="691"/>
      <c r="I127" s="691"/>
      <c r="J127" s="691"/>
      <c r="K127" s="691"/>
      <c r="L127" s="691"/>
      <c r="M127" s="692"/>
      <c r="N127" s="2163"/>
      <c r="O127" s="2163"/>
      <c r="P127" s="2164"/>
      <c r="Q127" s="2165"/>
      <c r="R127" s="2166"/>
      <c r="S127" s="2166"/>
      <c r="T127" s="2166"/>
      <c r="U127" s="2166"/>
      <c r="V127" s="2166"/>
      <c r="W127" s="2166"/>
      <c r="X127" s="2166"/>
      <c r="Y127" s="2166"/>
      <c r="Z127" s="2166"/>
      <c r="AA127" s="2166"/>
      <c r="AB127" s="2166"/>
      <c r="AC127" s="2166"/>
    </row>
    <row r="128" spans="1:29" ht="15" hidden="1" thickTop="1">
      <c r="A128" s="733"/>
      <c r="B128" s="671">
        <f>B45</f>
        <v>0</v>
      </c>
      <c r="C128" s="686"/>
      <c r="D128" s="686"/>
      <c r="E128" s="686"/>
      <c r="F128" s="686"/>
      <c r="G128" s="716"/>
      <c r="H128" s="716"/>
      <c r="I128" s="716"/>
      <c r="J128" s="716"/>
      <c r="K128" s="717"/>
      <c r="L128" s="718"/>
      <c r="M128" s="719"/>
      <c r="N128" s="2160"/>
      <c r="O128" s="2160"/>
      <c r="P128" s="2161"/>
      <c r="Q128" s="2154"/>
      <c r="R128" s="2141"/>
      <c r="S128" s="2141"/>
      <c r="T128" s="2141"/>
      <c r="U128" s="2141"/>
      <c r="V128" s="2141"/>
      <c r="W128" s="2141"/>
      <c r="X128" s="2141"/>
      <c r="Y128" s="2141"/>
      <c r="Z128" s="2141"/>
      <c r="AA128" s="2141"/>
      <c r="AB128" s="2141"/>
      <c r="AC128" s="2141"/>
    </row>
    <row r="129" spans="1:29" ht="16.5" hidden="1" thickTop="1" thickBot="1">
      <c r="A129" s="667"/>
      <c r="B129" s="676"/>
      <c r="C129" s="690"/>
      <c r="D129" s="690"/>
      <c r="E129" s="690"/>
      <c r="F129" s="690"/>
      <c r="G129" s="669"/>
      <c r="H129" s="669"/>
      <c r="I129" s="669"/>
      <c r="J129" s="669"/>
      <c r="K129" s="669"/>
      <c r="L129" s="669"/>
      <c r="M129" s="670"/>
      <c r="N129" s="2162"/>
      <c r="O129" s="2162"/>
      <c r="P129" s="2161"/>
      <c r="Q129" s="2154"/>
      <c r="R129" s="2141"/>
      <c r="S129" s="2141"/>
      <c r="T129" s="2141"/>
      <c r="U129" s="2141"/>
      <c r="V129" s="2141"/>
      <c r="W129" s="2141"/>
      <c r="X129" s="2141"/>
      <c r="Y129" s="2141"/>
      <c r="Z129" s="2141"/>
      <c r="AA129" s="2141"/>
      <c r="AB129" s="2141"/>
      <c r="AC129" s="2141"/>
    </row>
    <row r="130" spans="1:29" ht="15" hidden="1" thickTop="1">
      <c r="A130" s="733"/>
      <c r="B130" s="679">
        <f>B46</f>
        <v>0</v>
      </c>
      <c r="C130" s="686"/>
      <c r="D130" s="686"/>
      <c r="E130" s="686"/>
      <c r="F130" s="686"/>
      <c r="G130" s="720"/>
      <c r="H130" s="720"/>
      <c r="I130" s="720"/>
      <c r="J130" s="720"/>
      <c r="K130" s="659"/>
      <c r="L130" s="660"/>
      <c r="M130" s="723"/>
      <c r="N130" s="2160"/>
      <c r="O130" s="2160"/>
      <c r="P130" s="2161"/>
      <c r="Q130" s="2154"/>
      <c r="R130" s="2141"/>
      <c r="S130" s="2141"/>
      <c r="T130" s="2141"/>
      <c r="U130" s="2141"/>
      <c r="V130" s="2141"/>
      <c r="W130" s="2141"/>
      <c r="X130" s="2141"/>
      <c r="Y130" s="2141"/>
      <c r="Z130" s="2141"/>
      <c r="AA130" s="2141"/>
      <c r="AB130" s="2141"/>
      <c r="AC130" s="2141"/>
    </row>
    <row r="131" spans="1:29" ht="16.5" hidden="1" thickTop="1" thickBot="1">
      <c r="A131" s="890"/>
      <c r="B131" s="697"/>
      <c r="C131" s="698"/>
      <c r="D131" s="698"/>
      <c r="E131" s="698"/>
      <c r="F131" s="698"/>
      <c r="G131" s="724"/>
      <c r="H131" s="724"/>
      <c r="I131" s="724"/>
      <c r="J131" s="724"/>
      <c r="K131" s="724"/>
      <c r="L131" s="724"/>
      <c r="M131" s="725"/>
      <c r="N131" s="2162"/>
      <c r="O131" s="2162"/>
      <c r="P131" s="2161"/>
      <c r="Q131" s="2154"/>
      <c r="R131" s="2141"/>
      <c r="S131" s="2141"/>
      <c r="T131" s="2141"/>
      <c r="U131" s="2141"/>
      <c r="V131" s="2141"/>
      <c r="W131" s="2141"/>
      <c r="X131" s="2141"/>
      <c r="Y131" s="2141"/>
      <c r="Z131" s="2141"/>
      <c r="AA131" s="2141"/>
      <c r="AB131" s="2141"/>
      <c r="AC131" s="2141"/>
    </row>
    <row r="132" spans="1:29" ht="15" thickTop="1">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2258</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2259</v>
      </c>
      <c r="C137" s="1915"/>
      <c r="D137" s="1915"/>
      <c r="E137" s="1915"/>
      <c r="F137" s="1915"/>
      <c r="G137" s="1916"/>
      <c r="H137" s="1917"/>
      <c r="I137" s="1918" t="s">
        <v>2260</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2261</v>
      </c>
      <c r="D138" s="1921" t="s">
        <v>2262</v>
      </c>
      <c r="E138" s="1922" t="s">
        <v>2263</v>
      </c>
      <c r="F138" s="1923" t="s">
        <v>2264</v>
      </c>
      <c r="G138" s="1921" t="s">
        <v>2262</v>
      </c>
      <c r="H138" s="1924" t="s">
        <v>2263</v>
      </c>
      <c r="I138" s="1925"/>
      <c r="J138" s="1921" t="s">
        <v>2267</v>
      </c>
      <c r="K138" s="1924" t="s">
        <v>2268</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2269</v>
      </c>
      <c r="E139" s="1895">
        <v>100</v>
      </c>
      <c r="F139" s="1896">
        <v>102.5</v>
      </c>
      <c r="G139" s="1926" t="s">
        <v>2269</v>
      </c>
      <c r="H139" s="1897">
        <v>105</v>
      </c>
      <c r="I139" s="1927" t="s">
        <v>2271</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2272</v>
      </c>
      <c r="J140" s="844">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2273</v>
      </c>
      <c r="J141" s="844">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2274</v>
      </c>
      <c r="J142" s="844">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2275</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2276</v>
      </c>
      <c r="E144" s="1901">
        <v>102</v>
      </c>
      <c r="F144" s="1907">
        <v>100</v>
      </c>
      <c r="G144" s="1930" t="s">
        <v>2276</v>
      </c>
      <c r="H144" s="1903">
        <v>105</v>
      </c>
      <c r="I144" s="1929" t="s">
        <v>2275</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2277</v>
      </c>
      <c r="C145" s="1908">
        <f>ROUND(MAX(C139:C144)/MIN(C139:C144)-1,3)</f>
        <v>7.2999999999999995E-2</v>
      </c>
      <c r="D145" s="1932"/>
      <c r="E145" s="1932"/>
      <c r="F145" s="1933" t="s">
        <v>2278</v>
      </c>
      <c r="G145" s="1934"/>
      <c r="H145" s="1935"/>
      <c r="I145" s="1936" t="s">
        <v>2275</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2287</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2288</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Y67"/>
  <sheetViews>
    <sheetView workbookViewId="0">
      <selection activeCell="D32" sqref="D32"/>
    </sheetView>
  </sheetViews>
  <sheetFormatPr defaultRowHeight="13.5"/>
  <cols>
    <col min="1" max="1" width="14.125" customWidth="1"/>
    <col min="2" max="2" width="12" customWidth="1"/>
    <col min="3" max="3" width="12.5" style="3465" customWidth="1"/>
    <col min="4" max="4" width="12.875" customWidth="1"/>
    <col min="5" max="5" width="15.625" customWidth="1"/>
    <col min="7" max="7" width="12" customWidth="1"/>
    <col min="8" max="8" width="8.75" customWidth="1"/>
    <col min="10" max="10" width="9.75" customWidth="1"/>
    <col min="12" max="12" width="8.875" customWidth="1"/>
    <col min="14" max="14" width="13.875" customWidth="1"/>
    <col min="15" max="15" width="12.25" customWidth="1"/>
    <col min="16" max="16" width="13.625" style="3465" customWidth="1"/>
    <col min="17" max="17" width="12.875" customWidth="1"/>
    <col min="18" max="18" width="15.75" customWidth="1"/>
    <col min="20" max="20" width="13" customWidth="1"/>
  </cols>
  <sheetData>
    <row r="1" spans="1:25">
      <c r="A1" t="s">
        <v>2376</v>
      </c>
      <c r="B1" t="s">
        <v>3512</v>
      </c>
      <c r="C1" s="3465" t="s">
        <v>3513</v>
      </c>
      <c r="D1" t="s">
        <v>3514</v>
      </c>
      <c r="E1" t="s">
        <v>3515</v>
      </c>
      <c r="F1" t="s">
        <v>3516</v>
      </c>
      <c r="G1" t="s">
        <v>3517</v>
      </c>
      <c r="H1" t="s">
        <v>3518</v>
      </c>
      <c r="I1" t="s">
        <v>3519</v>
      </c>
      <c r="J1" t="s">
        <v>3520</v>
      </c>
      <c r="K1" t="s">
        <v>3521</v>
      </c>
      <c r="L1" t="s">
        <v>3522</v>
      </c>
      <c r="N1" t="s">
        <v>2376</v>
      </c>
      <c r="O1" t="s">
        <v>3512</v>
      </c>
      <c r="P1" s="3465" t="s">
        <v>3513</v>
      </c>
      <c r="Q1" t="s">
        <v>3514</v>
      </c>
      <c r="R1" t="s">
        <v>3515</v>
      </c>
      <c r="S1" t="s">
        <v>3516</v>
      </c>
      <c r="T1" t="s">
        <v>3517</v>
      </c>
      <c r="U1" t="s">
        <v>3518</v>
      </c>
      <c r="V1" t="s">
        <v>3519</v>
      </c>
      <c r="W1" t="s">
        <v>3520</v>
      </c>
      <c r="X1" t="s">
        <v>3521</v>
      </c>
      <c r="Y1" t="s">
        <v>3522</v>
      </c>
    </row>
    <row r="2" spans="1:25">
      <c r="A2" t="s">
        <v>3523</v>
      </c>
      <c r="B2" t="s">
        <v>3524</v>
      </c>
      <c r="C2" s="3465">
        <v>43327</v>
      </c>
      <c r="D2">
        <v>156.97</v>
      </c>
      <c r="E2">
        <v>3169381</v>
      </c>
      <c r="F2" t="s">
        <v>3525</v>
      </c>
      <c r="G2" t="s">
        <v>3526</v>
      </c>
      <c r="H2" t="s">
        <v>3527</v>
      </c>
      <c r="I2" t="s">
        <v>3528</v>
      </c>
      <c r="J2" t="s">
        <v>3529</v>
      </c>
      <c r="K2" t="s">
        <v>3530</v>
      </c>
      <c r="L2">
        <v>20190.998279926102</v>
      </c>
      <c r="N2" t="s">
        <v>3523</v>
      </c>
      <c r="O2" t="s">
        <v>3670</v>
      </c>
      <c r="P2" s="3465">
        <v>43201</v>
      </c>
      <c r="Q2">
        <v>178.51</v>
      </c>
      <c r="R2">
        <v>3164268</v>
      </c>
      <c r="S2" t="s">
        <v>3671</v>
      </c>
      <c r="T2" t="s">
        <v>3672</v>
      </c>
      <c r="U2" t="s">
        <v>3551</v>
      </c>
      <c r="V2" t="s">
        <v>3673</v>
      </c>
      <c r="W2" t="s">
        <v>3674</v>
      </c>
      <c r="X2" t="s">
        <v>3530</v>
      </c>
      <c r="Y2">
        <v>17725.998543498965</v>
      </c>
    </row>
    <row r="3" spans="1:25">
      <c r="A3" t="s">
        <v>3523</v>
      </c>
      <c r="B3" t="s">
        <v>3531</v>
      </c>
      <c r="C3" s="3465">
        <v>43290</v>
      </c>
      <c r="D3">
        <v>170.02</v>
      </c>
      <c r="E3">
        <v>2883813</v>
      </c>
      <c r="F3" t="s">
        <v>3532</v>
      </c>
      <c r="G3" t="s">
        <v>3533</v>
      </c>
      <c r="H3" t="s">
        <v>3527</v>
      </c>
      <c r="I3" t="s">
        <v>3534</v>
      </c>
      <c r="J3" t="s">
        <v>3529</v>
      </c>
      <c r="K3" t="s">
        <v>3530</v>
      </c>
      <c r="L3">
        <v>16961.610398776615</v>
      </c>
      <c r="N3" t="s">
        <v>3523</v>
      </c>
      <c r="O3" t="s">
        <v>3675</v>
      </c>
      <c r="P3" s="3465">
        <v>43198</v>
      </c>
      <c r="Q3">
        <v>178.6</v>
      </c>
      <c r="R3">
        <v>3165328</v>
      </c>
      <c r="S3" t="s">
        <v>3676</v>
      </c>
      <c r="T3" t="s">
        <v>3672</v>
      </c>
      <c r="U3" t="s">
        <v>3551</v>
      </c>
      <c r="V3" t="s">
        <v>3677</v>
      </c>
      <c r="W3" t="s">
        <v>3674</v>
      </c>
      <c r="X3" t="s">
        <v>3530</v>
      </c>
      <c r="Y3">
        <v>17723.00111982083</v>
      </c>
    </row>
    <row r="4" spans="1:25">
      <c r="A4" t="s">
        <v>3523</v>
      </c>
      <c r="B4" t="s">
        <v>3535</v>
      </c>
      <c r="C4" s="3465">
        <v>43174</v>
      </c>
      <c r="D4">
        <v>156.97</v>
      </c>
      <c r="E4">
        <v>3012411</v>
      </c>
      <c r="F4" t="s">
        <v>3536</v>
      </c>
      <c r="G4" t="s">
        <v>3537</v>
      </c>
      <c r="H4" t="s">
        <v>3527</v>
      </c>
      <c r="I4" t="s">
        <v>3528</v>
      </c>
      <c r="J4" t="s">
        <v>3529</v>
      </c>
      <c r="K4" t="s">
        <v>3530</v>
      </c>
      <c r="L4">
        <v>19190.998279926102</v>
      </c>
      <c r="N4" t="s">
        <v>3523</v>
      </c>
      <c r="O4" t="s">
        <v>3678</v>
      </c>
      <c r="P4" s="3465">
        <v>43190</v>
      </c>
      <c r="Q4">
        <v>234.61</v>
      </c>
      <c r="R4">
        <v>4900534</v>
      </c>
      <c r="S4" t="s">
        <v>3679</v>
      </c>
      <c r="T4" t="s">
        <v>3680</v>
      </c>
      <c r="U4" t="s">
        <v>3551</v>
      </c>
      <c r="V4" t="s">
        <v>3528</v>
      </c>
      <c r="W4" t="s">
        <v>3674</v>
      </c>
      <c r="X4" t="s">
        <v>3530</v>
      </c>
      <c r="Y4">
        <v>20888.00136396573</v>
      </c>
    </row>
    <row r="5" spans="1:25">
      <c r="A5" t="s">
        <v>3523</v>
      </c>
      <c r="B5" t="s">
        <v>3538</v>
      </c>
      <c r="C5" s="3465">
        <v>43174</v>
      </c>
      <c r="D5">
        <v>141.6</v>
      </c>
      <c r="E5">
        <v>2080387</v>
      </c>
      <c r="F5" t="s">
        <v>3539</v>
      </c>
      <c r="G5" t="s">
        <v>3537</v>
      </c>
      <c r="H5" t="s">
        <v>3527</v>
      </c>
      <c r="I5" t="s">
        <v>3540</v>
      </c>
      <c r="J5" t="s">
        <v>3529</v>
      </c>
      <c r="K5" t="s">
        <v>3530</v>
      </c>
      <c r="L5">
        <v>14691.998587570622</v>
      </c>
      <c r="N5" t="s">
        <v>3523</v>
      </c>
      <c r="O5" t="s">
        <v>3681</v>
      </c>
      <c r="P5" s="3465">
        <v>43189</v>
      </c>
      <c r="Q5">
        <v>304.58</v>
      </c>
      <c r="R5">
        <v>6433339</v>
      </c>
      <c r="S5" t="s">
        <v>3682</v>
      </c>
      <c r="T5" t="s">
        <v>3683</v>
      </c>
      <c r="U5" t="s">
        <v>3551</v>
      </c>
      <c r="V5" t="s">
        <v>3528</v>
      </c>
      <c r="W5" t="s">
        <v>3674</v>
      </c>
      <c r="X5" t="s">
        <v>3530</v>
      </c>
      <c r="Y5">
        <v>21122.000787970323</v>
      </c>
    </row>
    <row r="6" spans="1:25">
      <c r="A6" t="s">
        <v>3523</v>
      </c>
      <c r="B6" t="s">
        <v>3541</v>
      </c>
      <c r="C6" s="3465">
        <v>43215</v>
      </c>
      <c r="D6">
        <v>141.33000000000001</v>
      </c>
      <c r="E6">
        <v>1920957</v>
      </c>
      <c r="F6" t="s">
        <v>3542</v>
      </c>
      <c r="G6" t="s">
        <v>3543</v>
      </c>
      <c r="H6" t="s">
        <v>3544</v>
      </c>
      <c r="I6" t="s">
        <v>3540</v>
      </c>
      <c r="J6" t="s">
        <v>3529</v>
      </c>
      <c r="K6" t="s">
        <v>3530</v>
      </c>
      <c r="L6">
        <v>13591.997452770111</v>
      </c>
      <c r="N6" t="s">
        <v>3523</v>
      </c>
      <c r="O6" t="s">
        <v>3684</v>
      </c>
      <c r="P6" s="3465">
        <v>43189</v>
      </c>
      <c r="Q6">
        <v>179.29</v>
      </c>
      <c r="R6">
        <v>3262540</v>
      </c>
      <c r="S6" t="s">
        <v>3685</v>
      </c>
      <c r="T6" t="s">
        <v>3686</v>
      </c>
      <c r="U6" t="s">
        <v>3551</v>
      </c>
      <c r="V6" t="s">
        <v>3673</v>
      </c>
      <c r="W6" t="s">
        <v>3674</v>
      </c>
      <c r="X6" t="s">
        <v>3530</v>
      </c>
      <c r="Y6">
        <v>18196.999274917733</v>
      </c>
    </row>
    <row r="7" spans="1:25">
      <c r="A7" t="s">
        <v>3523</v>
      </c>
      <c r="B7" t="s">
        <v>3545</v>
      </c>
      <c r="C7" s="3465">
        <v>43215</v>
      </c>
      <c r="D7">
        <v>156.97</v>
      </c>
      <c r="E7">
        <v>3090896</v>
      </c>
      <c r="F7" t="s">
        <v>3546</v>
      </c>
      <c r="G7" t="s">
        <v>3526</v>
      </c>
      <c r="H7" t="s">
        <v>3544</v>
      </c>
      <c r="I7" t="s">
        <v>3547</v>
      </c>
      <c r="J7" t="s">
        <v>3529</v>
      </c>
      <c r="K7" t="s">
        <v>3530</v>
      </c>
      <c r="L7">
        <v>19690.998279926102</v>
      </c>
      <c r="N7" t="s">
        <v>3523</v>
      </c>
      <c r="O7" t="s">
        <v>3687</v>
      </c>
      <c r="P7" s="3465">
        <v>43189</v>
      </c>
      <c r="Q7">
        <v>178.51</v>
      </c>
      <c r="R7">
        <v>3217821</v>
      </c>
      <c r="S7" t="s">
        <v>3688</v>
      </c>
      <c r="T7" t="s">
        <v>3689</v>
      </c>
      <c r="U7" t="s">
        <v>3551</v>
      </c>
      <c r="V7" t="s">
        <v>3673</v>
      </c>
      <c r="W7" t="s">
        <v>3674</v>
      </c>
      <c r="X7" t="s">
        <v>3530</v>
      </c>
      <c r="Y7">
        <v>18025.998543498965</v>
      </c>
    </row>
    <row r="8" spans="1:25">
      <c r="A8" t="s">
        <v>3523</v>
      </c>
      <c r="B8" t="s">
        <v>3548</v>
      </c>
      <c r="C8" s="3465">
        <v>43213</v>
      </c>
      <c r="D8">
        <v>135.5</v>
      </c>
      <c r="E8">
        <v>2028794</v>
      </c>
      <c r="F8" t="s">
        <v>3549</v>
      </c>
      <c r="G8" t="s">
        <v>3550</v>
      </c>
      <c r="H8" t="s">
        <v>3551</v>
      </c>
      <c r="I8" t="s">
        <v>3547</v>
      </c>
      <c r="J8" t="s">
        <v>3529</v>
      </c>
      <c r="K8" t="s">
        <v>3530</v>
      </c>
      <c r="L8">
        <v>14972.649446494464</v>
      </c>
      <c r="N8" t="s">
        <v>3523</v>
      </c>
      <c r="O8" t="s">
        <v>3690</v>
      </c>
      <c r="P8" s="3465">
        <v>43186</v>
      </c>
      <c r="Q8">
        <v>234.61</v>
      </c>
      <c r="R8">
        <v>4619002</v>
      </c>
      <c r="S8" t="s">
        <v>3612</v>
      </c>
      <c r="T8" t="s">
        <v>3691</v>
      </c>
      <c r="U8" t="s">
        <v>3551</v>
      </c>
      <c r="V8" t="s">
        <v>3528</v>
      </c>
      <c r="W8" t="s">
        <v>3674</v>
      </c>
      <c r="X8" t="s">
        <v>3530</v>
      </c>
      <c r="Y8">
        <v>19688.00136396573</v>
      </c>
    </row>
    <row r="9" spans="1:25">
      <c r="A9" t="s">
        <v>3523</v>
      </c>
      <c r="B9" t="s">
        <v>3552</v>
      </c>
      <c r="C9" s="3465">
        <v>43212</v>
      </c>
      <c r="D9">
        <v>168.57</v>
      </c>
      <c r="E9">
        <v>2291203</v>
      </c>
      <c r="F9" t="s">
        <v>3553</v>
      </c>
      <c r="G9" t="s">
        <v>3543</v>
      </c>
      <c r="H9" t="s">
        <v>3554</v>
      </c>
      <c r="I9" t="s">
        <v>3540</v>
      </c>
      <c r="J9" t="s">
        <v>3529</v>
      </c>
      <c r="K9" t="s">
        <v>3530</v>
      </c>
      <c r="L9">
        <v>13591.997389808388</v>
      </c>
      <c r="N9" t="s">
        <v>3523</v>
      </c>
      <c r="O9" t="s">
        <v>3692</v>
      </c>
      <c r="P9" s="3465">
        <v>43186</v>
      </c>
      <c r="Q9">
        <v>178.6</v>
      </c>
      <c r="R9">
        <v>3254628</v>
      </c>
      <c r="S9" t="s">
        <v>3612</v>
      </c>
      <c r="T9" t="s">
        <v>3691</v>
      </c>
      <c r="U9" t="s">
        <v>3551</v>
      </c>
      <c r="V9" t="s">
        <v>3547</v>
      </c>
      <c r="W9" t="s">
        <v>3674</v>
      </c>
      <c r="X9" t="s">
        <v>3530</v>
      </c>
      <c r="Y9">
        <v>18223.00111982083</v>
      </c>
    </row>
    <row r="10" spans="1:25">
      <c r="A10" t="s">
        <v>3523</v>
      </c>
      <c r="B10" t="s">
        <v>3555</v>
      </c>
      <c r="C10" s="3465">
        <v>43211</v>
      </c>
      <c r="D10">
        <v>135.24</v>
      </c>
      <c r="E10">
        <v>2112449</v>
      </c>
      <c r="F10" t="s">
        <v>3556</v>
      </c>
      <c r="G10" t="s">
        <v>3543</v>
      </c>
      <c r="H10" t="s">
        <v>3527</v>
      </c>
      <c r="I10" t="s">
        <v>3547</v>
      </c>
      <c r="J10" t="s">
        <v>3529</v>
      </c>
      <c r="K10" t="s">
        <v>3530</v>
      </c>
      <c r="L10">
        <v>15620.001478852409</v>
      </c>
      <c r="N10" t="s">
        <v>3523</v>
      </c>
      <c r="O10" t="s">
        <v>3693</v>
      </c>
      <c r="P10" s="3465">
        <v>43186</v>
      </c>
      <c r="Q10">
        <v>234.61</v>
      </c>
      <c r="R10">
        <v>4349320</v>
      </c>
      <c r="S10" t="s">
        <v>3694</v>
      </c>
      <c r="T10" t="s">
        <v>3689</v>
      </c>
      <c r="U10" t="s">
        <v>3551</v>
      </c>
      <c r="V10" t="s">
        <v>3695</v>
      </c>
      <c r="W10" t="s">
        <v>3674</v>
      </c>
      <c r="X10" t="s">
        <v>3530</v>
      </c>
      <c r="Y10">
        <v>18538.510719918162</v>
      </c>
    </row>
    <row r="11" spans="1:25">
      <c r="A11" t="s">
        <v>3523</v>
      </c>
      <c r="B11" t="s">
        <v>3557</v>
      </c>
      <c r="C11" s="3465">
        <v>43209</v>
      </c>
      <c r="D11">
        <v>168.89</v>
      </c>
      <c r="E11">
        <v>2531999</v>
      </c>
      <c r="F11" t="s">
        <v>3558</v>
      </c>
      <c r="G11" t="s">
        <v>3559</v>
      </c>
      <c r="H11" t="s">
        <v>3527</v>
      </c>
      <c r="I11" t="s">
        <v>3534</v>
      </c>
      <c r="J11" t="s">
        <v>3529</v>
      </c>
      <c r="K11" t="s">
        <v>3530</v>
      </c>
      <c r="L11">
        <v>14992.000710521643</v>
      </c>
      <c r="N11" t="s">
        <v>3523</v>
      </c>
      <c r="O11" t="s">
        <v>3696</v>
      </c>
      <c r="P11" s="3465">
        <v>43186</v>
      </c>
      <c r="Q11">
        <v>234.61</v>
      </c>
      <c r="R11">
        <v>4677774</v>
      </c>
      <c r="S11" t="s">
        <v>3697</v>
      </c>
      <c r="T11" t="s">
        <v>3680</v>
      </c>
      <c r="U11" t="s">
        <v>3551</v>
      </c>
      <c r="V11" t="s">
        <v>3695</v>
      </c>
      <c r="W11" t="s">
        <v>3674</v>
      </c>
      <c r="X11" t="s">
        <v>3530</v>
      </c>
      <c r="Y11">
        <v>19938.510719918162</v>
      </c>
    </row>
    <row r="12" spans="1:25">
      <c r="A12" t="s">
        <v>3523</v>
      </c>
      <c r="B12" t="s">
        <v>3560</v>
      </c>
      <c r="C12" s="3465">
        <v>43209</v>
      </c>
      <c r="D12">
        <v>141.33000000000001</v>
      </c>
      <c r="E12">
        <v>1920957</v>
      </c>
      <c r="F12" t="s">
        <v>3561</v>
      </c>
      <c r="G12" t="s">
        <v>3543</v>
      </c>
      <c r="H12" t="s">
        <v>3554</v>
      </c>
      <c r="I12" t="s">
        <v>3534</v>
      </c>
      <c r="J12" t="s">
        <v>3529</v>
      </c>
      <c r="K12" t="s">
        <v>3530</v>
      </c>
      <c r="L12">
        <v>13591.997452770111</v>
      </c>
      <c r="N12" t="s">
        <v>3523</v>
      </c>
      <c r="O12" t="s">
        <v>3698</v>
      </c>
      <c r="P12" s="3465">
        <v>43186</v>
      </c>
      <c r="Q12">
        <v>178.6</v>
      </c>
      <c r="R12">
        <v>3468948</v>
      </c>
      <c r="S12" t="s">
        <v>3699</v>
      </c>
      <c r="T12" t="s">
        <v>3680</v>
      </c>
      <c r="U12" t="s">
        <v>3551</v>
      </c>
      <c r="V12" t="s">
        <v>3547</v>
      </c>
      <c r="W12" t="s">
        <v>3674</v>
      </c>
      <c r="X12" t="s">
        <v>3530</v>
      </c>
      <c r="Y12">
        <v>19423.00111982083</v>
      </c>
    </row>
    <row r="13" spans="1:25">
      <c r="A13" t="s">
        <v>3523</v>
      </c>
      <c r="B13" t="s">
        <v>3562</v>
      </c>
      <c r="C13" s="3465">
        <v>43189</v>
      </c>
      <c r="D13">
        <v>141.6</v>
      </c>
      <c r="E13">
        <v>2080387</v>
      </c>
      <c r="F13" t="s">
        <v>3563</v>
      </c>
      <c r="G13" t="s">
        <v>3564</v>
      </c>
      <c r="H13" t="s">
        <v>3544</v>
      </c>
      <c r="I13" t="s">
        <v>3534</v>
      </c>
      <c r="J13" t="s">
        <v>3529</v>
      </c>
      <c r="K13" t="s">
        <v>3530</v>
      </c>
      <c r="L13">
        <v>14691.998587570622</v>
      </c>
      <c r="N13" t="s">
        <v>3523</v>
      </c>
      <c r="O13" t="s">
        <v>3700</v>
      </c>
      <c r="P13" s="3465">
        <v>43218</v>
      </c>
      <c r="Q13">
        <v>178.6</v>
      </c>
      <c r="R13">
        <v>3165328</v>
      </c>
      <c r="S13" t="s">
        <v>3701</v>
      </c>
      <c r="T13" t="s">
        <v>3672</v>
      </c>
      <c r="U13" t="s">
        <v>3551</v>
      </c>
      <c r="V13" t="s">
        <v>3547</v>
      </c>
      <c r="W13" t="s">
        <v>3674</v>
      </c>
      <c r="X13" t="s">
        <v>3530</v>
      </c>
      <c r="Y13">
        <v>17723.00111982083</v>
      </c>
    </row>
    <row r="14" spans="1:25">
      <c r="A14" t="s">
        <v>3523</v>
      </c>
      <c r="B14" t="s">
        <v>3565</v>
      </c>
      <c r="C14" s="3465">
        <v>43189</v>
      </c>
      <c r="D14">
        <v>135.25</v>
      </c>
      <c r="E14">
        <v>2112605</v>
      </c>
      <c r="F14" t="s">
        <v>3566</v>
      </c>
      <c r="G14" t="s">
        <v>3543</v>
      </c>
      <c r="H14" t="s">
        <v>3554</v>
      </c>
      <c r="I14" t="s">
        <v>3528</v>
      </c>
      <c r="J14" t="s">
        <v>3529</v>
      </c>
      <c r="K14" t="s">
        <v>3530</v>
      </c>
      <c r="L14">
        <v>15620</v>
      </c>
      <c r="N14" t="s">
        <v>3523</v>
      </c>
      <c r="O14" t="s">
        <v>3702</v>
      </c>
      <c r="P14" s="3465">
        <v>43185</v>
      </c>
      <c r="Q14">
        <v>235.52</v>
      </c>
      <c r="R14">
        <v>4477127</v>
      </c>
      <c r="S14" t="s">
        <v>3703</v>
      </c>
      <c r="T14" t="s">
        <v>3704</v>
      </c>
      <c r="U14" t="s">
        <v>3551</v>
      </c>
      <c r="V14" t="s">
        <v>3705</v>
      </c>
      <c r="W14" t="s">
        <v>3674</v>
      </c>
      <c r="X14" t="s">
        <v>3530</v>
      </c>
      <c r="Y14">
        <v>19009.540591032608</v>
      </c>
    </row>
    <row r="15" spans="1:25">
      <c r="A15" t="s">
        <v>3523</v>
      </c>
      <c r="B15" t="s">
        <v>3567</v>
      </c>
      <c r="C15" s="3465">
        <v>43218</v>
      </c>
      <c r="D15">
        <v>135.5</v>
      </c>
      <c r="E15">
        <v>2263392</v>
      </c>
      <c r="F15" t="s">
        <v>3568</v>
      </c>
      <c r="G15" t="s">
        <v>3569</v>
      </c>
      <c r="H15" t="s">
        <v>3544</v>
      </c>
      <c r="I15" t="s">
        <v>3528</v>
      </c>
      <c r="J15" t="s">
        <v>3529</v>
      </c>
      <c r="K15" t="s">
        <v>3530</v>
      </c>
      <c r="L15">
        <v>16704</v>
      </c>
      <c r="N15" t="s">
        <v>3523</v>
      </c>
      <c r="O15" t="s">
        <v>3706</v>
      </c>
      <c r="P15" s="3465">
        <v>43185</v>
      </c>
      <c r="Q15">
        <v>178.78</v>
      </c>
      <c r="R15">
        <v>3167266</v>
      </c>
      <c r="S15" t="s">
        <v>3707</v>
      </c>
      <c r="T15" t="s">
        <v>3708</v>
      </c>
      <c r="U15" t="s">
        <v>3551</v>
      </c>
      <c r="V15" t="s">
        <v>3673</v>
      </c>
      <c r="W15" t="s">
        <v>3674</v>
      </c>
      <c r="X15" t="s">
        <v>3530</v>
      </c>
      <c r="Y15">
        <v>17715.997315135923</v>
      </c>
    </row>
    <row r="16" spans="1:25">
      <c r="A16" t="s">
        <v>3523</v>
      </c>
      <c r="B16" t="s">
        <v>3570</v>
      </c>
      <c r="C16" s="3465">
        <v>43218</v>
      </c>
      <c r="D16">
        <v>156.97</v>
      </c>
      <c r="E16">
        <v>2996714</v>
      </c>
      <c r="F16" t="s">
        <v>3571</v>
      </c>
      <c r="G16" t="s">
        <v>3572</v>
      </c>
      <c r="H16" t="s">
        <v>3527</v>
      </c>
      <c r="I16" t="s">
        <v>3528</v>
      </c>
      <c r="J16" t="s">
        <v>3529</v>
      </c>
      <c r="K16" t="s">
        <v>3530</v>
      </c>
      <c r="L16">
        <v>19090.998279926102</v>
      </c>
      <c r="N16" t="s">
        <v>3523</v>
      </c>
      <c r="O16" t="s">
        <v>3709</v>
      </c>
      <c r="P16" s="3465">
        <v>43185</v>
      </c>
      <c r="Q16">
        <v>178.86</v>
      </c>
      <c r="R16">
        <v>3472209</v>
      </c>
      <c r="S16" t="s">
        <v>3710</v>
      </c>
      <c r="T16" t="s">
        <v>3711</v>
      </c>
      <c r="U16" t="s">
        <v>3551</v>
      </c>
      <c r="V16" t="s">
        <v>3677</v>
      </c>
      <c r="W16" t="s">
        <v>3674</v>
      </c>
      <c r="X16" t="s">
        <v>3530</v>
      </c>
      <c r="Y16">
        <v>19412.998993626297</v>
      </c>
    </row>
    <row r="17" spans="1:25">
      <c r="A17" t="s">
        <v>3523</v>
      </c>
      <c r="B17" t="s">
        <v>3573</v>
      </c>
      <c r="C17" s="3465">
        <v>43179</v>
      </c>
      <c r="D17">
        <v>168.57</v>
      </c>
      <c r="E17">
        <v>2341774</v>
      </c>
      <c r="F17" t="s">
        <v>3574</v>
      </c>
      <c r="G17" t="s">
        <v>3543</v>
      </c>
      <c r="H17" t="s">
        <v>3527</v>
      </c>
      <c r="I17" t="s">
        <v>3534</v>
      </c>
      <c r="J17" t="s">
        <v>3529</v>
      </c>
      <c r="K17" t="s">
        <v>3530</v>
      </c>
      <c r="L17">
        <v>13891.997389808388</v>
      </c>
      <c r="N17" t="s">
        <v>3523</v>
      </c>
      <c r="O17" t="s">
        <v>3712</v>
      </c>
      <c r="P17" s="3465">
        <v>43185</v>
      </c>
      <c r="Q17">
        <v>179.58</v>
      </c>
      <c r="R17">
        <v>3265842</v>
      </c>
      <c r="S17" t="s">
        <v>3713</v>
      </c>
      <c r="T17" t="s">
        <v>3714</v>
      </c>
      <c r="U17" t="s">
        <v>3551</v>
      </c>
      <c r="V17" t="s">
        <v>3547</v>
      </c>
      <c r="W17" t="s">
        <v>3674</v>
      </c>
      <c r="X17" t="s">
        <v>3530</v>
      </c>
      <c r="Y17">
        <v>18186.000668225861</v>
      </c>
    </row>
    <row r="18" spans="1:25">
      <c r="A18" t="s">
        <v>3523</v>
      </c>
      <c r="B18" t="s">
        <v>3575</v>
      </c>
      <c r="C18" s="3465">
        <v>43177</v>
      </c>
      <c r="D18">
        <v>156.68</v>
      </c>
      <c r="E18">
        <v>2993371</v>
      </c>
      <c r="F18" t="s">
        <v>3576</v>
      </c>
      <c r="G18" t="s">
        <v>3543</v>
      </c>
      <c r="H18" t="s">
        <v>3527</v>
      </c>
      <c r="I18" t="s">
        <v>3528</v>
      </c>
      <c r="J18" t="s">
        <v>3529</v>
      </c>
      <c r="K18" t="s">
        <v>3530</v>
      </c>
      <c r="L18">
        <v>19104.997447025784</v>
      </c>
      <c r="N18" t="s">
        <v>3523</v>
      </c>
      <c r="O18" t="s">
        <v>3715</v>
      </c>
      <c r="P18" s="3465">
        <v>43185</v>
      </c>
      <c r="Q18">
        <v>234.61</v>
      </c>
      <c r="R18">
        <v>4572080</v>
      </c>
      <c r="S18" t="s">
        <v>3716</v>
      </c>
      <c r="T18" t="s">
        <v>3689</v>
      </c>
      <c r="U18" t="s">
        <v>3551</v>
      </c>
      <c r="V18" t="s">
        <v>3528</v>
      </c>
      <c r="W18" t="s">
        <v>3674</v>
      </c>
      <c r="X18" t="s">
        <v>3530</v>
      </c>
      <c r="Y18">
        <v>19488.00136396573</v>
      </c>
    </row>
    <row r="19" spans="1:25">
      <c r="A19" t="s">
        <v>3523</v>
      </c>
      <c r="B19" t="s">
        <v>3577</v>
      </c>
      <c r="C19" s="3465">
        <v>43175</v>
      </c>
      <c r="D19">
        <v>141.6</v>
      </c>
      <c r="E19">
        <v>2080387</v>
      </c>
      <c r="F19" t="s">
        <v>3578</v>
      </c>
      <c r="G19" t="s">
        <v>3579</v>
      </c>
      <c r="H19" t="s">
        <v>3544</v>
      </c>
      <c r="I19" t="s">
        <v>3534</v>
      </c>
      <c r="J19" t="s">
        <v>3529</v>
      </c>
      <c r="K19" t="s">
        <v>3530</v>
      </c>
      <c r="L19">
        <v>14691.998587570622</v>
      </c>
      <c r="N19" t="s">
        <v>3523</v>
      </c>
      <c r="O19" t="s">
        <v>3717</v>
      </c>
      <c r="P19" s="3465">
        <v>43185</v>
      </c>
      <c r="Q19">
        <v>178.51</v>
      </c>
      <c r="R19">
        <v>3164268</v>
      </c>
      <c r="S19" t="s">
        <v>3718</v>
      </c>
      <c r="T19" t="s">
        <v>3672</v>
      </c>
      <c r="U19" t="s">
        <v>3551</v>
      </c>
      <c r="V19" t="s">
        <v>3705</v>
      </c>
      <c r="W19" t="s">
        <v>3674</v>
      </c>
      <c r="X19" t="s">
        <v>3530</v>
      </c>
      <c r="Y19">
        <v>17725.998543498965</v>
      </c>
    </row>
    <row r="20" spans="1:25">
      <c r="A20" t="s">
        <v>3523</v>
      </c>
      <c r="B20" t="s">
        <v>3580</v>
      </c>
      <c r="C20" s="3465">
        <v>43160</v>
      </c>
      <c r="D20">
        <v>141.6</v>
      </c>
      <c r="E20">
        <v>2080387</v>
      </c>
      <c r="F20" t="s">
        <v>3581</v>
      </c>
      <c r="G20" t="s">
        <v>3569</v>
      </c>
      <c r="H20" t="s">
        <v>3544</v>
      </c>
      <c r="I20" t="s">
        <v>3534</v>
      </c>
      <c r="J20" t="s">
        <v>3529</v>
      </c>
      <c r="K20" t="s">
        <v>3530</v>
      </c>
      <c r="L20">
        <v>14691.998587570622</v>
      </c>
      <c r="N20" t="s">
        <v>3523</v>
      </c>
      <c r="O20" t="s">
        <v>3719</v>
      </c>
      <c r="P20" s="3465">
        <v>43186</v>
      </c>
      <c r="Q20">
        <v>178.51</v>
      </c>
      <c r="R20">
        <v>3467735</v>
      </c>
      <c r="S20" t="s">
        <v>3720</v>
      </c>
      <c r="T20" t="s">
        <v>3680</v>
      </c>
      <c r="U20" t="s">
        <v>3551</v>
      </c>
      <c r="V20" t="s">
        <v>3705</v>
      </c>
      <c r="W20" t="s">
        <v>3674</v>
      </c>
      <c r="X20" t="s">
        <v>3530</v>
      </c>
      <c r="Y20">
        <v>19425.998543498965</v>
      </c>
    </row>
    <row r="21" spans="1:25">
      <c r="A21" t="s">
        <v>3523</v>
      </c>
      <c r="B21" t="s">
        <v>3582</v>
      </c>
      <c r="C21" s="3465">
        <v>43160</v>
      </c>
      <c r="D21">
        <v>156.68</v>
      </c>
      <c r="E21">
        <v>2993371</v>
      </c>
      <c r="F21" t="s">
        <v>3583</v>
      </c>
      <c r="G21" t="s">
        <v>3584</v>
      </c>
      <c r="H21" t="s">
        <v>3527</v>
      </c>
      <c r="I21" t="s">
        <v>3528</v>
      </c>
      <c r="J21" t="s">
        <v>3529</v>
      </c>
      <c r="K21" t="s">
        <v>3530</v>
      </c>
      <c r="L21">
        <v>19104.997447025784</v>
      </c>
      <c r="N21" t="s">
        <v>3523</v>
      </c>
      <c r="O21" t="s">
        <v>3721</v>
      </c>
      <c r="P21" s="3465">
        <v>43185</v>
      </c>
      <c r="Q21">
        <v>234.94</v>
      </c>
      <c r="R21">
        <v>4799472</v>
      </c>
      <c r="S21" t="s">
        <v>3722</v>
      </c>
      <c r="T21" t="s">
        <v>3711</v>
      </c>
      <c r="U21" t="s">
        <v>3551</v>
      </c>
      <c r="V21" t="s">
        <v>3695</v>
      </c>
      <c r="W21" t="s">
        <v>3674</v>
      </c>
      <c r="X21" t="s">
        <v>3530</v>
      </c>
      <c r="Y21">
        <v>20428.500893845237</v>
      </c>
    </row>
    <row r="22" spans="1:25">
      <c r="A22" t="s">
        <v>3523</v>
      </c>
      <c r="B22" t="s">
        <v>3585</v>
      </c>
      <c r="C22" s="3465">
        <v>43160</v>
      </c>
      <c r="D22">
        <v>168.89</v>
      </c>
      <c r="E22">
        <v>2211108</v>
      </c>
      <c r="F22" t="s">
        <v>3586</v>
      </c>
      <c r="G22" t="s">
        <v>3587</v>
      </c>
      <c r="H22" t="s">
        <v>3544</v>
      </c>
      <c r="I22" t="s">
        <v>3540</v>
      </c>
      <c r="J22" t="s">
        <v>3529</v>
      </c>
      <c r="K22" t="s">
        <v>3530</v>
      </c>
      <c r="L22">
        <v>13092.000710521643</v>
      </c>
      <c r="N22" t="s">
        <v>3523</v>
      </c>
      <c r="O22" t="s">
        <v>3723</v>
      </c>
      <c r="P22" s="3465">
        <v>43185</v>
      </c>
      <c r="Q22">
        <v>234.96</v>
      </c>
      <c r="R22">
        <v>4470544</v>
      </c>
      <c r="S22" t="s">
        <v>3724</v>
      </c>
      <c r="T22" t="s">
        <v>3683</v>
      </c>
      <c r="U22" t="s">
        <v>3551</v>
      </c>
      <c r="V22" t="s">
        <v>3695</v>
      </c>
      <c r="W22" t="s">
        <v>3674</v>
      </c>
      <c r="X22" t="s">
        <v>3530</v>
      </c>
      <c r="Y22">
        <v>19026.830098740211</v>
      </c>
    </row>
    <row r="23" spans="1:25">
      <c r="A23" t="s">
        <v>3523</v>
      </c>
      <c r="B23" t="s">
        <v>3588</v>
      </c>
      <c r="C23" s="3465">
        <v>43160</v>
      </c>
      <c r="D23">
        <v>168.89</v>
      </c>
      <c r="E23">
        <v>2531999</v>
      </c>
      <c r="F23" t="s">
        <v>3589</v>
      </c>
      <c r="G23" t="s">
        <v>3579</v>
      </c>
      <c r="H23" t="s">
        <v>3527</v>
      </c>
      <c r="I23" t="s">
        <v>3534</v>
      </c>
      <c r="J23" t="s">
        <v>3529</v>
      </c>
      <c r="K23" t="s">
        <v>3530</v>
      </c>
      <c r="L23">
        <v>14992.000710521643</v>
      </c>
      <c r="N23" t="s">
        <v>3523</v>
      </c>
      <c r="O23" t="s">
        <v>3725</v>
      </c>
      <c r="P23" s="3465">
        <v>43185</v>
      </c>
      <c r="Q23">
        <v>234.61</v>
      </c>
      <c r="R23">
        <v>4278937</v>
      </c>
      <c r="S23" t="s">
        <v>3726</v>
      </c>
      <c r="T23" t="s">
        <v>3672</v>
      </c>
      <c r="U23" t="s">
        <v>3551</v>
      </c>
      <c r="V23" t="s">
        <v>3695</v>
      </c>
      <c r="W23" t="s">
        <v>3674</v>
      </c>
      <c r="X23" t="s">
        <v>3530</v>
      </c>
      <c r="Y23">
        <v>18238.510719918162</v>
      </c>
    </row>
    <row r="24" spans="1:25">
      <c r="A24" t="s">
        <v>3523</v>
      </c>
      <c r="B24" t="s">
        <v>3590</v>
      </c>
      <c r="C24" s="3465">
        <v>43160</v>
      </c>
      <c r="D24">
        <v>135.5</v>
      </c>
      <c r="E24">
        <v>2263392</v>
      </c>
      <c r="F24" t="s">
        <v>3591</v>
      </c>
      <c r="G24" t="s">
        <v>3569</v>
      </c>
      <c r="H24" t="s">
        <v>3527</v>
      </c>
      <c r="I24" t="s">
        <v>3547</v>
      </c>
      <c r="J24" t="s">
        <v>3529</v>
      </c>
      <c r="K24" t="s">
        <v>3530</v>
      </c>
      <c r="L24">
        <v>16704</v>
      </c>
      <c r="N24" t="s">
        <v>3523</v>
      </c>
      <c r="O24" t="s">
        <v>3727</v>
      </c>
      <c r="P24" s="3465">
        <v>43185</v>
      </c>
      <c r="Q24">
        <v>178.77</v>
      </c>
      <c r="R24">
        <v>3470998</v>
      </c>
      <c r="S24" t="s">
        <v>3728</v>
      </c>
      <c r="T24" t="s">
        <v>3711</v>
      </c>
      <c r="U24" t="s">
        <v>3551</v>
      </c>
      <c r="V24" t="s">
        <v>3673</v>
      </c>
      <c r="W24" t="s">
        <v>3674</v>
      </c>
      <c r="X24" t="s">
        <v>3530</v>
      </c>
      <c r="Y24">
        <v>19415.998209990488</v>
      </c>
    </row>
    <row r="25" spans="1:25">
      <c r="A25" t="s">
        <v>3523</v>
      </c>
      <c r="B25" t="s">
        <v>3592</v>
      </c>
      <c r="C25" s="3465">
        <v>43160</v>
      </c>
      <c r="D25">
        <v>156.68</v>
      </c>
      <c r="E25">
        <v>2915100</v>
      </c>
      <c r="F25" t="s">
        <v>3593</v>
      </c>
      <c r="G25" t="s">
        <v>3584</v>
      </c>
      <c r="H25" t="s">
        <v>3554</v>
      </c>
      <c r="I25" t="s">
        <v>3547</v>
      </c>
      <c r="J25" t="s">
        <v>3529</v>
      </c>
      <c r="K25" t="s">
        <v>3530</v>
      </c>
      <c r="L25">
        <v>18605.437835077864</v>
      </c>
      <c r="N25" t="s">
        <v>3523</v>
      </c>
      <c r="O25" t="s">
        <v>3729</v>
      </c>
      <c r="P25" s="3465">
        <v>43185</v>
      </c>
      <c r="Q25">
        <v>179.58</v>
      </c>
      <c r="R25">
        <v>3481338</v>
      </c>
      <c r="S25" t="s">
        <v>3730</v>
      </c>
      <c r="T25" t="s">
        <v>3711</v>
      </c>
      <c r="U25" t="s">
        <v>3551</v>
      </c>
      <c r="V25" t="s">
        <v>3547</v>
      </c>
      <c r="W25" t="s">
        <v>3674</v>
      </c>
      <c r="X25" t="s">
        <v>3530</v>
      </c>
      <c r="Y25">
        <v>19386.000668225857</v>
      </c>
    </row>
    <row r="26" spans="1:25">
      <c r="A26" t="s">
        <v>3523</v>
      </c>
      <c r="B26" t="s">
        <v>3594</v>
      </c>
      <c r="C26" s="3465">
        <v>43161</v>
      </c>
      <c r="D26">
        <v>168.89</v>
      </c>
      <c r="E26">
        <v>2363109</v>
      </c>
      <c r="F26" t="s">
        <v>3595</v>
      </c>
      <c r="G26" t="s">
        <v>3537</v>
      </c>
      <c r="H26" t="s">
        <v>3527</v>
      </c>
      <c r="I26" t="s">
        <v>3534</v>
      </c>
      <c r="J26" t="s">
        <v>3529</v>
      </c>
      <c r="K26" t="s">
        <v>3530</v>
      </c>
      <c r="L26">
        <v>13992.000710521643</v>
      </c>
      <c r="N26" t="s">
        <v>3523</v>
      </c>
      <c r="O26" t="s">
        <v>3731</v>
      </c>
      <c r="P26" s="3465">
        <v>43185</v>
      </c>
      <c r="Q26">
        <v>178.77</v>
      </c>
      <c r="R26">
        <v>3470998</v>
      </c>
      <c r="S26" t="s">
        <v>3732</v>
      </c>
      <c r="T26" t="s">
        <v>3711</v>
      </c>
      <c r="U26" t="s">
        <v>3551</v>
      </c>
      <c r="V26" t="s">
        <v>3705</v>
      </c>
      <c r="W26" t="s">
        <v>3674</v>
      </c>
      <c r="X26" t="s">
        <v>3530</v>
      </c>
      <c r="Y26">
        <v>19415.998209990488</v>
      </c>
    </row>
    <row r="27" spans="1:25">
      <c r="A27" t="s">
        <v>3523</v>
      </c>
      <c r="B27" t="s">
        <v>3596</v>
      </c>
      <c r="C27" s="3465">
        <v>43160</v>
      </c>
      <c r="D27">
        <v>168.89</v>
      </c>
      <c r="E27">
        <v>2396887</v>
      </c>
      <c r="F27" t="s">
        <v>3597</v>
      </c>
      <c r="G27" t="s">
        <v>3579</v>
      </c>
      <c r="H27" t="s">
        <v>3544</v>
      </c>
      <c r="I27" t="s">
        <v>3540</v>
      </c>
      <c r="J27" t="s">
        <v>3529</v>
      </c>
      <c r="K27" t="s">
        <v>3530</v>
      </c>
      <c r="L27">
        <v>14192.000710521643</v>
      </c>
      <c r="N27" t="s">
        <v>3523</v>
      </c>
      <c r="O27" t="s">
        <v>3733</v>
      </c>
      <c r="P27" s="3465">
        <v>43185</v>
      </c>
      <c r="Q27">
        <v>235.52</v>
      </c>
      <c r="R27">
        <v>4583219</v>
      </c>
      <c r="S27" t="s">
        <v>3734</v>
      </c>
      <c r="T27" t="s">
        <v>3704</v>
      </c>
      <c r="U27" t="s">
        <v>3551</v>
      </c>
      <c r="V27" t="s">
        <v>3528</v>
      </c>
      <c r="W27" t="s">
        <v>3674</v>
      </c>
      <c r="X27" t="s">
        <v>3530</v>
      </c>
      <c r="Y27">
        <v>19459.999150815216</v>
      </c>
    </row>
    <row r="28" spans="1:25">
      <c r="A28" t="s">
        <v>3523</v>
      </c>
      <c r="B28" t="s">
        <v>3598</v>
      </c>
      <c r="C28" s="3465">
        <v>43160</v>
      </c>
      <c r="D28">
        <v>168.89</v>
      </c>
      <c r="E28">
        <v>2531999</v>
      </c>
      <c r="F28" t="s">
        <v>3599</v>
      </c>
      <c r="G28" t="s">
        <v>3526</v>
      </c>
      <c r="H28" t="s">
        <v>3527</v>
      </c>
      <c r="I28" t="s">
        <v>3534</v>
      </c>
      <c r="J28" t="s">
        <v>3529</v>
      </c>
      <c r="K28" t="s">
        <v>3530</v>
      </c>
      <c r="L28">
        <v>14992.000710521643</v>
      </c>
      <c r="N28" t="s">
        <v>3523</v>
      </c>
      <c r="O28" t="s">
        <v>3735</v>
      </c>
      <c r="P28" s="3465">
        <v>43185</v>
      </c>
      <c r="Q28">
        <v>235.52</v>
      </c>
      <c r="R28">
        <v>4512563</v>
      </c>
      <c r="S28" t="s">
        <v>3736</v>
      </c>
      <c r="T28" t="s">
        <v>3737</v>
      </c>
      <c r="U28" t="s">
        <v>3551</v>
      </c>
      <c r="V28" t="s">
        <v>3528</v>
      </c>
      <c r="W28" t="s">
        <v>3674</v>
      </c>
      <c r="X28" t="s">
        <v>3530</v>
      </c>
      <c r="Y28">
        <v>19159.999150815216</v>
      </c>
    </row>
    <row r="29" spans="1:25">
      <c r="A29" t="s">
        <v>3523</v>
      </c>
      <c r="B29" t="s">
        <v>3600</v>
      </c>
      <c r="C29" s="3465">
        <v>43166</v>
      </c>
      <c r="D29">
        <v>156.97</v>
      </c>
      <c r="E29">
        <v>3012366</v>
      </c>
      <c r="F29" t="s">
        <v>3601</v>
      </c>
      <c r="G29" t="s">
        <v>3579</v>
      </c>
      <c r="H29" t="s">
        <v>3544</v>
      </c>
      <c r="I29" t="s">
        <v>3547</v>
      </c>
      <c r="J29" t="s">
        <v>3529</v>
      </c>
      <c r="K29" t="s">
        <v>3530</v>
      </c>
      <c r="L29">
        <v>19190.711600942854</v>
      </c>
      <c r="N29" t="s">
        <v>3523</v>
      </c>
      <c r="O29" t="s">
        <v>3738</v>
      </c>
      <c r="P29" s="3465">
        <v>43185</v>
      </c>
      <c r="Q29">
        <v>235.52</v>
      </c>
      <c r="R29">
        <v>4912947</v>
      </c>
      <c r="S29" t="s">
        <v>3739</v>
      </c>
      <c r="T29" t="s">
        <v>3740</v>
      </c>
      <c r="U29" t="s">
        <v>3551</v>
      </c>
      <c r="V29" t="s">
        <v>3528</v>
      </c>
      <c r="W29" t="s">
        <v>3674</v>
      </c>
      <c r="X29" t="s">
        <v>3530</v>
      </c>
      <c r="Y29">
        <v>20859.999150815216</v>
      </c>
    </row>
    <row r="30" spans="1:25">
      <c r="A30" t="s">
        <v>3523</v>
      </c>
      <c r="B30" t="s">
        <v>3602</v>
      </c>
      <c r="C30" s="3465">
        <v>43166</v>
      </c>
      <c r="D30">
        <v>168.57</v>
      </c>
      <c r="E30">
        <v>2291203</v>
      </c>
      <c r="F30" t="s">
        <v>3603</v>
      </c>
      <c r="G30" t="s">
        <v>3584</v>
      </c>
      <c r="H30" t="s">
        <v>3554</v>
      </c>
      <c r="I30" t="s">
        <v>3540</v>
      </c>
      <c r="J30" t="s">
        <v>3529</v>
      </c>
      <c r="K30" t="s">
        <v>3530</v>
      </c>
      <c r="L30">
        <v>13591.997389808388</v>
      </c>
      <c r="N30" t="s">
        <v>3523</v>
      </c>
      <c r="O30" t="s">
        <v>3741</v>
      </c>
      <c r="P30" s="3465">
        <v>43185</v>
      </c>
      <c r="Q30">
        <v>179.59</v>
      </c>
      <c r="R30">
        <v>3229926</v>
      </c>
      <c r="S30" t="s">
        <v>3742</v>
      </c>
      <c r="T30" t="s">
        <v>3683</v>
      </c>
      <c r="U30" t="s">
        <v>3551</v>
      </c>
      <c r="V30" t="s">
        <v>3547</v>
      </c>
      <c r="W30" t="s">
        <v>3674</v>
      </c>
      <c r="X30" t="s">
        <v>3530</v>
      </c>
      <c r="Y30">
        <v>17984.999164764184</v>
      </c>
    </row>
    <row r="31" spans="1:25">
      <c r="A31" t="s">
        <v>3523</v>
      </c>
      <c r="B31" t="s">
        <v>3604</v>
      </c>
      <c r="C31" s="3465">
        <v>43164</v>
      </c>
      <c r="D31">
        <v>141.33000000000001</v>
      </c>
      <c r="E31">
        <v>1920957</v>
      </c>
      <c r="F31" t="s">
        <v>3605</v>
      </c>
      <c r="G31" t="s">
        <v>3543</v>
      </c>
      <c r="H31" t="s">
        <v>3527</v>
      </c>
      <c r="I31" t="s">
        <v>3540</v>
      </c>
      <c r="J31" t="s">
        <v>3529</v>
      </c>
      <c r="K31" t="s">
        <v>3530</v>
      </c>
      <c r="L31">
        <v>13591.997452770111</v>
      </c>
      <c r="N31" t="s">
        <v>3523</v>
      </c>
      <c r="O31" t="s">
        <v>3743</v>
      </c>
      <c r="P31" s="3465">
        <v>43185</v>
      </c>
      <c r="Q31">
        <v>179.29</v>
      </c>
      <c r="R31">
        <v>3172895</v>
      </c>
      <c r="S31" t="s">
        <v>3744</v>
      </c>
      <c r="T31" t="s">
        <v>3737</v>
      </c>
      <c r="U31" t="s">
        <v>3551</v>
      </c>
      <c r="V31" t="s">
        <v>3547</v>
      </c>
      <c r="W31" t="s">
        <v>3674</v>
      </c>
      <c r="X31" t="s">
        <v>3530</v>
      </c>
      <c r="Y31">
        <v>17696.999274917733</v>
      </c>
    </row>
    <row r="32" spans="1:25">
      <c r="A32" t="s">
        <v>3523</v>
      </c>
      <c r="B32" t="s">
        <v>3606</v>
      </c>
      <c r="C32" s="3465">
        <v>43164</v>
      </c>
      <c r="D32">
        <v>135.5</v>
      </c>
      <c r="E32">
        <v>2263392</v>
      </c>
      <c r="F32" t="s">
        <v>3607</v>
      </c>
      <c r="G32" t="s">
        <v>3608</v>
      </c>
      <c r="H32" t="s">
        <v>3527</v>
      </c>
      <c r="I32" t="s">
        <v>3547</v>
      </c>
      <c r="J32" t="s">
        <v>3529</v>
      </c>
      <c r="K32" t="s">
        <v>3530</v>
      </c>
      <c r="L32">
        <v>16704</v>
      </c>
      <c r="N32" t="s">
        <v>3523</v>
      </c>
      <c r="O32" t="s">
        <v>3745</v>
      </c>
      <c r="P32" s="3465">
        <v>43185</v>
      </c>
      <c r="Q32">
        <v>235.52</v>
      </c>
      <c r="R32">
        <v>4630323</v>
      </c>
      <c r="S32" t="s">
        <v>3746</v>
      </c>
      <c r="T32" t="s">
        <v>3686</v>
      </c>
      <c r="U32" t="s">
        <v>3551</v>
      </c>
      <c r="V32" t="s">
        <v>3528</v>
      </c>
      <c r="W32" t="s">
        <v>3674</v>
      </c>
      <c r="X32" t="s">
        <v>3530</v>
      </c>
      <c r="Y32">
        <v>19659.999150815216</v>
      </c>
    </row>
    <row r="33" spans="1:25">
      <c r="A33" t="s">
        <v>3523</v>
      </c>
      <c r="B33" t="s">
        <v>3609</v>
      </c>
      <c r="C33" s="3465">
        <v>43164</v>
      </c>
      <c r="D33">
        <v>156.97</v>
      </c>
      <c r="E33">
        <v>3169381</v>
      </c>
      <c r="F33" t="s">
        <v>3610</v>
      </c>
      <c r="G33" t="s">
        <v>3564</v>
      </c>
      <c r="H33" t="s">
        <v>3527</v>
      </c>
      <c r="I33" t="s">
        <v>3528</v>
      </c>
      <c r="J33" t="s">
        <v>3529</v>
      </c>
      <c r="K33" t="s">
        <v>3530</v>
      </c>
      <c r="L33">
        <v>20190.998279926102</v>
      </c>
      <c r="N33" t="s">
        <v>3523</v>
      </c>
      <c r="O33" t="s">
        <v>3747</v>
      </c>
      <c r="P33" s="3465">
        <v>43185</v>
      </c>
      <c r="Q33">
        <v>178.87</v>
      </c>
      <c r="R33">
        <v>3221985</v>
      </c>
      <c r="S33" t="s">
        <v>3748</v>
      </c>
      <c r="T33" t="s">
        <v>3683</v>
      </c>
      <c r="U33" t="s">
        <v>3551</v>
      </c>
      <c r="V33" t="s">
        <v>3677</v>
      </c>
      <c r="W33" t="s">
        <v>3674</v>
      </c>
      <c r="X33" t="s">
        <v>3530</v>
      </c>
      <c r="Y33">
        <v>18012.998266897746</v>
      </c>
    </row>
    <row r="34" spans="1:25">
      <c r="A34" t="s">
        <v>3523</v>
      </c>
      <c r="B34" t="s">
        <v>3611</v>
      </c>
      <c r="C34" s="3465">
        <v>43164</v>
      </c>
      <c r="D34">
        <v>135.5</v>
      </c>
      <c r="E34">
        <v>2263392</v>
      </c>
      <c r="F34" t="s">
        <v>3612</v>
      </c>
      <c r="G34" t="s">
        <v>3526</v>
      </c>
      <c r="H34" t="s">
        <v>3527</v>
      </c>
      <c r="I34" t="s">
        <v>3547</v>
      </c>
      <c r="J34" t="s">
        <v>3529</v>
      </c>
      <c r="K34" t="s">
        <v>3530</v>
      </c>
      <c r="L34">
        <v>16704</v>
      </c>
      <c r="N34" t="s">
        <v>3523</v>
      </c>
      <c r="O34" t="s">
        <v>3749</v>
      </c>
      <c r="P34" s="3465">
        <v>43185</v>
      </c>
      <c r="Q34">
        <v>234.94</v>
      </c>
      <c r="R34">
        <v>4517544</v>
      </c>
      <c r="S34" t="s">
        <v>3750</v>
      </c>
      <c r="T34" t="s">
        <v>3714</v>
      </c>
      <c r="U34" t="s">
        <v>3551</v>
      </c>
      <c r="V34" t="s">
        <v>3695</v>
      </c>
      <c r="W34" t="s">
        <v>3674</v>
      </c>
      <c r="X34" t="s">
        <v>3530</v>
      </c>
      <c r="Y34">
        <v>19228.500893845237</v>
      </c>
    </row>
    <row r="35" spans="1:25">
      <c r="A35" t="s">
        <v>3523</v>
      </c>
      <c r="B35" t="s">
        <v>3613</v>
      </c>
      <c r="C35" s="3465">
        <v>43164</v>
      </c>
      <c r="D35">
        <v>168.89</v>
      </c>
      <c r="E35">
        <v>2531999</v>
      </c>
      <c r="F35" t="s">
        <v>3614</v>
      </c>
      <c r="G35" t="s">
        <v>3615</v>
      </c>
      <c r="H35" t="s">
        <v>3527</v>
      </c>
      <c r="I35" t="s">
        <v>3534</v>
      </c>
      <c r="J35" t="s">
        <v>3529</v>
      </c>
      <c r="K35" t="s">
        <v>3530</v>
      </c>
      <c r="L35">
        <v>14992.000710521643</v>
      </c>
      <c r="N35" t="s">
        <v>3523</v>
      </c>
      <c r="O35" t="s">
        <v>3751</v>
      </c>
      <c r="P35" s="3465">
        <v>43185</v>
      </c>
      <c r="Q35">
        <v>178.78</v>
      </c>
      <c r="R35">
        <v>3220900</v>
      </c>
      <c r="S35" t="s">
        <v>3752</v>
      </c>
      <c r="T35" t="s">
        <v>3683</v>
      </c>
      <c r="U35" t="s">
        <v>3551</v>
      </c>
      <c r="V35" t="s">
        <v>3673</v>
      </c>
      <c r="W35" t="s">
        <v>3674</v>
      </c>
      <c r="X35" t="s">
        <v>3530</v>
      </c>
      <c r="Y35">
        <v>18015.997315135923</v>
      </c>
    </row>
    <row r="36" spans="1:25">
      <c r="A36" t="s">
        <v>3523</v>
      </c>
      <c r="B36" t="s">
        <v>3616</v>
      </c>
      <c r="C36" s="3465">
        <v>43164</v>
      </c>
      <c r="D36">
        <v>141.33000000000001</v>
      </c>
      <c r="E36">
        <v>1920957</v>
      </c>
      <c r="F36" t="s">
        <v>3617</v>
      </c>
      <c r="G36" t="s">
        <v>3584</v>
      </c>
      <c r="H36" t="s">
        <v>3544</v>
      </c>
      <c r="I36" t="s">
        <v>3534</v>
      </c>
      <c r="J36" t="s">
        <v>3529</v>
      </c>
      <c r="K36" t="s">
        <v>3530</v>
      </c>
      <c r="L36">
        <v>13591.997452770111</v>
      </c>
      <c r="N36" t="s">
        <v>3523</v>
      </c>
      <c r="O36" t="s">
        <v>3753</v>
      </c>
      <c r="P36" s="3465">
        <v>43185</v>
      </c>
      <c r="Q36">
        <v>234.96</v>
      </c>
      <c r="R36">
        <v>4400056</v>
      </c>
      <c r="S36" t="s">
        <v>3754</v>
      </c>
      <c r="T36" t="s">
        <v>3708</v>
      </c>
      <c r="U36" t="s">
        <v>3551</v>
      </c>
      <c r="V36" t="s">
        <v>3695</v>
      </c>
      <c r="W36" t="s">
        <v>3674</v>
      </c>
      <c r="X36" t="s">
        <v>3530</v>
      </c>
      <c r="Y36">
        <v>18726.830098740211</v>
      </c>
    </row>
    <row r="37" spans="1:25">
      <c r="A37" t="s">
        <v>3523</v>
      </c>
      <c r="B37" t="s">
        <v>3618</v>
      </c>
      <c r="C37" s="3465">
        <v>43164</v>
      </c>
      <c r="D37">
        <v>135.5</v>
      </c>
      <c r="E37">
        <v>2114342</v>
      </c>
      <c r="F37" t="s">
        <v>3619</v>
      </c>
      <c r="G37" t="s">
        <v>3572</v>
      </c>
      <c r="H37" t="s">
        <v>3544</v>
      </c>
      <c r="I37" t="s">
        <v>3528</v>
      </c>
      <c r="J37" t="s">
        <v>3529</v>
      </c>
      <c r="K37" t="s">
        <v>3530</v>
      </c>
      <c r="L37">
        <v>15604</v>
      </c>
      <c r="N37" t="s">
        <v>3523</v>
      </c>
      <c r="O37" t="s">
        <v>3755</v>
      </c>
      <c r="P37" s="3465">
        <v>43185</v>
      </c>
      <c r="Q37">
        <v>178.51</v>
      </c>
      <c r="R37">
        <v>3467735</v>
      </c>
      <c r="S37" t="s">
        <v>3756</v>
      </c>
      <c r="T37" t="s">
        <v>3680</v>
      </c>
      <c r="U37" t="s">
        <v>3551</v>
      </c>
      <c r="V37" t="s">
        <v>3673</v>
      </c>
      <c r="W37" t="s">
        <v>3674</v>
      </c>
      <c r="X37" t="s">
        <v>3530</v>
      </c>
      <c r="Y37">
        <v>19425.998543498965</v>
      </c>
    </row>
    <row r="38" spans="1:25">
      <c r="A38" t="s">
        <v>3523</v>
      </c>
      <c r="B38" t="s">
        <v>3620</v>
      </c>
      <c r="C38" s="3465">
        <v>43164</v>
      </c>
      <c r="D38">
        <v>168.89</v>
      </c>
      <c r="E38">
        <v>2295553</v>
      </c>
      <c r="F38" t="s">
        <v>3621</v>
      </c>
      <c r="G38" t="s">
        <v>3572</v>
      </c>
      <c r="H38" t="s">
        <v>3544</v>
      </c>
      <c r="I38" t="s">
        <v>3540</v>
      </c>
      <c r="J38" t="s">
        <v>3529</v>
      </c>
      <c r="K38" t="s">
        <v>3530</v>
      </c>
      <c r="L38">
        <v>13592.000710521643</v>
      </c>
      <c r="N38" t="s">
        <v>3523</v>
      </c>
      <c r="O38" t="s">
        <v>3757</v>
      </c>
      <c r="P38" s="3465">
        <v>43185</v>
      </c>
      <c r="Q38">
        <v>178.51</v>
      </c>
      <c r="R38">
        <v>3217821</v>
      </c>
      <c r="S38" t="s">
        <v>3758</v>
      </c>
      <c r="T38" t="s">
        <v>3689</v>
      </c>
      <c r="U38" t="s">
        <v>3551</v>
      </c>
      <c r="V38" t="s">
        <v>3705</v>
      </c>
      <c r="W38" t="s">
        <v>3674</v>
      </c>
      <c r="X38" t="s">
        <v>3530</v>
      </c>
      <c r="Y38">
        <v>18025.998543498965</v>
      </c>
    </row>
    <row r="39" spans="1:25">
      <c r="A39" t="s">
        <v>3523</v>
      </c>
      <c r="B39" t="s">
        <v>3622</v>
      </c>
      <c r="C39" s="3465">
        <v>43164</v>
      </c>
      <c r="D39">
        <v>156.97</v>
      </c>
      <c r="E39">
        <v>3090852</v>
      </c>
      <c r="F39" t="s">
        <v>3623</v>
      </c>
      <c r="G39" t="s">
        <v>3564</v>
      </c>
      <c r="H39" t="s">
        <v>3544</v>
      </c>
      <c r="I39" t="s">
        <v>3547</v>
      </c>
      <c r="J39" t="s">
        <v>3529</v>
      </c>
      <c r="K39" t="s">
        <v>3530</v>
      </c>
      <c r="L39">
        <v>19690.717971586928</v>
      </c>
      <c r="N39" t="s">
        <v>3523</v>
      </c>
      <c r="O39" t="s">
        <v>3759</v>
      </c>
      <c r="P39" s="3465">
        <v>43185</v>
      </c>
      <c r="Q39">
        <v>179.29</v>
      </c>
      <c r="R39">
        <v>3172895</v>
      </c>
      <c r="S39" t="s">
        <v>3760</v>
      </c>
      <c r="T39" t="s">
        <v>3737</v>
      </c>
      <c r="U39" t="s">
        <v>3551</v>
      </c>
      <c r="V39" t="s">
        <v>3673</v>
      </c>
      <c r="W39" t="s">
        <v>3674</v>
      </c>
      <c r="X39" t="s">
        <v>3530</v>
      </c>
      <c r="Y39">
        <v>17696.999274917733</v>
      </c>
    </row>
    <row r="40" spans="1:25">
      <c r="A40" t="s">
        <v>3523</v>
      </c>
      <c r="B40" t="s">
        <v>3624</v>
      </c>
      <c r="C40" s="3465">
        <v>43164</v>
      </c>
      <c r="D40">
        <v>156.97</v>
      </c>
      <c r="E40">
        <v>3169381</v>
      </c>
      <c r="F40" t="s">
        <v>3625</v>
      </c>
      <c r="G40" t="s">
        <v>3559</v>
      </c>
      <c r="H40" t="s">
        <v>3527</v>
      </c>
      <c r="I40" t="s">
        <v>3528</v>
      </c>
      <c r="J40" t="s">
        <v>3529</v>
      </c>
      <c r="K40" t="s">
        <v>3530</v>
      </c>
      <c r="L40">
        <v>20190.998279926102</v>
      </c>
      <c r="N40" t="s">
        <v>3523</v>
      </c>
      <c r="O40" t="s">
        <v>3761</v>
      </c>
      <c r="P40" s="3465">
        <v>43185</v>
      </c>
      <c r="Q40">
        <v>234.61</v>
      </c>
      <c r="R40">
        <v>4396242</v>
      </c>
      <c r="S40" t="s">
        <v>3762</v>
      </c>
      <c r="T40" t="s">
        <v>3691</v>
      </c>
      <c r="U40" t="s">
        <v>3551</v>
      </c>
      <c r="V40" t="s">
        <v>3695</v>
      </c>
      <c r="W40" t="s">
        <v>3674</v>
      </c>
      <c r="X40" t="s">
        <v>3530</v>
      </c>
      <c r="Y40">
        <v>18738.510719918162</v>
      </c>
    </row>
    <row r="41" spans="1:25">
      <c r="A41" t="s">
        <v>3523</v>
      </c>
      <c r="B41" t="s">
        <v>3626</v>
      </c>
      <c r="C41" s="3465">
        <v>43162</v>
      </c>
      <c r="D41">
        <v>135.5</v>
      </c>
      <c r="E41">
        <v>2263392</v>
      </c>
      <c r="F41" t="s">
        <v>3627</v>
      </c>
      <c r="G41" t="s">
        <v>3615</v>
      </c>
      <c r="H41" t="s">
        <v>3527</v>
      </c>
      <c r="I41" t="s">
        <v>3547</v>
      </c>
      <c r="J41" t="s">
        <v>3529</v>
      </c>
      <c r="K41" t="s">
        <v>3530</v>
      </c>
      <c r="L41">
        <v>16704</v>
      </c>
      <c r="N41" t="s">
        <v>3523</v>
      </c>
      <c r="O41" t="s">
        <v>3763</v>
      </c>
      <c r="P41" s="3465">
        <v>43185</v>
      </c>
      <c r="Q41">
        <v>235.52</v>
      </c>
      <c r="R41">
        <v>4524231</v>
      </c>
      <c r="S41" t="s">
        <v>3764</v>
      </c>
      <c r="T41" t="s">
        <v>3686</v>
      </c>
      <c r="U41" t="s">
        <v>3551</v>
      </c>
      <c r="V41" t="s">
        <v>3705</v>
      </c>
      <c r="W41" t="s">
        <v>3674</v>
      </c>
      <c r="X41" t="s">
        <v>3530</v>
      </c>
      <c r="Y41">
        <v>19209.540591032608</v>
      </c>
    </row>
    <row r="42" spans="1:25">
      <c r="A42" t="s">
        <v>3523</v>
      </c>
      <c r="B42" t="s">
        <v>3628</v>
      </c>
      <c r="C42" s="3465">
        <v>43162</v>
      </c>
      <c r="D42">
        <v>156.97</v>
      </c>
      <c r="E42">
        <v>2933879</v>
      </c>
      <c r="F42" t="s">
        <v>3629</v>
      </c>
      <c r="G42" t="s">
        <v>3559</v>
      </c>
      <c r="H42" t="s">
        <v>3544</v>
      </c>
      <c r="I42" t="s">
        <v>3547</v>
      </c>
      <c r="J42" t="s">
        <v>3529</v>
      </c>
      <c r="K42" t="s">
        <v>3530</v>
      </c>
      <c r="L42">
        <v>18690.698859654713</v>
      </c>
      <c r="N42" t="s">
        <v>3523</v>
      </c>
      <c r="O42" t="s">
        <v>3765</v>
      </c>
      <c r="P42" s="3465">
        <v>43185</v>
      </c>
      <c r="Q42">
        <v>179.29</v>
      </c>
      <c r="R42">
        <v>3226682</v>
      </c>
      <c r="S42" t="s">
        <v>3766</v>
      </c>
      <c r="T42" t="s">
        <v>3704</v>
      </c>
      <c r="U42" t="s">
        <v>3551</v>
      </c>
      <c r="V42" t="s">
        <v>3547</v>
      </c>
      <c r="W42" t="s">
        <v>3674</v>
      </c>
      <c r="X42" t="s">
        <v>3530</v>
      </c>
      <c r="Y42">
        <v>17996.999274917733</v>
      </c>
    </row>
    <row r="43" spans="1:25">
      <c r="A43" t="s">
        <v>3523</v>
      </c>
      <c r="B43" t="s">
        <v>3630</v>
      </c>
      <c r="C43" s="3465">
        <v>43162</v>
      </c>
      <c r="D43">
        <v>168.89</v>
      </c>
      <c r="E43">
        <v>2396887</v>
      </c>
      <c r="F43" t="s">
        <v>3631</v>
      </c>
      <c r="G43" t="s">
        <v>3608</v>
      </c>
      <c r="H43" t="s">
        <v>3544</v>
      </c>
      <c r="I43" t="s">
        <v>3540</v>
      </c>
      <c r="J43" t="s">
        <v>3529</v>
      </c>
      <c r="K43" t="s">
        <v>3530</v>
      </c>
      <c r="L43">
        <v>14192.000710521643</v>
      </c>
      <c r="N43" t="s">
        <v>3523</v>
      </c>
      <c r="O43" t="s">
        <v>3767</v>
      </c>
      <c r="P43" s="3465">
        <v>43185</v>
      </c>
      <c r="Q43">
        <v>178.86</v>
      </c>
      <c r="R43">
        <v>3257577</v>
      </c>
      <c r="S43" t="s">
        <v>3768</v>
      </c>
      <c r="T43" t="s">
        <v>3714</v>
      </c>
      <c r="U43" t="s">
        <v>3551</v>
      </c>
      <c r="V43" t="s">
        <v>3677</v>
      </c>
      <c r="W43" t="s">
        <v>3674</v>
      </c>
      <c r="X43" t="s">
        <v>3530</v>
      </c>
      <c r="Y43">
        <v>18212.998993626297</v>
      </c>
    </row>
    <row r="44" spans="1:25">
      <c r="A44" t="s">
        <v>3523</v>
      </c>
      <c r="B44" t="s">
        <v>3632</v>
      </c>
      <c r="C44" s="3465">
        <v>43160</v>
      </c>
      <c r="D44">
        <v>168.89</v>
      </c>
      <c r="E44">
        <v>2481332</v>
      </c>
      <c r="F44" t="s">
        <v>3633</v>
      </c>
      <c r="G44" t="s">
        <v>3537</v>
      </c>
      <c r="H44" t="s">
        <v>3544</v>
      </c>
      <c r="I44" t="s">
        <v>3540</v>
      </c>
      <c r="J44" t="s">
        <v>3529</v>
      </c>
      <c r="K44" t="s">
        <v>3530</v>
      </c>
      <c r="L44">
        <v>14692.000710521643</v>
      </c>
      <c r="N44" t="s">
        <v>3523</v>
      </c>
      <c r="O44" t="s">
        <v>3769</v>
      </c>
      <c r="P44" s="3465">
        <v>43185</v>
      </c>
      <c r="Q44">
        <v>178.77</v>
      </c>
      <c r="R44">
        <v>3256474</v>
      </c>
      <c r="S44" t="s">
        <v>3770</v>
      </c>
      <c r="T44" t="s">
        <v>3714</v>
      </c>
      <c r="U44" t="s">
        <v>3551</v>
      </c>
      <c r="V44" t="s">
        <v>3705</v>
      </c>
      <c r="W44" t="s">
        <v>3674</v>
      </c>
      <c r="X44" t="s">
        <v>3530</v>
      </c>
      <c r="Y44">
        <v>18215.998209990488</v>
      </c>
    </row>
    <row r="45" spans="1:25">
      <c r="A45" t="s">
        <v>3523</v>
      </c>
      <c r="B45" t="s">
        <v>3634</v>
      </c>
      <c r="C45" s="3465">
        <v>43160</v>
      </c>
      <c r="D45">
        <v>135.25</v>
      </c>
      <c r="E45">
        <v>2112605</v>
      </c>
      <c r="F45" t="s">
        <v>3635</v>
      </c>
      <c r="G45" t="s">
        <v>3584</v>
      </c>
      <c r="H45" t="s">
        <v>3554</v>
      </c>
      <c r="I45" t="s">
        <v>3528</v>
      </c>
      <c r="J45" t="s">
        <v>3529</v>
      </c>
      <c r="K45" t="s">
        <v>3530</v>
      </c>
      <c r="L45">
        <v>15620</v>
      </c>
      <c r="N45" t="s">
        <v>3523</v>
      </c>
      <c r="O45" t="s">
        <v>3771</v>
      </c>
      <c r="P45" s="3465">
        <v>43185</v>
      </c>
      <c r="Q45">
        <v>179.29</v>
      </c>
      <c r="R45">
        <v>3226682</v>
      </c>
      <c r="S45" t="s">
        <v>3772</v>
      </c>
      <c r="T45" t="s">
        <v>3704</v>
      </c>
      <c r="U45" t="s">
        <v>3551</v>
      </c>
      <c r="V45" t="s">
        <v>3673</v>
      </c>
      <c r="W45" t="s">
        <v>3674</v>
      </c>
      <c r="X45" t="s">
        <v>3530</v>
      </c>
      <c r="Y45">
        <v>17996.999274917733</v>
      </c>
    </row>
    <row r="46" spans="1:25">
      <c r="A46" t="s">
        <v>3523</v>
      </c>
      <c r="B46" t="s">
        <v>3636</v>
      </c>
      <c r="C46" s="3465">
        <v>43160</v>
      </c>
      <c r="D46">
        <v>135.5</v>
      </c>
      <c r="E46">
        <v>2114342</v>
      </c>
      <c r="F46" t="s">
        <v>3637</v>
      </c>
      <c r="G46" t="s">
        <v>3587</v>
      </c>
      <c r="H46" t="s">
        <v>3544</v>
      </c>
      <c r="I46" t="s">
        <v>3528</v>
      </c>
      <c r="J46" t="s">
        <v>3529</v>
      </c>
      <c r="K46" t="s">
        <v>3530</v>
      </c>
      <c r="L46">
        <v>15604</v>
      </c>
      <c r="N46" t="s">
        <v>3523</v>
      </c>
      <c r="O46" t="s">
        <v>3773</v>
      </c>
      <c r="P46" s="3465">
        <v>43185</v>
      </c>
      <c r="Q46">
        <v>178.77</v>
      </c>
      <c r="R46">
        <v>3256474</v>
      </c>
      <c r="S46" t="s">
        <v>3774</v>
      </c>
      <c r="T46" t="s">
        <v>3714</v>
      </c>
      <c r="U46" t="s">
        <v>3551</v>
      </c>
      <c r="V46" t="s">
        <v>3673</v>
      </c>
      <c r="W46" t="s">
        <v>3674</v>
      </c>
      <c r="X46" t="s">
        <v>3530</v>
      </c>
      <c r="Y46">
        <v>18215.998209990488</v>
      </c>
    </row>
    <row r="47" spans="1:25">
      <c r="A47" t="s">
        <v>3523</v>
      </c>
      <c r="B47" t="s">
        <v>3638</v>
      </c>
      <c r="C47" s="3465">
        <v>43160</v>
      </c>
      <c r="D47">
        <v>141.33000000000001</v>
      </c>
      <c r="E47">
        <v>1920957</v>
      </c>
      <c r="F47" t="s">
        <v>3639</v>
      </c>
      <c r="G47" t="s">
        <v>3584</v>
      </c>
      <c r="H47" t="s">
        <v>3544</v>
      </c>
      <c r="I47" t="s">
        <v>3540</v>
      </c>
      <c r="J47" t="s">
        <v>3529</v>
      </c>
      <c r="K47" t="s">
        <v>3530</v>
      </c>
      <c r="L47">
        <v>13591.997452770111</v>
      </c>
      <c r="N47" t="s">
        <v>3523</v>
      </c>
      <c r="O47" t="s">
        <v>3775</v>
      </c>
      <c r="P47" s="3465">
        <v>43185</v>
      </c>
      <c r="Q47">
        <v>178.78</v>
      </c>
      <c r="R47">
        <v>3220900</v>
      </c>
      <c r="S47" t="s">
        <v>3776</v>
      </c>
      <c r="T47" t="s">
        <v>3683</v>
      </c>
      <c r="U47" t="s">
        <v>3551</v>
      </c>
      <c r="V47" t="s">
        <v>3705</v>
      </c>
      <c r="W47" t="s">
        <v>3674</v>
      </c>
      <c r="X47" t="s">
        <v>3530</v>
      </c>
      <c r="Y47">
        <v>18015.997315135923</v>
      </c>
    </row>
    <row r="48" spans="1:25">
      <c r="A48" t="s">
        <v>3523</v>
      </c>
      <c r="B48" t="s">
        <v>3640</v>
      </c>
      <c r="C48" s="3465">
        <v>43160</v>
      </c>
      <c r="D48">
        <v>141.6</v>
      </c>
      <c r="E48">
        <v>2080387</v>
      </c>
      <c r="F48" t="s">
        <v>3641</v>
      </c>
      <c r="G48" t="s">
        <v>3564</v>
      </c>
      <c r="H48" t="s">
        <v>3527</v>
      </c>
      <c r="I48" t="s">
        <v>3540</v>
      </c>
      <c r="J48" t="s">
        <v>3529</v>
      </c>
      <c r="K48" t="s">
        <v>3530</v>
      </c>
      <c r="L48">
        <v>14691.998587570622</v>
      </c>
      <c r="N48" t="s">
        <v>3523</v>
      </c>
      <c r="O48" t="s">
        <v>3777</v>
      </c>
      <c r="P48" s="3465">
        <v>43185</v>
      </c>
      <c r="Q48">
        <v>178.6</v>
      </c>
      <c r="R48">
        <v>3218908</v>
      </c>
      <c r="S48" t="s">
        <v>3778</v>
      </c>
      <c r="T48" t="s">
        <v>3689</v>
      </c>
      <c r="U48" t="s">
        <v>3551</v>
      </c>
      <c r="V48" t="s">
        <v>3547</v>
      </c>
      <c r="W48" t="s">
        <v>3674</v>
      </c>
      <c r="X48" t="s">
        <v>3530</v>
      </c>
      <c r="Y48">
        <v>18023.00111982083</v>
      </c>
    </row>
    <row r="49" spans="1:25">
      <c r="A49" t="s">
        <v>3523</v>
      </c>
      <c r="B49" t="s">
        <v>3642</v>
      </c>
      <c r="C49" s="3465">
        <v>43248</v>
      </c>
      <c r="D49">
        <v>141.33000000000001</v>
      </c>
      <c r="E49">
        <v>1920957</v>
      </c>
      <c r="F49" t="s">
        <v>3643</v>
      </c>
      <c r="G49" t="s">
        <v>3543</v>
      </c>
      <c r="H49" t="s">
        <v>3544</v>
      </c>
      <c r="I49" t="s">
        <v>3534</v>
      </c>
      <c r="J49" t="s">
        <v>3529</v>
      </c>
      <c r="K49" t="s">
        <v>3530</v>
      </c>
      <c r="L49">
        <v>13591.997452770111</v>
      </c>
      <c r="N49" t="s">
        <v>3523</v>
      </c>
      <c r="O49" t="s">
        <v>3779</v>
      </c>
      <c r="P49" s="3465">
        <v>43185</v>
      </c>
      <c r="Q49">
        <v>178.6</v>
      </c>
      <c r="R49">
        <v>3254628</v>
      </c>
      <c r="S49" t="s">
        <v>3780</v>
      </c>
      <c r="T49" t="s">
        <v>3691</v>
      </c>
      <c r="U49" t="s">
        <v>3551</v>
      </c>
      <c r="V49" t="s">
        <v>3677</v>
      </c>
      <c r="W49" t="s">
        <v>3674</v>
      </c>
      <c r="X49" t="s">
        <v>3530</v>
      </c>
      <c r="Y49">
        <v>18223.00111982083</v>
      </c>
    </row>
    <row r="50" spans="1:25">
      <c r="A50" t="s">
        <v>3523</v>
      </c>
      <c r="B50" t="s">
        <v>3644</v>
      </c>
      <c r="C50" s="3465">
        <v>43242</v>
      </c>
      <c r="D50">
        <v>168.89</v>
      </c>
      <c r="E50">
        <v>2531999</v>
      </c>
      <c r="F50" t="s">
        <v>3645</v>
      </c>
      <c r="G50" t="s">
        <v>3564</v>
      </c>
      <c r="H50" t="s">
        <v>3527</v>
      </c>
      <c r="I50" t="s">
        <v>3534</v>
      </c>
      <c r="J50" t="s">
        <v>3529</v>
      </c>
      <c r="K50" t="s">
        <v>3530</v>
      </c>
      <c r="L50">
        <v>14992.000710521643</v>
      </c>
      <c r="N50" t="s">
        <v>3523</v>
      </c>
      <c r="O50" t="s">
        <v>3781</v>
      </c>
      <c r="P50" s="3465">
        <v>43185</v>
      </c>
      <c r="Q50">
        <v>179.29</v>
      </c>
      <c r="R50">
        <v>3477688</v>
      </c>
      <c r="S50" t="s">
        <v>3782</v>
      </c>
      <c r="T50" t="s">
        <v>3740</v>
      </c>
      <c r="U50" t="s">
        <v>3551</v>
      </c>
      <c r="V50" t="s">
        <v>3547</v>
      </c>
      <c r="W50" t="s">
        <v>3674</v>
      </c>
      <c r="X50" t="s">
        <v>3530</v>
      </c>
      <c r="Y50">
        <v>19396.999274917733</v>
      </c>
    </row>
    <row r="51" spans="1:25">
      <c r="A51" t="s">
        <v>3523</v>
      </c>
      <c r="B51" t="s">
        <v>3646</v>
      </c>
      <c r="C51" s="3465">
        <v>43251</v>
      </c>
      <c r="D51">
        <v>135.25</v>
      </c>
      <c r="E51">
        <v>2112605</v>
      </c>
      <c r="F51" t="s">
        <v>3647</v>
      </c>
      <c r="G51" t="s">
        <v>3543</v>
      </c>
      <c r="H51" t="s">
        <v>3544</v>
      </c>
      <c r="I51" t="s">
        <v>3547</v>
      </c>
      <c r="J51" t="s">
        <v>3529</v>
      </c>
      <c r="K51" t="s">
        <v>3530</v>
      </c>
      <c r="L51">
        <v>15620</v>
      </c>
      <c r="N51" t="s">
        <v>3523</v>
      </c>
      <c r="O51" t="s">
        <v>3783</v>
      </c>
      <c r="P51" s="3465">
        <v>43185</v>
      </c>
      <c r="Q51">
        <v>179.29</v>
      </c>
      <c r="R51">
        <v>3262540</v>
      </c>
      <c r="S51" t="s">
        <v>3784</v>
      </c>
      <c r="T51" t="s">
        <v>3686</v>
      </c>
      <c r="U51" t="s">
        <v>3551</v>
      </c>
      <c r="V51" t="s">
        <v>3547</v>
      </c>
      <c r="W51" t="s">
        <v>3674</v>
      </c>
      <c r="X51" t="s">
        <v>3530</v>
      </c>
      <c r="Y51">
        <v>18196.999274917733</v>
      </c>
    </row>
    <row r="52" spans="1:25">
      <c r="A52" t="s">
        <v>3523</v>
      </c>
      <c r="B52" t="s">
        <v>3648</v>
      </c>
      <c r="C52" s="3465">
        <v>43234</v>
      </c>
      <c r="D52">
        <v>135.5</v>
      </c>
      <c r="E52">
        <v>2263392</v>
      </c>
      <c r="F52" t="s">
        <v>3649</v>
      </c>
      <c r="G52" t="s">
        <v>3526</v>
      </c>
      <c r="H52" t="s">
        <v>3544</v>
      </c>
      <c r="I52" t="s">
        <v>3528</v>
      </c>
      <c r="J52" t="s">
        <v>3529</v>
      </c>
      <c r="K52" t="s">
        <v>3530</v>
      </c>
      <c r="L52">
        <v>16704</v>
      </c>
      <c r="N52" t="s">
        <v>3523</v>
      </c>
      <c r="O52" t="s">
        <v>3785</v>
      </c>
      <c r="P52" s="3465">
        <v>43185</v>
      </c>
      <c r="Q52">
        <v>179.29</v>
      </c>
      <c r="R52">
        <v>3477688</v>
      </c>
      <c r="S52" t="s">
        <v>3786</v>
      </c>
      <c r="T52" t="s">
        <v>3740</v>
      </c>
      <c r="U52" t="s">
        <v>3551</v>
      </c>
      <c r="V52" t="s">
        <v>3673</v>
      </c>
      <c r="W52" t="s">
        <v>3674</v>
      </c>
      <c r="X52" t="s">
        <v>3530</v>
      </c>
      <c r="Y52">
        <v>19396.999274917733</v>
      </c>
    </row>
    <row r="53" spans="1:25">
      <c r="A53" t="s">
        <v>3523</v>
      </c>
      <c r="B53" t="s">
        <v>3650</v>
      </c>
      <c r="C53" s="3465">
        <v>43220</v>
      </c>
      <c r="D53">
        <v>156.68</v>
      </c>
      <c r="E53">
        <v>2915100</v>
      </c>
      <c r="F53" t="s">
        <v>3651</v>
      </c>
      <c r="G53" t="s">
        <v>3543</v>
      </c>
      <c r="H53" t="s">
        <v>3554</v>
      </c>
      <c r="I53" t="s">
        <v>3547</v>
      </c>
      <c r="J53" t="s">
        <v>3529</v>
      </c>
      <c r="K53" t="s">
        <v>3530</v>
      </c>
      <c r="L53">
        <v>18605.437835077864</v>
      </c>
      <c r="N53" t="s">
        <v>3523</v>
      </c>
      <c r="O53" t="s">
        <v>3787</v>
      </c>
      <c r="P53" s="3465">
        <v>43185</v>
      </c>
      <c r="Q53">
        <v>178.51</v>
      </c>
      <c r="R53">
        <v>3253523</v>
      </c>
      <c r="S53" t="s">
        <v>3788</v>
      </c>
      <c r="T53" t="s">
        <v>3691</v>
      </c>
      <c r="U53" t="s">
        <v>3551</v>
      </c>
      <c r="V53" t="s">
        <v>3705</v>
      </c>
      <c r="W53" t="s">
        <v>3674</v>
      </c>
      <c r="X53" t="s">
        <v>3530</v>
      </c>
      <c r="Y53">
        <v>18225.998543498965</v>
      </c>
    </row>
    <row r="54" spans="1:25">
      <c r="A54" t="s">
        <v>3523</v>
      </c>
      <c r="B54" t="s">
        <v>3652</v>
      </c>
      <c r="C54" s="3465">
        <v>43220</v>
      </c>
      <c r="D54">
        <v>168.89</v>
      </c>
      <c r="E54">
        <v>2531999</v>
      </c>
      <c r="F54" t="s">
        <v>3653</v>
      </c>
      <c r="G54" t="s">
        <v>3608</v>
      </c>
      <c r="H54" t="s">
        <v>3527</v>
      </c>
      <c r="I54" t="s">
        <v>3534</v>
      </c>
      <c r="J54" t="s">
        <v>3529</v>
      </c>
      <c r="K54" t="s">
        <v>3530</v>
      </c>
      <c r="L54">
        <v>14992.000710521643</v>
      </c>
      <c r="N54" t="s">
        <v>3523</v>
      </c>
      <c r="O54" t="s">
        <v>3789</v>
      </c>
      <c r="P54" s="3465">
        <v>43185</v>
      </c>
      <c r="Q54">
        <v>178.6</v>
      </c>
      <c r="R54">
        <v>3218908</v>
      </c>
      <c r="S54" t="s">
        <v>3790</v>
      </c>
      <c r="T54" t="s">
        <v>3689</v>
      </c>
      <c r="U54" t="s">
        <v>3551</v>
      </c>
      <c r="V54" t="s">
        <v>3677</v>
      </c>
      <c r="W54" t="s">
        <v>3674</v>
      </c>
      <c r="X54" t="s">
        <v>3530</v>
      </c>
      <c r="Y54">
        <v>18023.00111982083</v>
      </c>
    </row>
    <row r="55" spans="1:25">
      <c r="A55" t="s">
        <v>3523</v>
      </c>
      <c r="B55" t="s">
        <v>3654</v>
      </c>
      <c r="C55" s="3465">
        <v>43311</v>
      </c>
      <c r="D55">
        <v>142.55000000000001</v>
      </c>
      <c r="E55">
        <v>2470526</v>
      </c>
      <c r="F55" t="s">
        <v>3655</v>
      </c>
      <c r="G55" t="s">
        <v>3533</v>
      </c>
      <c r="H55" t="s">
        <v>3527</v>
      </c>
      <c r="I55" t="s">
        <v>3540</v>
      </c>
      <c r="J55" t="s">
        <v>3529</v>
      </c>
      <c r="K55" t="s">
        <v>3530</v>
      </c>
      <c r="L55">
        <v>17330.94352858646</v>
      </c>
      <c r="N55" t="s">
        <v>3523</v>
      </c>
      <c r="O55" t="s">
        <v>3791</v>
      </c>
      <c r="P55" s="3465">
        <v>43185</v>
      </c>
      <c r="Q55">
        <v>178.78</v>
      </c>
      <c r="R55">
        <v>3167266</v>
      </c>
      <c r="S55" t="s">
        <v>3792</v>
      </c>
      <c r="T55" t="s">
        <v>3708</v>
      </c>
      <c r="U55" t="s">
        <v>3551</v>
      </c>
      <c r="V55" t="s">
        <v>3705</v>
      </c>
      <c r="W55" t="s">
        <v>3674</v>
      </c>
      <c r="X55" t="s">
        <v>3530</v>
      </c>
      <c r="Y55">
        <v>17715.997315135923</v>
      </c>
    </row>
    <row r="56" spans="1:25">
      <c r="A56" t="s">
        <v>3523</v>
      </c>
      <c r="B56" t="s">
        <v>3656</v>
      </c>
      <c r="C56" s="3465">
        <v>43307</v>
      </c>
      <c r="D56">
        <v>156.97</v>
      </c>
      <c r="E56">
        <v>3169381</v>
      </c>
      <c r="F56" t="s">
        <v>3657</v>
      </c>
      <c r="G56" t="s">
        <v>3569</v>
      </c>
      <c r="H56" t="s">
        <v>3527</v>
      </c>
      <c r="I56" t="s">
        <v>3528</v>
      </c>
      <c r="J56" t="s">
        <v>3529</v>
      </c>
      <c r="K56" t="s">
        <v>3530</v>
      </c>
      <c r="L56">
        <v>20190.998279926102</v>
      </c>
      <c r="N56" t="s">
        <v>3523</v>
      </c>
      <c r="O56" t="s">
        <v>3793</v>
      </c>
      <c r="P56" s="3465">
        <v>43185</v>
      </c>
      <c r="Q56">
        <v>179.59</v>
      </c>
      <c r="R56">
        <v>3176049</v>
      </c>
      <c r="S56" t="s">
        <v>3794</v>
      </c>
      <c r="T56" t="s">
        <v>3708</v>
      </c>
      <c r="U56" t="s">
        <v>3551</v>
      </c>
      <c r="V56" t="s">
        <v>3547</v>
      </c>
      <c r="W56" t="s">
        <v>3674</v>
      </c>
      <c r="X56" t="s">
        <v>3530</v>
      </c>
      <c r="Y56">
        <v>17684.999164764184</v>
      </c>
    </row>
    <row r="57" spans="1:25">
      <c r="A57" t="s">
        <v>3523</v>
      </c>
      <c r="B57" t="s">
        <v>3658</v>
      </c>
      <c r="C57" s="3465">
        <v>43340</v>
      </c>
      <c r="D57">
        <v>141.6</v>
      </c>
      <c r="E57">
        <v>2080387</v>
      </c>
      <c r="F57" t="s">
        <v>3659</v>
      </c>
      <c r="G57" t="s">
        <v>3559</v>
      </c>
      <c r="H57" t="s">
        <v>3544</v>
      </c>
      <c r="I57" t="s">
        <v>3534</v>
      </c>
      <c r="J57" t="s">
        <v>3529</v>
      </c>
      <c r="K57" t="s">
        <v>3530</v>
      </c>
      <c r="L57">
        <v>14691.998587570622</v>
      </c>
      <c r="N57" t="s">
        <v>3523</v>
      </c>
      <c r="O57" t="s">
        <v>3795</v>
      </c>
      <c r="P57" s="3465">
        <v>43185</v>
      </c>
      <c r="Q57">
        <v>178.87</v>
      </c>
      <c r="R57">
        <v>3168324</v>
      </c>
      <c r="S57" t="s">
        <v>3796</v>
      </c>
      <c r="T57" t="s">
        <v>3708</v>
      </c>
      <c r="U57" t="s">
        <v>3551</v>
      </c>
      <c r="V57" t="s">
        <v>3677</v>
      </c>
      <c r="W57" t="s">
        <v>3674</v>
      </c>
      <c r="X57" t="s">
        <v>3530</v>
      </c>
      <c r="Y57">
        <v>17712.998266897746</v>
      </c>
    </row>
    <row r="58" spans="1:25">
      <c r="A58" t="s">
        <v>3523</v>
      </c>
      <c r="B58" t="s">
        <v>3660</v>
      </c>
      <c r="C58" s="3465">
        <v>43216</v>
      </c>
      <c r="D58">
        <v>135.25</v>
      </c>
      <c r="E58">
        <v>2112605</v>
      </c>
      <c r="F58" t="s">
        <v>3661</v>
      </c>
      <c r="G58" t="s">
        <v>3543</v>
      </c>
      <c r="H58" t="s">
        <v>3544</v>
      </c>
      <c r="I58" t="s">
        <v>3528</v>
      </c>
      <c r="J58" t="s">
        <v>3529</v>
      </c>
      <c r="K58" t="s">
        <v>3530</v>
      </c>
      <c r="L58">
        <v>15620</v>
      </c>
      <c r="N58" t="s">
        <v>3523</v>
      </c>
      <c r="O58" t="s">
        <v>3797</v>
      </c>
      <c r="P58" s="3465">
        <v>43185</v>
      </c>
      <c r="Q58">
        <v>178.6</v>
      </c>
      <c r="R58">
        <v>3468948</v>
      </c>
      <c r="S58" t="s">
        <v>3798</v>
      </c>
      <c r="T58" t="s">
        <v>3680</v>
      </c>
      <c r="U58" t="s">
        <v>3551</v>
      </c>
      <c r="V58" t="s">
        <v>3677</v>
      </c>
      <c r="W58" t="s">
        <v>3674</v>
      </c>
      <c r="X58" t="s">
        <v>3530</v>
      </c>
      <c r="Y58">
        <v>19423.00111982083</v>
      </c>
    </row>
    <row r="59" spans="1:25">
      <c r="A59" t="s">
        <v>3523</v>
      </c>
      <c r="B59" t="s">
        <v>3662</v>
      </c>
      <c r="C59" s="3465">
        <v>43216</v>
      </c>
      <c r="D59">
        <v>168.89</v>
      </c>
      <c r="E59">
        <v>2346220</v>
      </c>
      <c r="F59" t="s">
        <v>3663</v>
      </c>
      <c r="G59" t="s">
        <v>3572</v>
      </c>
      <c r="H59" t="s">
        <v>3527</v>
      </c>
      <c r="I59" t="s">
        <v>3534</v>
      </c>
      <c r="J59" t="s">
        <v>3529</v>
      </c>
      <c r="K59" t="s">
        <v>3530</v>
      </c>
      <c r="L59">
        <v>13892.000710521643</v>
      </c>
      <c r="N59" t="s">
        <v>3523</v>
      </c>
      <c r="O59" t="s">
        <v>3799</v>
      </c>
      <c r="P59" s="3465">
        <v>43185</v>
      </c>
      <c r="Q59">
        <v>178.51</v>
      </c>
      <c r="R59">
        <v>3253523</v>
      </c>
      <c r="S59" t="s">
        <v>3800</v>
      </c>
      <c r="T59" t="s">
        <v>3691</v>
      </c>
      <c r="U59" t="s">
        <v>3551</v>
      </c>
      <c r="V59" t="s">
        <v>3673</v>
      </c>
      <c r="W59" t="s">
        <v>3674</v>
      </c>
      <c r="X59" t="s">
        <v>3530</v>
      </c>
      <c r="Y59">
        <v>18225.998543498965</v>
      </c>
    </row>
    <row r="60" spans="1:25">
      <c r="A60" t="s">
        <v>3523</v>
      </c>
      <c r="B60" t="s">
        <v>3664</v>
      </c>
      <c r="C60" s="3465">
        <v>43276</v>
      </c>
      <c r="D60">
        <v>130.16</v>
      </c>
      <c r="E60">
        <v>2682674</v>
      </c>
      <c r="F60" t="s">
        <v>3665</v>
      </c>
      <c r="G60" t="s">
        <v>3533</v>
      </c>
      <c r="H60" t="s">
        <v>3527</v>
      </c>
      <c r="I60" t="s">
        <v>3547</v>
      </c>
      <c r="J60" t="s">
        <v>3529</v>
      </c>
      <c r="K60" t="s">
        <v>3530</v>
      </c>
      <c r="L60">
        <v>20610.586969883221</v>
      </c>
      <c r="N60" t="s">
        <v>3523</v>
      </c>
      <c r="O60" t="s">
        <v>3801</v>
      </c>
      <c r="P60" s="3465">
        <v>43243</v>
      </c>
      <c r="Q60">
        <v>234.61</v>
      </c>
      <c r="R60">
        <v>4222980</v>
      </c>
      <c r="S60" t="s">
        <v>3802</v>
      </c>
      <c r="T60" t="s">
        <v>3672</v>
      </c>
      <c r="U60" t="s">
        <v>3551</v>
      </c>
      <c r="V60" t="s">
        <v>3528</v>
      </c>
      <c r="W60" t="s">
        <v>3674</v>
      </c>
      <c r="X60" t="s">
        <v>3530</v>
      </c>
      <c r="Y60">
        <v>18000</v>
      </c>
    </row>
    <row r="61" spans="1:25">
      <c r="A61" t="s">
        <v>3523</v>
      </c>
      <c r="B61" t="s">
        <v>3666</v>
      </c>
      <c r="C61" s="3465">
        <v>43258</v>
      </c>
      <c r="D61">
        <v>168.89</v>
      </c>
      <c r="E61">
        <v>2531999</v>
      </c>
      <c r="F61" t="s">
        <v>3667</v>
      </c>
      <c r="G61" t="s">
        <v>3569</v>
      </c>
      <c r="H61" t="s">
        <v>3527</v>
      </c>
      <c r="I61" t="s">
        <v>3534</v>
      </c>
      <c r="J61" t="s">
        <v>3529</v>
      </c>
      <c r="K61" t="s">
        <v>3530</v>
      </c>
      <c r="L61">
        <v>14992.000710521643</v>
      </c>
      <c r="N61" t="s">
        <v>3523</v>
      </c>
      <c r="O61" t="s">
        <v>3803</v>
      </c>
      <c r="P61" s="3465">
        <v>43251</v>
      </c>
      <c r="Q61">
        <v>235.52</v>
      </c>
      <c r="R61">
        <v>4546471</v>
      </c>
      <c r="S61" t="s">
        <v>3804</v>
      </c>
      <c r="T61" t="s">
        <v>3737</v>
      </c>
      <c r="U61" t="s">
        <v>3551</v>
      </c>
      <c r="V61" t="s">
        <v>3705</v>
      </c>
      <c r="W61" t="s">
        <v>3674</v>
      </c>
      <c r="X61" t="s">
        <v>3530</v>
      </c>
      <c r="Y61">
        <v>19303.969938858696</v>
      </c>
    </row>
    <row r="62" spans="1:25">
      <c r="A62" t="s">
        <v>3523</v>
      </c>
      <c r="B62" t="s">
        <v>3668</v>
      </c>
      <c r="C62" s="3465">
        <v>43220</v>
      </c>
      <c r="D62">
        <v>168.89</v>
      </c>
      <c r="E62">
        <v>2481332</v>
      </c>
      <c r="F62" t="s">
        <v>3669</v>
      </c>
      <c r="G62" t="s">
        <v>3615</v>
      </c>
      <c r="H62" t="s">
        <v>3544</v>
      </c>
      <c r="I62" t="s">
        <v>3540</v>
      </c>
      <c r="J62" t="s">
        <v>3529</v>
      </c>
      <c r="K62" t="s">
        <v>3530</v>
      </c>
      <c r="L62">
        <v>14692.000710521643</v>
      </c>
      <c r="N62" t="s">
        <v>3523</v>
      </c>
      <c r="O62" t="s">
        <v>3805</v>
      </c>
      <c r="P62" s="3465">
        <v>43249</v>
      </c>
      <c r="Q62">
        <v>235.52</v>
      </c>
      <c r="R62">
        <v>4946855</v>
      </c>
      <c r="S62" t="s">
        <v>3806</v>
      </c>
      <c r="T62" t="s">
        <v>3740</v>
      </c>
      <c r="U62" t="s">
        <v>3551</v>
      </c>
      <c r="V62" t="s">
        <v>3705</v>
      </c>
      <c r="W62" t="s">
        <v>3674</v>
      </c>
      <c r="X62" t="s">
        <v>3530</v>
      </c>
      <c r="Y62">
        <v>21003.969938858696</v>
      </c>
    </row>
    <row r="63" spans="1:25">
      <c r="N63" t="s">
        <v>3523</v>
      </c>
      <c r="O63" t="s">
        <v>3807</v>
      </c>
      <c r="P63" s="3465">
        <v>43189</v>
      </c>
      <c r="Q63">
        <v>304.58</v>
      </c>
      <c r="R63">
        <v>6341965</v>
      </c>
      <c r="S63" t="s">
        <v>3808</v>
      </c>
      <c r="T63" t="s">
        <v>3708</v>
      </c>
      <c r="U63" t="s">
        <v>3551</v>
      </c>
      <c r="V63" t="s">
        <v>3528</v>
      </c>
      <c r="W63" t="s">
        <v>3674</v>
      </c>
      <c r="X63" t="s">
        <v>3530</v>
      </c>
      <c r="Y63">
        <v>20822.000787970323</v>
      </c>
    </row>
    <row r="64" spans="1:25">
      <c r="A64" s="3466"/>
      <c r="B64" s="3466"/>
      <c r="C64" s="3467"/>
      <c r="D64" s="3466">
        <f>SUM(D2:D63)</f>
        <v>9271.5299999999988</v>
      </c>
      <c r="E64" s="3466">
        <f>SUM(E2:E63)</f>
        <v>148697961</v>
      </c>
      <c r="F64" s="3466"/>
      <c r="G64" s="3466"/>
      <c r="H64" s="3466"/>
      <c r="I64" s="3466"/>
      <c r="J64" s="3466"/>
      <c r="K64" s="3466"/>
      <c r="L64" s="3468">
        <f>ROUND(E64/D64,0)</f>
        <v>16038</v>
      </c>
      <c r="N64" t="s">
        <v>3523</v>
      </c>
      <c r="O64" t="s">
        <v>3809</v>
      </c>
      <c r="P64" s="3465">
        <v>43218</v>
      </c>
      <c r="Q64">
        <v>304.56</v>
      </c>
      <c r="R64">
        <v>6859300</v>
      </c>
      <c r="S64" t="s">
        <v>3810</v>
      </c>
      <c r="T64" t="s">
        <v>3711</v>
      </c>
      <c r="U64" t="s">
        <v>3551</v>
      </c>
      <c r="V64" t="s">
        <v>3528</v>
      </c>
      <c r="W64" t="s">
        <v>3674</v>
      </c>
      <c r="X64" t="s">
        <v>3530</v>
      </c>
      <c r="Y64">
        <v>22521.998949303914</v>
      </c>
    </row>
    <row r="65" spans="14:25">
      <c r="N65" t="s">
        <v>3523</v>
      </c>
      <c r="O65" t="s">
        <v>3811</v>
      </c>
      <c r="P65" s="3465">
        <v>43218</v>
      </c>
      <c r="Q65">
        <v>304.56</v>
      </c>
      <c r="R65">
        <v>6493828</v>
      </c>
      <c r="S65" t="s">
        <v>3810</v>
      </c>
      <c r="T65" t="s">
        <v>3714</v>
      </c>
      <c r="U65" t="s">
        <v>3551</v>
      </c>
      <c r="V65" t="s">
        <v>3528</v>
      </c>
      <c r="W65" t="s">
        <v>3674</v>
      </c>
      <c r="X65" t="s">
        <v>3530</v>
      </c>
      <c r="Y65">
        <v>21321.998949303914</v>
      </c>
    </row>
    <row r="67" spans="14:25">
      <c r="N67" s="3466"/>
      <c r="O67" s="3466"/>
      <c r="P67" s="3467"/>
      <c r="Q67" s="3466">
        <f>SUM(Q2:Q66)</f>
        <v>13074.320000000012</v>
      </c>
      <c r="R67" s="3466">
        <f>SUM(R2:R66)</f>
        <v>248673107</v>
      </c>
      <c r="S67" s="3466"/>
      <c r="T67" s="3466"/>
      <c r="U67" s="3466"/>
      <c r="V67" s="3466"/>
      <c r="W67" s="3466"/>
      <c r="X67" s="3466"/>
      <c r="Y67" s="3468">
        <f>ROUND(R67/Q67,0)</f>
        <v>19020</v>
      </c>
    </row>
  </sheetData>
  <phoneticPr fontId="23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7" zoomScale="80" zoomScaleNormal="80" workbookViewId="0">
      <selection activeCell="F35" sqref="F35"/>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0" t="s">
        <v>1726</v>
      </c>
      <c r="B1" s="736"/>
      <c r="C1" s="771" t="s">
        <v>2994</v>
      </c>
      <c r="D1" s="3121" t="s">
        <v>3189</v>
      </c>
      <c r="E1" s="2383" t="s">
        <v>2374</v>
      </c>
      <c r="F1" s="2384">
        <f ca="1">J53</f>
        <v>38.47</v>
      </c>
      <c r="G1" s="772">
        <f>MATCH(C1,'数据-取费表'!A6:A16,0)+5</f>
        <v>8</v>
      </c>
      <c r="H1" s="2046"/>
      <c r="I1" s="2047"/>
      <c r="J1" s="2047"/>
      <c r="K1" s="2048"/>
      <c r="L1" s="2047"/>
      <c r="M1" s="2047"/>
      <c r="N1" s="2049"/>
      <c r="O1" s="2049"/>
      <c r="P1" s="2049"/>
      <c r="Q1" s="2388"/>
      <c r="R1" s="2049"/>
      <c r="S1" s="2049"/>
      <c r="T1" s="2049"/>
      <c r="U1" s="2049"/>
      <c r="V1" s="2049"/>
      <c r="W1" s="2049"/>
      <c r="X1" s="2049"/>
      <c r="Y1" s="2049"/>
      <c r="Z1" s="2049"/>
      <c r="AA1" s="2049"/>
      <c r="AB1" s="2049"/>
      <c r="AC1" s="2049"/>
      <c r="AD1" s="2049"/>
      <c r="AE1" s="2049"/>
      <c r="AF1" s="2049"/>
      <c r="AG1" s="2049"/>
    </row>
    <row r="2" spans="1:33" ht="18" customHeight="1">
      <c r="A2" s="421" t="s">
        <v>1727</v>
      </c>
      <c r="B2" s="773">
        <f ca="1">C40+J29+L46</f>
        <v>5810</v>
      </c>
      <c r="C2" s="2053"/>
      <c r="D2" s="2051"/>
      <c r="E2" s="2052"/>
      <c r="F2" s="2052"/>
      <c r="G2" s="1585"/>
      <c r="H2" s="2053"/>
      <c r="I2" s="2053"/>
      <c r="J2" s="2053"/>
      <c r="K2" s="2054"/>
      <c r="L2" s="2053"/>
      <c r="M2" s="2053"/>
    </row>
    <row r="3" spans="1:33" ht="18" customHeight="1" thickBot="1">
      <c r="A3" s="831" t="s">
        <v>1728</v>
      </c>
      <c r="B3" s="832">
        <f ca="1">IF(ISERROR(B2*10000/F43),0,ROUND(B2*10000/F43,0))</f>
        <v>15543</v>
      </c>
      <c r="C3" s="2053"/>
      <c r="D3" s="2051"/>
      <c r="E3" s="2052"/>
      <c r="F3" s="2052"/>
      <c r="G3" s="1585"/>
      <c r="H3" s="774" t="s">
        <v>695</v>
      </c>
      <c r="I3" s="1360"/>
      <c r="J3" s="1360"/>
      <c r="K3" s="1586"/>
      <c r="L3" s="1360"/>
      <c r="M3" s="1360"/>
    </row>
    <row r="4" spans="1:33" ht="18" customHeight="1">
      <c r="A4" s="775" t="s">
        <v>1729</v>
      </c>
      <c r="B4" s="776" t="s">
        <v>1730</v>
      </c>
      <c r="C4" s="776" t="s">
        <v>1731</v>
      </c>
      <c r="D4" s="776" t="s">
        <v>633</v>
      </c>
      <c r="E4" s="777" t="s">
        <v>1732</v>
      </c>
      <c r="F4" s="778"/>
      <c r="G4" s="1587"/>
      <c r="H4" s="775" t="s">
        <v>1733</v>
      </c>
      <c r="I4" s="776" t="s">
        <v>1734</v>
      </c>
      <c r="J4" s="776" t="s">
        <v>1735</v>
      </c>
      <c r="K4" s="776" t="s">
        <v>1736</v>
      </c>
      <c r="L4" s="777" t="s">
        <v>1737</v>
      </c>
      <c r="M4" s="778"/>
    </row>
    <row r="5" spans="1:33" ht="18" customHeight="1">
      <c r="A5" s="779">
        <v>1</v>
      </c>
      <c r="B5" s="780" t="s">
        <v>2458</v>
      </c>
      <c r="C5" s="55">
        <f ca="1">C6+C10+C12</f>
        <v>307</v>
      </c>
      <c r="D5" s="2492" t="s">
        <v>2461</v>
      </c>
      <c r="E5" s="2486"/>
      <c r="F5" s="2487"/>
      <c r="G5" s="1587"/>
      <c r="H5" s="779">
        <v>1</v>
      </c>
      <c r="I5" s="780" t="s">
        <v>2458</v>
      </c>
      <c r="J5" s="55">
        <f ca="1">J6+J10+J12</f>
        <v>0</v>
      </c>
      <c r="K5" s="2492" t="s">
        <v>2461</v>
      </c>
      <c r="L5" s="2486"/>
      <c r="M5" s="2487"/>
    </row>
    <row r="6" spans="1:33" ht="18" customHeight="1">
      <c r="A6" s="1826" t="s">
        <v>1825</v>
      </c>
      <c r="B6" s="3740" t="s">
        <v>2463</v>
      </c>
      <c r="C6" s="781">
        <f ca="1">ROUND(F6*F8*F7*(1-F9)/10000,0)</f>
        <v>307</v>
      </c>
      <c r="D6" s="2493" t="s">
        <v>2462</v>
      </c>
      <c r="E6" s="782" t="s">
        <v>1739</v>
      </c>
      <c r="F6" s="783">
        <f ca="1">INDIRECT("'数据-取费表'!u"&amp;$G$1)</f>
        <v>2.5</v>
      </c>
      <c r="G6" s="1587"/>
      <c r="H6" s="2500" t="s">
        <v>2468</v>
      </c>
      <c r="I6" s="3740" t="s">
        <v>2463</v>
      </c>
      <c r="J6" s="781">
        <f ca="1">ROUND(M6*M8*M7*(1-M9)/10000,0)</f>
        <v>0</v>
      </c>
      <c r="K6" s="339" t="s">
        <v>1738</v>
      </c>
      <c r="L6" s="782" t="s">
        <v>1739</v>
      </c>
      <c r="M6" s="783">
        <f ca="1">INDIRECT("'数据-取费表'!z"&amp;$G$1)</f>
        <v>0</v>
      </c>
    </row>
    <row r="7" spans="1:33" ht="18" customHeight="1">
      <c r="A7" s="2496"/>
      <c r="B7" s="3741"/>
      <c r="C7" s="786"/>
      <c r="D7" s="787"/>
      <c r="E7" s="782" t="s">
        <v>1740</v>
      </c>
      <c r="F7" s="783">
        <f ca="1">IF(INDIRECT("'数据-取费表'!ah"&amp;$G$1)="",INDIRECT("'数据-取费表'!k"&amp;$G$1),INDIRECT("'数据-取费表'!ah"&amp;$G$1))</f>
        <v>3738</v>
      </c>
      <c r="G7" s="1587"/>
      <c r="H7" s="2485"/>
      <c r="I7" s="3741"/>
      <c r="J7" s="786"/>
      <c r="K7" s="787"/>
      <c r="L7" s="782" t="s">
        <v>1740</v>
      </c>
      <c r="M7" s="783">
        <f ca="1">F7</f>
        <v>3738</v>
      </c>
    </row>
    <row r="8" spans="1:33" ht="18" customHeight="1">
      <c r="A8" s="2489"/>
      <c r="B8" s="3742"/>
      <c r="C8" s="786"/>
      <c r="D8" s="787"/>
      <c r="E8" s="782" t="s">
        <v>1741</v>
      </c>
      <c r="F8" s="783">
        <f ca="1">INDIRECT("'数据-取费表'!ai"&amp;$G$1)</f>
        <v>365</v>
      </c>
      <c r="G8" s="1587"/>
      <c r="H8" s="2485"/>
      <c r="I8" s="3742"/>
      <c r="J8" s="786"/>
      <c r="K8" s="787"/>
      <c r="L8" s="782" t="s">
        <v>1741</v>
      </c>
      <c r="M8" s="783">
        <f ca="1">INDIRECT("'数据-取费表'!ai"&amp;$G$1)</f>
        <v>365</v>
      </c>
    </row>
    <row r="9" spans="1:33" ht="18" customHeight="1">
      <c r="A9" s="784"/>
      <c r="B9" s="3743"/>
      <c r="C9" s="786"/>
      <c r="D9" s="787"/>
      <c r="E9" s="782" t="s">
        <v>1742</v>
      </c>
      <c r="F9" s="792">
        <f ca="1">INDIRECT("'数据-取费表'!w"&amp;$G$1)</f>
        <v>0.1</v>
      </c>
      <c r="G9" s="1587"/>
      <c r="H9" s="2501"/>
      <c r="I9" s="3742"/>
      <c r="J9" s="786"/>
      <c r="K9" s="787"/>
      <c r="L9" s="793" t="s">
        <v>1742</v>
      </c>
      <c r="M9" s="794">
        <f ca="1">INDIRECT("'数据-取费表'!ab"&amp;$G$1)</f>
        <v>0</v>
      </c>
    </row>
    <row r="10" spans="1:33" ht="18" customHeight="1">
      <c r="A10" s="1826" t="s">
        <v>2466</v>
      </c>
      <c r="B10" s="2490" t="s">
        <v>2459</v>
      </c>
      <c r="C10" s="797">
        <f ca="1">ROUND(IF(F10="押一",C6/12*F11,IF(F10="押二",C6/12*2*F11,IF(F10="押三",C6/12*3*F11,C11*F11))),0)</f>
        <v>0</v>
      </c>
      <c r="D10" s="2497" t="s">
        <v>2975</v>
      </c>
      <c r="E10" s="2494" t="s">
        <v>2464</v>
      </c>
      <c r="F10" s="2617"/>
      <c r="G10" s="1587"/>
      <c r="H10" s="2557" t="s">
        <v>2469</v>
      </c>
      <c r="I10" s="2562" t="s">
        <v>2459</v>
      </c>
      <c r="J10" s="781">
        <f ca="1">ROUND(IF(M10="押一",J6/12*M11,IF(M10="押二",J6/12*2*M11,IF(M10="押三",J6/12*3*M11,J11*M11))),0)</f>
        <v>0</v>
      </c>
      <c r="K10" s="2497" t="s">
        <v>2975</v>
      </c>
      <c r="L10" s="2494" t="s">
        <v>2464</v>
      </c>
      <c r="M10" s="2617"/>
    </row>
    <row r="11" spans="1:33" ht="18" customHeight="1">
      <c r="A11" s="788"/>
      <c r="B11" s="2491" t="s">
        <v>2573</v>
      </c>
      <c r="C11" s="2495"/>
      <c r="D11" s="787"/>
      <c r="E11" s="2494" t="s">
        <v>2465</v>
      </c>
      <c r="F11" s="794">
        <f ca="1">'数据-取费表'!B39</f>
        <v>1.4999999999999999E-2</v>
      </c>
      <c r="G11" s="1587"/>
      <c r="H11" s="2558"/>
      <c r="I11" s="2491" t="s">
        <v>2573</v>
      </c>
      <c r="J11" s="2495"/>
      <c r="K11" s="2559"/>
      <c r="L11" s="2494" t="s">
        <v>2465</v>
      </c>
      <c r="M11" s="2488">
        <f ca="1">'数据-取费表'!B39</f>
        <v>1.4999999999999999E-2</v>
      </c>
    </row>
    <row r="12" spans="1:33" ht="18" customHeight="1" thickBot="1">
      <c r="A12" s="2533" t="s">
        <v>2467</v>
      </c>
      <c r="B12" s="2534" t="s">
        <v>2460</v>
      </c>
      <c r="C12" s="2535"/>
      <c r="D12" s="2536"/>
      <c r="E12" s="2537"/>
      <c r="F12" s="2538"/>
      <c r="G12" s="1587"/>
      <c r="H12" s="2547" t="s">
        <v>2470</v>
      </c>
      <c r="I12" s="2560" t="s">
        <v>2460</v>
      </c>
      <c r="J12" s="2561"/>
      <c r="K12" s="2536"/>
      <c r="L12" s="2537"/>
      <c r="M12" s="2550"/>
    </row>
    <row r="13" spans="1:33" ht="18" customHeight="1" thickTop="1">
      <c r="A13" s="1825">
        <v>2</v>
      </c>
      <c r="B13" s="1823" t="s">
        <v>1743</v>
      </c>
      <c r="C13" s="790">
        <f ca="1">ROUND(C29*F13,0)</f>
        <v>1554</v>
      </c>
      <c r="D13" s="1830" t="s">
        <v>2297</v>
      </c>
      <c r="E13" s="1830" t="s">
        <v>1745</v>
      </c>
      <c r="F13" s="2532">
        <f ca="1">INDIRECT("'数据-取费表'!y"&amp;$G$1)</f>
        <v>1</v>
      </c>
      <c r="G13" s="1587"/>
      <c r="H13" s="1825">
        <v>2</v>
      </c>
      <c r="I13" s="1823" t="s">
        <v>1743</v>
      </c>
      <c r="J13" s="1815">
        <f ca="1">ROUND(J14*J15,0)</f>
        <v>0</v>
      </c>
      <c r="K13" s="1817" t="s">
        <v>1744</v>
      </c>
      <c r="L13" s="2548"/>
      <c r="M13" s="2549"/>
    </row>
    <row r="14" spans="1:33" ht="18" customHeight="1">
      <c r="A14" s="1643" t="s">
        <v>1885</v>
      </c>
      <c r="B14" s="782" t="s">
        <v>645</v>
      </c>
      <c r="C14" s="802">
        <f ca="1">INDIRECT("'数据-取费表'!m"&amp;$G$1)+INDIRECT("'数据-取费表'!t"&amp;$G$1)</f>
        <v>1075</v>
      </c>
      <c r="D14" s="1975" t="s">
        <v>1746</v>
      </c>
      <c r="E14" s="1976"/>
      <c r="F14" s="803"/>
      <c r="G14" s="1587"/>
      <c r="H14" s="1644" t="s">
        <v>1831</v>
      </c>
      <c r="I14" s="2227" t="s">
        <v>2825</v>
      </c>
      <c r="J14" s="53">
        <f ca="1">C29</f>
        <v>1554</v>
      </c>
      <c r="K14" s="26"/>
      <c r="L14" s="799"/>
      <c r="M14" s="800"/>
    </row>
    <row r="15" spans="1:33" s="2060" customFormat="1" ht="18" customHeight="1" thickBot="1">
      <c r="A15" s="1643" t="s">
        <v>1886</v>
      </c>
      <c r="B15" s="782" t="s">
        <v>647</v>
      </c>
      <c r="C15" s="53">
        <f ca="1">ROUND(C14*F15,0)</f>
        <v>32</v>
      </c>
      <c r="D15" s="804" t="s">
        <v>1747</v>
      </c>
      <c r="E15" s="804" t="s">
        <v>1748</v>
      </c>
      <c r="F15" s="805">
        <f>'数据-取费表'!B33</f>
        <v>0.03</v>
      </c>
      <c r="G15" s="1588"/>
      <c r="H15" s="2547" t="s">
        <v>1890</v>
      </c>
      <c r="I15" s="2542" t="s">
        <v>1745</v>
      </c>
      <c r="J15" s="2551">
        <f ca="1">INDIRECT("'数据-取费表'!ad"&amp;$G$1)</f>
        <v>0</v>
      </c>
      <c r="K15" s="2552"/>
      <c r="L15" s="2553"/>
      <c r="M15" s="2554"/>
      <c r="N15" s="2059"/>
      <c r="O15" s="2059"/>
      <c r="P15" s="2059"/>
      <c r="Q15" s="2389"/>
      <c r="R15" s="2059"/>
      <c r="S15" s="2059"/>
      <c r="T15" s="2059"/>
      <c r="U15" s="2059"/>
      <c r="V15" s="2059"/>
      <c r="W15" s="2059"/>
      <c r="X15" s="2059"/>
      <c r="Y15" s="2059"/>
      <c r="Z15" s="2059"/>
      <c r="AA15" s="2059"/>
      <c r="AB15" s="2059"/>
      <c r="AC15" s="2059"/>
      <c r="AD15" s="2059"/>
      <c r="AE15" s="2059"/>
      <c r="AF15" s="2059"/>
      <c r="AG15" s="2059"/>
    </row>
    <row r="16" spans="1:33" ht="18" customHeight="1" thickTop="1">
      <c r="A16" s="1643" t="s">
        <v>1887</v>
      </c>
      <c r="B16" s="782" t="s">
        <v>650</v>
      </c>
      <c r="C16" s="53">
        <f ca="1">ROUND(INDIRECT("'数据-取费表'!m"&amp;$G$1)*F16,0)</f>
        <v>0</v>
      </c>
      <c r="D16" s="782" t="s">
        <v>1747</v>
      </c>
      <c r="E16" s="782" t="s">
        <v>1748</v>
      </c>
      <c r="F16" s="807">
        <f ca="1">IF(INDIRECT("'数据-取费表'!c"&amp;$G$1)="住宅",'数据-取费表'!B34,0)</f>
        <v>0</v>
      </c>
      <c r="G16" s="1587"/>
      <c r="H16" s="1825" t="s">
        <v>1749</v>
      </c>
      <c r="I16" s="1823" t="s">
        <v>1750</v>
      </c>
      <c r="J16" s="790">
        <f ca="1">ROUND(J17+J22+J23+J24,0)</f>
        <v>156</v>
      </c>
      <c r="K16" s="1817" t="s">
        <v>1751</v>
      </c>
      <c r="L16" s="2482"/>
      <c r="M16" s="2487"/>
    </row>
    <row r="17" spans="1:33" s="2060" customFormat="1" ht="18" customHeight="1">
      <c r="A17" s="1643" t="s">
        <v>1888</v>
      </c>
      <c r="B17" s="782" t="s">
        <v>653</v>
      </c>
      <c r="C17" s="53">
        <f ca="1">ROUND(F17*(F43+INDIRECT("'数据-取费表'!S"&amp;$G$1))/10000,0)</f>
        <v>85</v>
      </c>
      <c r="D17" s="782" t="s">
        <v>1752</v>
      </c>
      <c r="E17" s="782" t="s">
        <v>1753</v>
      </c>
      <c r="F17" s="56">
        <f>'数据-取费表'!B35</f>
        <v>200</v>
      </c>
      <c r="G17" s="1588"/>
      <c r="H17" s="1644" t="s">
        <v>1831</v>
      </c>
      <c r="I17" s="782" t="s">
        <v>656</v>
      </c>
      <c r="J17" s="53">
        <f ca="1">ROUND(IF(项目基本情况!B11="自然人",J5*M17,J18+J19+J20),0)</f>
        <v>133</v>
      </c>
      <c r="K17" s="2481" t="s">
        <v>1754</v>
      </c>
      <c r="L17" s="2480" t="s">
        <v>1755</v>
      </c>
      <c r="M17" s="808" t="str">
        <f ca="1">IF(项目基本情况!B11="企业","",IF(INDIRECT("'数据-取费表'!c"&amp;$G$1)="住宅",5%,IF(M6*M7*M8/12/(1+'数据-取费表'!C42)&gt;20000,12%,7%)))</f>
        <v/>
      </c>
      <c r="N17" s="2059"/>
      <c r="O17" s="2059"/>
      <c r="P17" s="2059"/>
      <c r="Q17" s="2389"/>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3" t="s">
        <v>1889</v>
      </c>
      <c r="B18" s="782" t="s">
        <v>659</v>
      </c>
      <c r="C18" s="53">
        <f ca="1">ROUND(C14*F18,0)</f>
        <v>16</v>
      </c>
      <c r="D18" s="782" t="s">
        <v>1747</v>
      </c>
      <c r="E18" s="782" t="s">
        <v>1748</v>
      </c>
      <c r="F18" s="807">
        <f>'数据-取费表'!B36</f>
        <v>1.4999999999999999E-2</v>
      </c>
      <c r="G18" s="1588"/>
      <c r="H18" s="1643" t="s">
        <v>1885</v>
      </c>
      <c r="I18" s="782" t="s">
        <v>1756</v>
      </c>
      <c r="J18" s="53">
        <f ca="1">ROUND(J5*M18/1.05,1)</f>
        <v>0</v>
      </c>
      <c r="K18" s="2480" t="s">
        <v>1757</v>
      </c>
      <c r="L18" s="782" t="s">
        <v>1748</v>
      </c>
      <c r="M18" s="807">
        <f>'数据-取费表'!B41</f>
        <v>5.6000000000000001E-2</v>
      </c>
      <c r="N18" s="2059"/>
      <c r="O18" s="2059"/>
      <c r="P18" s="2059"/>
      <c r="Q18" s="2389"/>
      <c r="R18" s="2059"/>
      <c r="S18" s="2059"/>
      <c r="T18" s="2059"/>
      <c r="U18" s="2059"/>
      <c r="V18" s="2059"/>
      <c r="W18" s="2059"/>
      <c r="X18" s="2059"/>
      <c r="Y18" s="2059"/>
      <c r="Z18" s="2059"/>
      <c r="AA18" s="2059"/>
      <c r="AB18" s="2059"/>
      <c r="AC18" s="2059"/>
      <c r="AD18" s="2059"/>
      <c r="AE18" s="2059"/>
      <c r="AF18" s="2059"/>
      <c r="AG18" s="2059"/>
    </row>
    <row r="19" spans="1:33" ht="18" customHeight="1">
      <c r="A19" s="1644" t="s">
        <v>1831</v>
      </c>
      <c r="B19" s="782" t="s">
        <v>662</v>
      </c>
      <c r="C19" s="53">
        <f ca="1">SUM(C14:C18)</f>
        <v>1208</v>
      </c>
      <c r="D19" s="259" t="s">
        <v>1758</v>
      </c>
      <c r="E19" s="1978"/>
      <c r="F19" s="56"/>
      <c r="G19" s="1587"/>
      <c r="H19" s="1643" t="s">
        <v>1886</v>
      </c>
      <c r="I19" s="782" t="s">
        <v>1759</v>
      </c>
      <c r="J19" s="53">
        <f ca="1">IF(K19="按租金收入计税",ROUND(J5*M19,1),ROUND(C29*F33*0.7,1))</f>
        <v>130.5</v>
      </c>
      <c r="K19" s="809" t="s">
        <v>665</v>
      </c>
      <c r="L19" s="782" t="s">
        <v>1748</v>
      </c>
      <c r="M19" s="807">
        <f>IF(K19="按租金收入计税",'数据-取费表'!B51,'数据-取费表'!B50)</f>
        <v>1.2E-2</v>
      </c>
    </row>
    <row r="20" spans="1:33" s="2060" customFormat="1" ht="18" customHeight="1">
      <c r="A20" s="1644" t="s">
        <v>1890</v>
      </c>
      <c r="B20" s="782" t="s">
        <v>666</v>
      </c>
      <c r="C20" s="53">
        <f ca="1">ROUND(C19*F20,0)</f>
        <v>18</v>
      </c>
      <c r="D20" s="810" t="s">
        <v>1760</v>
      </c>
      <c r="E20" s="782" t="s">
        <v>1748</v>
      </c>
      <c r="F20" s="807">
        <f>'数据-取费表'!B37</f>
        <v>1.4999999999999999E-2</v>
      </c>
      <c r="G20" s="1588"/>
      <c r="H20" s="1646" t="s">
        <v>1881</v>
      </c>
      <c r="I20" s="339" t="s">
        <v>1761</v>
      </c>
      <c r="J20" s="54">
        <f ca="1">ROUND(M20*M21/10000,0)</f>
        <v>2</v>
      </c>
      <c r="K20" s="812" t="s">
        <v>1762</v>
      </c>
      <c r="L20" s="782" t="s">
        <v>1763</v>
      </c>
      <c r="M20" s="638">
        <f>'数据-取费表'!B52</f>
        <v>7</v>
      </c>
      <c r="N20" s="2059"/>
      <c r="O20" s="2059"/>
      <c r="P20" s="2059"/>
      <c r="Q20" s="2389"/>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4" t="s">
        <v>1891</v>
      </c>
      <c r="B21" s="782" t="s">
        <v>1764</v>
      </c>
      <c r="C21" s="53" t="s">
        <v>1765</v>
      </c>
      <c r="D21" s="810" t="s">
        <v>2298</v>
      </c>
      <c r="E21" s="782" t="s">
        <v>1766</v>
      </c>
      <c r="F21" s="807">
        <f>'数据-取费表'!B38</f>
        <v>0.01</v>
      </c>
      <c r="G21" s="1588"/>
      <c r="H21" s="2502"/>
      <c r="I21" s="791"/>
      <c r="J21" s="69"/>
      <c r="K21" s="814"/>
      <c r="L21" s="782" t="s">
        <v>1767</v>
      </c>
      <c r="M21" s="783">
        <f ca="1">INDIRECT("'数据-取费表'!r"&amp;$G$1)</f>
        <v>3428.8799999999997</v>
      </c>
      <c r="N21" s="2059"/>
      <c r="O21" s="2059"/>
      <c r="P21" s="2059"/>
      <c r="Q21" s="2389"/>
      <c r="R21" s="2059"/>
      <c r="S21" s="2059"/>
      <c r="T21" s="2059"/>
      <c r="U21" s="2059"/>
      <c r="V21" s="2059"/>
      <c r="W21" s="2059"/>
      <c r="X21" s="2059"/>
      <c r="Y21" s="2059"/>
      <c r="Z21" s="2059"/>
      <c r="AA21" s="2059"/>
      <c r="AB21" s="2059"/>
      <c r="AC21" s="2059"/>
      <c r="AD21" s="2059"/>
      <c r="AE21" s="2059"/>
      <c r="AF21" s="2059"/>
      <c r="AG21" s="2059"/>
    </row>
    <row r="22" spans="1:33" ht="18" customHeight="1">
      <c r="A22" s="1644" t="s">
        <v>1892</v>
      </c>
      <c r="B22" s="782" t="s">
        <v>1768</v>
      </c>
      <c r="C22" s="53"/>
      <c r="D22" s="2568" t="str">
        <f>IF(F23&lt;=1,"单利计息。","复利计息。")&amp;"建造成本、管理费用、销售费用产生的利息。"</f>
        <v>复利计息。建造成本、管理费用、销售费用产生的利息。</v>
      </c>
      <c r="E22" s="1978"/>
      <c r="F22" s="56"/>
      <c r="G22" s="1587"/>
      <c r="H22" s="1644" t="s">
        <v>1890</v>
      </c>
      <c r="I22" s="782" t="s">
        <v>1769</v>
      </c>
      <c r="J22" s="53">
        <f ca="1">ROUND(J14*M22,0)</f>
        <v>23</v>
      </c>
      <c r="K22" s="2480" t="s">
        <v>1770</v>
      </c>
      <c r="L22" s="782" t="s">
        <v>1748</v>
      </c>
      <c r="M22" s="815">
        <f ca="1">INDIRECT("'数据-取费表'!Ak"&amp;$G$1)</f>
        <v>1.4999999999999999E-2</v>
      </c>
    </row>
    <row r="23" spans="1:33" s="2060" customFormat="1" ht="18" customHeight="1">
      <c r="A23" s="1643" t="s">
        <v>1832</v>
      </c>
      <c r="B23" s="782" t="s">
        <v>2535</v>
      </c>
      <c r="C23" s="53">
        <f ca="1">ROUND(IF('数据-取费表'!B22&lt;=1,(C19+C20)*F24*F23/2,(C19+C20)*(POWER((1+F24),F23/2)-1)),0)</f>
        <v>43</v>
      </c>
      <c r="D23" s="2567" t="str">
        <f>IF(F23&lt;=1,"(建造成本+管理费用)×利率×(建设周期÷2)","(建造成本+管理费用)×((1+利率)^(建设周期÷2)-1)")</f>
        <v>(建造成本+管理费用)×((1+利率)^(建设周期÷2)-1)</v>
      </c>
      <c r="E23" s="782" t="s">
        <v>1771</v>
      </c>
      <c r="F23" s="638">
        <f>'数据-取费表'!B20</f>
        <v>1.5</v>
      </c>
      <c r="G23" s="1588"/>
      <c r="H23" s="1644" t="s">
        <v>1891</v>
      </c>
      <c r="I23" s="782" t="s">
        <v>679</v>
      </c>
      <c r="J23" s="53">
        <f ca="1">ROUND(J13*M23,0)</f>
        <v>0</v>
      </c>
      <c r="K23" s="2480" t="s">
        <v>1772</v>
      </c>
      <c r="L23" s="782" t="s">
        <v>1748</v>
      </c>
      <c r="M23" s="816">
        <f ca="1">INDIRECT("'数据-取费表'!Al"&amp;$G$1)</f>
        <v>1.5E-3</v>
      </c>
      <c r="N23" s="2059"/>
      <c r="O23" s="2059"/>
      <c r="P23" s="2059"/>
      <c r="Q23" s="2389"/>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3" t="s">
        <v>1833</v>
      </c>
      <c r="B24" s="782" t="s">
        <v>1773</v>
      </c>
      <c r="C24" s="53">
        <f ca="1">ROUND(IF('数据-取费表'!B22&lt;=1,F21*F24*F23/2,F21*(POWER((1+F24),F23/2)-1)),4)</f>
        <v>4.0000000000000002E-4</v>
      </c>
      <c r="D24" s="2567" t="str">
        <f>IF(F23&lt;=1,"销售费用×利率×(建设周期÷2)","销售费用×((1+利率)^(建设周期÷2)-1)")</f>
        <v>销售费用×((1+利率)^(建设周期÷2)-1)</v>
      </c>
      <c r="E24" s="782" t="s">
        <v>1774</v>
      </c>
      <c r="F24" s="817">
        <f ca="1">'数据-取费表'!B40</f>
        <v>4.7500000000000001E-2</v>
      </c>
      <c r="G24" s="1588"/>
      <c r="H24" s="2547" t="s">
        <v>1892</v>
      </c>
      <c r="I24" s="2542" t="s">
        <v>666</v>
      </c>
      <c r="J24" s="2540">
        <f ca="1">ROUND(J5*M24,0)</f>
        <v>0</v>
      </c>
      <c r="K24" s="2541" t="s">
        <v>1775</v>
      </c>
      <c r="L24" s="2542" t="s">
        <v>1748</v>
      </c>
      <c r="M24" s="2538">
        <f ca="1">INDIRECT("'数据-取费表'!Am"&amp;$G$1)</f>
        <v>0.01</v>
      </c>
      <c r="N24" s="2059"/>
      <c r="O24" s="2059"/>
      <c r="P24" s="2059"/>
      <c r="Q24" s="2389"/>
      <c r="R24" s="2059"/>
      <c r="S24" s="2059"/>
      <c r="T24" s="2059"/>
      <c r="U24" s="2059"/>
      <c r="V24" s="2059"/>
      <c r="W24" s="2059"/>
      <c r="X24" s="2059"/>
      <c r="Y24" s="2059"/>
      <c r="Z24" s="2059"/>
      <c r="AA24" s="2059"/>
      <c r="AB24" s="2059"/>
      <c r="AC24" s="2059"/>
      <c r="AD24" s="2059"/>
      <c r="AE24" s="2059"/>
      <c r="AF24" s="2059"/>
      <c r="AG24" s="2059"/>
    </row>
    <row r="25" spans="1:33" ht="18" customHeight="1" thickTop="1">
      <c r="A25" s="1645" t="s">
        <v>1841</v>
      </c>
      <c r="B25" s="782" t="s">
        <v>684</v>
      </c>
      <c r="C25" s="53"/>
      <c r="D25" s="259" t="s">
        <v>1776</v>
      </c>
      <c r="E25" s="1978"/>
      <c r="F25" s="56"/>
      <c r="G25" s="1587"/>
      <c r="H25" s="1825" t="s">
        <v>1777</v>
      </c>
      <c r="I25" s="3006" t="s">
        <v>2821</v>
      </c>
      <c r="J25" s="790">
        <f ca="1">J5-J16</f>
        <v>-156</v>
      </c>
      <c r="K25" s="2544" t="s">
        <v>1778</v>
      </c>
      <c r="L25" s="2545"/>
      <c r="M25" s="2546"/>
    </row>
    <row r="26" spans="1:33" ht="18" customHeight="1">
      <c r="A26" s="1643" t="s">
        <v>1832</v>
      </c>
      <c r="B26" s="782" t="s">
        <v>2438</v>
      </c>
      <c r="C26" s="53">
        <f ca="1">ROUND((C19+C20)*F26,0)</f>
        <v>184</v>
      </c>
      <c r="D26" s="810" t="s">
        <v>1779</v>
      </c>
      <c r="E26" s="793" t="s">
        <v>1780</v>
      </c>
      <c r="F26" s="792">
        <f ca="1">INDIRECT("'数据-取费表'!q"&amp;$G$1)</f>
        <v>0.15</v>
      </c>
      <c r="G26" s="1587"/>
      <c r="H26" s="2498" t="s">
        <v>1781</v>
      </c>
      <c r="I26" s="2228" t="s">
        <v>2826</v>
      </c>
      <c r="J26" s="781">
        <f ca="1">IF(J5&lt;&gt;0,ROUND(J25*(1-((1+M28)/(1+M26))^M27)/(M26-M28),0),0)</f>
        <v>0</v>
      </c>
      <c r="K26" s="812" t="s">
        <v>1782</v>
      </c>
      <c r="L26" s="782" t="s">
        <v>2419</v>
      </c>
      <c r="M26" s="792">
        <f ca="1">INDIRECT("'数据-取费表'!I"&amp;$G$1)</f>
        <v>5.5E-2</v>
      </c>
    </row>
    <row r="27" spans="1:33" ht="18" customHeight="1">
      <c r="A27" s="1643" t="s">
        <v>1833</v>
      </c>
      <c r="B27" s="782" t="s">
        <v>686</v>
      </c>
      <c r="C27" s="53">
        <f ca="1">ROUND(F21*F26,4)</f>
        <v>1.5E-3</v>
      </c>
      <c r="D27" s="810" t="s">
        <v>1783</v>
      </c>
      <c r="E27" s="804"/>
      <c r="F27" s="805"/>
      <c r="G27" s="1587"/>
      <c r="H27" s="2499"/>
      <c r="I27" s="785"/>
      <c r="J27" s="786"/>
      <c r="K27" s="819" t="s">
        <v>1784</v>
      </c>
      <c r="L27" s="782" t="s">
        <v>1785</v>
      </c>
      <c r="M27" s="820">
        <f ca="1">INDIRECT("'数据-取费表'!ag"&amp;$G$1)</f>
        <v>0</v>
      </c>
    </row>
    <row r="28" spans="1:33" s="2060" customFormat="1" ht="18" customHeight="1">
      <c r="A28" s="1645" t="s">
        <v>1842</v>
      </c>
      <c r="B28" s="782" t="s">
        <v>687</v>
      </c>
      <c r="C28" s="53">
        <f>ROUND(F28/(1+'数据-取费表'!C42),4)</f>
        <v>5.33E-2</v>
      </c>
      <c r="D28" s="810" t="s">
        <v>2299</v>
      </c>
      <c r="E28" s="782" t="s">
        <v>1786</v>
      </c>
      <c r="F28" s="807">
        <f>'数据-取费表'!B41</f>
        <v>5.6000000000000001E-2</v>
      </c>
      <c r="G28" s="1588"/>
      <c r="H28" s="1825"/>
      <c r="I28" s="789"/>
      <c r="J28" s="790"/>
      <c r="K28" s="814"/>
      <c r="L28" s="782" t="s">
        <v>1787</v>
      </c>
      <c r="M28" s="792">
        <f ca="1">INDIRECT("'数据-取费表'!aa"&amp;$G$1)</f>
        <v>0</v>
      </c>
      <c r="N28" s="2059"/>
      <c r="O28" s="2059"/>
      <c r="P28" s="2059"/>
      <c r="Q28" s="2389"/>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39" t="s">
        <v>1893</v>
      </c>
      <c r="B29" s="2537" t="s">
        <v>2300</v>
      </c>
      <c r="C29" s="2540">
        <f ca="1">ROUND((C19+C20+C23+C26)/(1-F21-C24-C27-C28),0)</f>
        <v>1554</v>
      </c>
      <c r="D29" s="2541"/>
      <c r="E29" s="2542"/>
      <c r="F29" s="2543"/>
      <c r="G29" s="1588"/>
      <c r="H29" s="821" t="s">
        <v>1788</v>
      </c>
      <c r="I29" s="822" t="s">
        <v>1789</v>
      </c>
      <c r="J29" s="823">
        <f ca="1">ROUND(J26/(1+F40)^F41,0)</f>
        <v>0</v>
      </c>
      <c r="K29" s="824" t="s">
        <v>1790</v>
      </c>
      <c r="L29" s="825"/>
      <c r="M29" s="826">
        <f ca="1">INDIRECT("'数据-取费表'!k"&amp;$G$1)</f>
        <v>3738</v>
      </c>
      <c r="N29" s="2059"/>
      <c r="O29" s="2059"/>
      <c r="P29" s="2059"/>
      <c r="Q29" s="2389"/>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1894</v>
      </c>
      <c r="B30" s="1823" t="s">
        <v>1791</v>
      </c>
      <c r="C30" s="790">
        <f ca="1">ROUND(C31+C36+C37+C38,0)</f>
        <v>84</v>
      </c>
      <c r="D30" s="1817" t="s">
        <v>1792</v>
      </c>
      <c r="E30" s="2482"/>
      <c r="F30" s="2487"/>
      <c r="G30" s="2058"/>
      <c r="H30" s="2061"/>
      <c r="I30" s="2062"/>
      <c r="J30" s="2063"/>
      <c r="K30" s="2064"/>
      <c r="L30" s="2065"/>
      <c r="M30" s="2066"/>
    </row>
    <row r="31" spans="1:33" ht="18" customHeight="1">
      <c r="A31" s="1644" t="s">
        <v>1831</v>
      </c>
      <c r="B31" s="782" t="s">
        <v>656</v>
      </c>
      <c r="C31" s="53">
        <f ca="1">ROUND(IF(项目基本情况!B11="自然人",C5*F31,C32+C33+C34),1)</f>
        <v>55.6</v>
      </c>
      <c r="D31" s="1975" t="s">
        <v>1793</v>
      </c>
      <c r="E31" s="1973" t="s">
        <v>1794</v>
      </c>
      <c r="F31" s="808" t="str">
        <f ca="1">IF(项目基本情况!B11="企业","",IF(INDIRECT("'数据-取费表'!c"&amp;$G$1)="住宅",5%,IF(F6*F7*F8/12/(1+'数据-取费表'!C42)&gt;20000,12%,7%)))</f>
        <v/>
      </c>
      <c r="G31" s="2058"/>
      <c r="H31" s="2061"/>
      <c r="I31" s="2062"/>
      <c r="J31" s="2063"/>
      <c r="K31" s="2064"/>
      <c r="L31" s="2065"/>
      <c r="M31" s="2066"/>
    </row>
    <row r="32" spans="1:33" ht="18" customHeight="1">
      <c r="A32" s="1643" t="s">
        <v>1832</v>
      </c>
      <c r="B32" s="782" t="s">
        <v>1795</v>
      </c>
      <c r="C32" s="53">
        <f ca="1">ROUND(C5*F32/1.05,1)</f>
        <v>16.399999999999999</v>
      </c>
      <c r="D32" s="1973" t="s">
        <v>1796</v>
      </c>
      <c r="E32" s="782" t="s">
        <v>1797</v>
      </c>
      <c r="F32" s="807">
        <f>'数据-取费表'!B41</f>
        <v>5.6000000000000001E-2</v>
      </c>
      <c r="G32" s="2058"/>
      <c r="H32" s="2067"/>
      <c r="I32" s="2068"/>
      <c r="J32" s="2069"/>
      <c r="K32" s="2070"/>
      <c r="L32" s="2071"/>
      <c r="M32" s="2072"/>
    </row>
    <row r="33" spans="1:18" ht="18" customHeight="1">
      <c r="A33" s="1643" t="s">
        <v>1833</v>
      </c>
      <c r="B33" s="782" t="s">
        <v>1798</v>
      </c>
      <c r="C33" s="53">
        <f ca="1">IF(D33="按租金收入计税",ROUND(C5*F33,1),IF(D33="按房产原值计税",ROUND(C29*F33*0.7,1),INDIRECT("'数据-取费表'!Aj"&amp;$G$1)))</f>
        <v>36.799999999999997</v>
      </c>
      <c r="D33" s="809" t="s">
        <v>3188</v>
      </c>
      <c r="E33" s="782" t="s">
        <v>1797</v>
      </c>
      <c r="F33" s="807">
        <f>IF(D33="按租金收入计税",'数据-取费表'!B51,'数据-取费表'!B50)</f>
        <v>0.12</v>
      </c>
      <c r="G33" s="2058"/>
      <c r="H33" s="2073"/>
      <c r="I33" s="2073"/>
      <c r="J33" s="2073"/>
      <c r="K33" s="2074"/>
      <c r="L33" s="2073"/>
      <c r="M33" s="2073"/>
    </row>
    <row r="34" spans="1:18" ht="18" customHeight="1">
      <c r="A34" s="1646" t="s">
        <v>1834</v>
      </c>
      <c r="B34" s="339" t="s">
        <v>1799</v>
      </c>
      <c r="C34" s="54">
        <f ca="1">ROUND(F34*F35/10000,1)</f>
        <v>2.4</v>
      </c>
      <c r="D34" s="812" t="s">
        <v>1800</v>
      </c>
      <c r="E34" s="782" t="s">
        <v>1801</v>
      </c>
      <c r="F34" s="638">
        <f>'数据-取费表'!B52</f>
        <v>7</v>
      </c>
      <c r="G34" s="2058"/>
      <c r="H34" s="2061"/>
      <c r="I34" s="833" t="s">
        <v>1814</v>
      </c>
      <c r="J34" s="834"/>
      <c r="K34" s="2076"/>
      <c r="L34" s="2075"/>
      <c r="M34" s="2075"/>
    </row>
    <row r="35" spans="1:18" ht="18" customHeight="1">
      <c r="A35" s="813"/>
      <c r="B35" s="791"/>
      <c r="C35" s="69"/>
      <c r="D35" s="814"/>
      <c r="E35" s="782" t="s">
        <v>1802</v>
      </c>
      <c r="F35" s="3477">
        <f ca="1">INDIRECT("'数据-取费表'!r"&amp;$G$1)</f>
        <v>3428.8799999999997</v>
      </c>
      <c r="G35" s="2058"/>
      <c r="H35" s="2061"/>
      <c r="I35" s="835" t="s">
        <v>1815</v>
      </c>
      <c r="J35" s="836">
        <f ca="1">ROUND(C13*J36,0)</f>
        <v>132</v>
      </c>
      <c r="K35" s="2074"/>
      <c r="L35" s="2073"/>
      <c r="M35" s="2073"/>
    </row>
    <row r="36" spans="1:18" ht="18" customHeight="1">
      <c r="A36" s="1644" t="s">
        <v>1890</v>
      </c>
      <c r="B36" s="782" t="s">
        <v>1803</v>
      </c>
      <c r="C36" s="53">
        <f ca="1">ROUND(C29*F36,1)</f>
        <v>23.3</v>
      </c>
      <c r="D36" s="1973" t="s">
        <v>1804</v>
      </c>
      <c r="E36" s="782" t="s">
        <v>1797</v>
      </c>
      <c r="F36" s="815">
        <f ca="1">INDIRECT("'数据-取费表'!Ak"&amp;$G$1)</f>
        <v>1.4999999999999999E-2</v>
      </c>
      <c r="G36" s="2058"/>
      <c r="H36" s="2073"/>
      <c r="I36" s="837" t="s">
        <v>1816</v>
      </c>
      <c r="J36" s="838">
        <f ca="1">INDIRECT("'数据-取费表'!j"&amp;$G$1)</f>
        <v>8.5000000000000006E-2</v>
      </c>
      <c r="K36" s="2078"/>
      <c r="L36" s="2073"/>
      <c r="M36" s="2073"/>
    </row>
    <row r="37" spans="1:18" ht="18" customHeight="1">
      <c r="A37" s="1644" t="s">
        <v>1891</v>
      </c>
      <c r="B37" s="782" t="s">
        <v>679</v>
      </c>
      <c r="C37" s="53">
        <f ca="1">ROUND(C13*F37,1)</f>
        <v>2.2999999999999998</v>
      </c>
      <c r="D37" s="1973" t="s">
        <v>1805</v>
      </c>
      <c r="E37" s="782" t="s">
        <v>1797</v>
      </c>
      <c r="F37" s="816">
        <f ca="1">INDIRECT("'数据-取费表'!Al"&amp;$G$1)</f>
        <v>1.5E-3</v>
      </c>
      <c r="G37" s="2058"/>
      <c r="H37" s="2073"/>
      <c r="I37" s="839" t="s">
        <v>1817</v>
      </c>
      <c r="J37" s="840"/>
      <c r="K37" s="2078"/>
      <c r="L37" s="2073"/>
      <c r="M37" s="2073"/>
    </row>
    <row r="38" spans="1:18" ht="18" customHeight="1" thickBot="1">
      <c r="A38" s="2547" t="s">
        <v>1892</v>
      </c>
      <c r="B38" s="2542" t="s">
        <v>666</v>
      </c>
      <c r="C38" s="2540">
        <f ca="1">ROUND(C5*F38,1)</f>
        <v>3.1</v>
      </c>
      <c r="D38" s="2541" t="s">
        <v>1806</v>
      </c>
      <c r="E38" s="2542" t="s">
        <v>1797</v>
      </c>
      <c r="F38" s="2538">
        <f ca="1">INDIRECT("'数据-取费表'!Am"&amp;$G$1)</f>
        <v>0.01</v>
      </c>
      <c r="G38" s="2058"/>
      <c r="H38" s="2073"/>
      <c r="I38" s="841" t="s">
        <v>1818</v>
      </c>
      <c r="J38" s="842"/>
      <c r="K38" s="2079"/>
      <c r="L38" s="2073"/>
      <c r="M38" s="2073"/>
    </row>
    <row r="39" spans="1:18" ht="24.6" customHeight="1" thickTop="1">
      <c r="A39" s="1825" t="s">
        <v>1895</v>
      </c>
      <c r="B39" s="3006" t="s">
        <v>2821</v>
      </c>
      <c r="C39" s="790">
        <f ca="1">C5-C30</f>
        <v>223</v>
      </c>
      <c r="D39" s="2544" t="s">
        <v>1807</v>
      </c>
      <c r="E39" s="2545"/>
      <c r="F39" s="2546"/>
      <c r="G39" s="2058"/>
      <c r="H39" s="2073"/>
      <c r="I39" s="835" t="s">
        <v>1819</v>
      </c>
      <c r="J39" s="843">
        <f ca="1">ROUND(J35/C39,3)</f>
        <v>0.59199999999999997</v>
      </c>
      <c r="K39" s="2079"/>
      <c r="L39" s="2073"/>
      <c r="M39" s="2073"/>
    </row>
    <row r="40" spans="1:18" ht="18" customHeight="1">
      <c r="A40" s="779" t="s">
        <v>1896</v>
      </c>
      <c r="B40" s="2228" t="s">
        <v>2301</v>
      </c>
      <c r="C40" s="781">
        <f ca="1">ROUND(C39*(1-((1+F42)/(1+F40))^F41)/(F40-F42),0)</f>
        <v>5810</v>
      </c>
      <c r="D40" s="812" t="s">
        <v>1808</v>
      </c>
      <c r="E40" s="782" t="s">
        <v>2419</v>
      </c>
      <c r="F40" s="792">
        <f ca="1">INDIRECT("'数据-取费表'!I"&amp;$G$1)</f>
        <v>5.5E-2</v>
      </c>
      <c r="G40" s="2058"/>
      <c r="H40" s="2058"/>
      <c r="I40" s="835" t="s">
        <v>1820</v>
      </c>
      <c r="J40" s="843">
        <f ca="1">1-J39</f>
        <v>0.40800000000000003</v>
      </c>
      <c r="K40" s="2079"/>
      <c r="L40" s="2058"/>
      <c r="M40" s="2058"/>
    </row>
    <row r="41" spans="1:18" ht="18" customHeight="1">
      <c r="A41" s="784"/>
      <c r="B41" s="785"/>
      <c r="C41" s="786"/>
      <c r="D41" s="819" t="s">
        <v>1809</v>
      </c>
      <c r="E41" s="782" t="s">
        <v>2965</v>
      </c>
      <c r="F41" s="820">
        <f ca="1">IF(INDIRECT("'数据-取费表'!af"&amp;$G$1)=0,INDIRECT("'数据-取费表'!ae"&amp;$G$1),INDIRECT("'数据-取费表'!af"&amp;$G$1))</f>
        <v>38.47</v>
      </c>
      <c r="G41" s="2058"/>
      <c r="H41" s="1984"/>
      <c r="I41" s="841" t="s">
        <v>1821</v>
      </c>
      <c r="J41" s="844"/>
      <c r="K41" s="2078"/>
      <c r="L41" s="1984"/>
      <c r="M41" s="1984"/>
    </row>
    <row r="42" spans="1:18" ht="18" customHeight="1">
      <c r="A42" s="788"/>
      <c r="B42" s="789"/>
      <c r="C42" s="790"/>
      <c r="D42" s="814"/>
      <c r="E42" s="782" t="s">
        <v>1810</v>
      </c>
      <c r="F42" s="792">
        <f ca="1">INDIRECT("'数据-取费表'!v"&amp;$G$1)</f>
        <v>3.5000000000000003E-2</v>
      </c>
      <c r="G42" s="2058"/>
      <c r="H42" s="1984"/>
      <c r="I42" s="845" t="s">
        <v>1822</v>
      </c>
      <c r="J42" s="843">
        <f ca="1">ROUND(C13/C40,3)</f>
        <v>0.26700000000000002</v>
      </c>
      <c r="K42" s="2078"/>
      <c r="L42" s="1984"/>
      <c r="M42" s="1984"/>
    </row>
    <row r="43" spans="1:18" ht="18" customHeight="1" thickBot="1">
      <c r="A43" s="821" t="s">
        <v>1788</v>
      </c>
      <c r="B43" s="822" t="s">
        <v>1811</v>
      </c>
      <c r="C43" s="823">
        <f ca="1">ROUND(C40*10000/F43,0)</f>
        <v>15543</v>
      </c>
      <c r="D43" s="824" t="s">
        <v>1812</v>
      </c>
      <c r="E43" s="825" t="s">
        <v>1813</v>
      </c>
      <c r="F43" s="826">
        <f ca="1">INDIRECT("'数据-取费表'!k"&amp;$G$1)</f>
        <v>3738</v>
      </c>
      <c r="G43" s="2058"/>
      <c r="H43" s="1984"/>
      <c r="I43" s="845" t="s">
        <v>1823</v>
      </c>
      <c r="J43" s="846">
        <f ca="1">1-J42</f>
        <v>0.73299999999999998</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2295</v>
      </c>
      <c r="B46" s="2081"/>
      <c r="C46" s="2570">
        <f ca="1">C67-C40</f>
        <v>-6254</v>
      </c>
      <c r="D46" s="2081"/>
      <c r="E46" s="2081"/>
      <c r="F46" s="2081"/>
      <c r="I46" s="2374" t="s">
        <v>2343</v>
      </c>
      <c r="J46" s="2375"/>
      <c r="K46" s="2376"/>
      <c r="L46" s="3156">
        <f>IF(OR(M47="住宅",D1="土地（套用方法）"),0,IF(L48&gt;J51,L60,J60))</f>
        <v>0</v>
      </c>
      <c r="O46" s="2390" t="s">
        <v>2410</v>
      </c>
      <c r="P46" s="1587"/>
      <c r="Q46" s="1599"/>
      <c r="R46" s="1587"/>
    </row>
    <row r="47" spans="1:18" s="2055" customFormat="1" ht="18" customHeight="1" thickBot="1">
      <c r="A47" s="2368">
        <v>1</v>
      </c>
      <c r="B47" s="2369" t="s">
        <v>635</v>
      </c>
      <c r="C47" s="2570">
        <f ca="1">C48+C52+C54</f>
        <v>0</v>
      </c>
      <c r="D47" s="2081"/>
      <c r="E47" s="2081"/>
      <c r="F47" s="2081"/>
      <c r="I47" s="3146" t="s">
        <v>2344</v>
      </c>
      <c r="J47" s="2377" t="s">
        <v>3187</v>
      </c>
      <c r="K47" s="3153" t="s">
        <v>2349</v>
      </c>
      <c r="L47" s="3157">
        <f ca="1">INDIRECT("'数据-取费表'!d"&amp;$G$1)</f>
        <v>40</v>
      </c>
      <c r="M47" s="1599" t="str">
        <f>IF(ISNUMBER(FIND("住宅",C1)),"住宅","非住宅")</f>
        <v>非住宅</v>
      </c>
      <c r="O47" s="2391" t="s">
        <v>2375</v>
      </c>
      <c r="P47" s="2392" t="s">
        <v>2376</v>
      </c>
      <c r="Q47" s="2393" t="s">
        <v>2377</v>
      </c>
      <c r="R47" s="2392" t="s">
        <v>2378</v>
      </c>
    </row>
    <row r="48" spans="1:18" s="2055" customFormat="1" ht="18" customHeight="1" thickBot="1">
      <c r="A48" s="2638" t="s">
        <v>2537</v>
      </c>
      <c r="B48" s="2639" t="s">
        <v>2538</v>
      </c>
      <c r="C48" s="2370">
        <f ca="1">ROUND(F48*F50*F49*(1-F51)/10000,0)</f>
        <v>0</v>
      </c>
      <c r="D48" s="2371" t="s">
        <v>636</v>
      </c>
      <c r="E48" s="2372" t="s">
        <v>2296</v>
      </c>
      <c r="F48" s="2373"/>
      <c r="G48" s="2086"/>
      <c r="I48" s="3122" t="s">
        <v>2345</v>
      </c>
      <c r="J48" s="2378" t="s">
        <v>2350</v>
      </c>
      <c r="K48" s="3154" t="s">
        <v>2351</v>
      </c>
      <c r="L48" s="1904">
        <f ca="1">INDIRECT("'数据-取费表'!f"&amp;$G$1)</f>
        <v>39.97</v>
      </c>
      <c r="O48" s="2394" t="s">
        <v>2379</v>
      </c>
      <c r="P48" s="2395" t="s">
        <v>2405</v>
      </c>
      <c r="Q48" s="2396">
        <f ca="1">C40+J29</f>
        <v>5810</v>
      </c>
      <c r="R48" s="2395" t="s">
        <v>2380</v>
      </c>
    </row>
    <row r="49" spans="1:18" s="2055" customFormat="1" ht="18" customHeight="1" thickBot="1">
      <c r="A49" s="784"/>
      <c r="B49" s="785"/>
      <c r="C49" s="786"/>
      <c r="D49" s="787"/>
      <c r="E49" s="782" t="s">
        <v>1740</v>
      </c>
      <c r="F49" s="783">
        <f ca="1">F7</f>
        <v>3738</v>
      </c>
      <c r="G49" s="2086"/>
      <c r="H49" s="2089"/>
      <c r="I49" s="3122" t="s">
        <v>2346</v>
      </c>
      <c r="J49" s="2379"/>
      <c r="K49" s="3155" t="s">
        <v>2352</v>
      </c>
      <c r="L49" s="2380"/>
      <c r="O49" s="2394" t="s">
        <v>2381</v>
      </c>
      <c r="P49" s="2395" t="s">
        <v>2406</v>
      </c>
      <c r="Q49" s="2396">
        <f ca="1">J60</f>
        <v>622</v>
      </c>
      <c r="R49" s="2395" t="s">
        <v>2382</v>
      </c>
    </row>
    <row r="50" spans="1:18" s="2055" customFormat="1" ht="18" customHeight="1" thickBot="1">
      <c r="A50" s="784"/>
      <c r="B50" s="785"/>
      <c r="C50" s="786"/>
      <c r="D50" s="787"/>
      <c r="E50" s="782" t="s">
        <v>1741</v>
      </c>
      <c r="F50" s="783">
        <f ca="1">F8</f>
        <v>365</v>
      </c>
      <c r="G50" s="2091"/>
      <c r="H50" s="2089"/>
      <c r="I50" s="3122" t="s">
        <v>2347</v>
      </c>
      <c r="J50" s="3150">
        <f>SUMPRODUCT((I63:I65=J47)*(J62:L62=J48)*(J63:L65))</f>
        <v>60</v>
      </c>
      <c r="K50" s="3155" t="s">
        <v>2353</v>
      </c>
      <c r="L50" s="2380"/>
      <c r="O50" s="2397" t="s">
        <v>2383</v>
      </c>
      <c r="P50" s="2395" t="s">
        <v>2407</v>
      </c>
      <c r="Q50" s="2396">
        <f ca="1">C29</f>
        <v>1554</v>
      </c>
      <c r="R50" s="2395" t="s">
        <v>2380</v>
      </c>
    </row>
    <row r="51" spans="1:18" s="2055" customFormat="1" ht="18" customHeight="1" thickBot="1">
      <c r="A51" s="784"/>
      <c r="B51" s="785"/>
      <c r="C51" s="786"/>
      <c r="D51" s="787"/>
      <c r="E51" s="782" t="s">
        <v>640</v>
      </c>
      <c r="F51" s="2367"/>
      <c r="H51" s="2089"/>
      <c r="I51" s="3147" t="s">
        <v>2348</v>
      </c>
      <c r="J51" s="3151">
        <f>IF(J49="",J50,J49+J50-YEAR('数据-取费表'!B2))</f>
        <v>60</v>
      </c>
      <c r="K51" s="3122" t="s">
        <v>2354</v>
      </c>
      <c r="L51" s="3158">
        <f ca="1">ROUND(-PV(INDIRECT("'数据-取费表'!h"&amp;$G$1),L48,(C39-C13*J36),0),0)</f>
        <v>1560</v>
      </c>
      <c r="O51" s="2397" t="s">
        <v>2384</v>
      </c>
      <c r="P51" s="2395" t="s">
        <v>2385</v>
      </c>
      <c r="Q51" s="2398">
        <f ca="1">J58</f>
        <v>0.4</v>
      </c>
      <c r="R51" s="2399"/>
    </row>
    <row r="52" spans="1:18" s="2055" customFormat="1" ht="18" customHeight="1" thickBot="1">
      <c r="A52" s="779" t="s">
        <v>2536</v>
      </c>
      <c r="B52" s="2490" t="s">
        <v>2459</v>
      </c>
      <c r="C52" s="797">
        <f ca="1">ROUND(IF(F52="押一",C48/12*F11,IF(F52="押二",C48/12*2*F11,IF(F52="押三",C48/12*3*F11,C53*F11))),0)</f>
        <v>0</v>
      </c>
      <c r="D52" s="2497" t="s">
        <v>2976</v>
      </c>
      <c r="E52" s="2494" t="s">
        <v>2464</v>
      </c>
      <c r="F52" s="2617"/>
      <c r="I52" s="3148" t="s">
        <v>2421</v>
      </c>
      <c r="J52" s="2381"/>
      <c r="K52" s="3148" t="s">
        <v>2420</v>
      </c>
      <c r="L52" s="2381"/>
      <c r="O52" s="2397" t="s">
        <v>2386</v>
      </c>
      <c r="P52" s="2395" t="s">
        <v>2387</v>
      </c>
      <c r="Q52" s="2398">
        <f>J52</f>
        <v>0</v>
      </c>
      <c r="R52" s="2399"/>
    </row>
    <row r="53" spans="1:18" s="2055" customFormat="1" ht="39.75" customHeight="1" thickBot="1">
      <c r="A53" s="784"/>
      <c r="B53" s="2491" t="s">
        <v>2573</v>
      </c>
      <c r="C53" s="2495"/>
      <c r="D53" s="2497"/>
      <c r="E53" s="2494"/>
      <c r="F53" s="798"/>
      <c r="I53" s="3149" t="s">
        <v>2980</v>
      </c>
      <c r="J53" s="3152">
        <f ca="1">IF(M47="住宅",IF(D1="——",MAX(J51,L48),MAX(J51,L48-'数据-取费表'!B20)),IF(D1="——",MIN(J51,L48),MIN(J51,L48-'数据-取费表'!B20)))</f>
        <v>38.47</v>
      </c>
      <c r="K53" s="3774" t="s">
        <v>2967</v>
      </c>
      <c r="L53" s="3775"/>
      <c r="O53" s="2397" t="s">
        <v>2388</v>
      </c>
      <c r="P53" s="2395" t="s">
        <v>2389</v>
      </c>
      <c r="Q53" s="2396">
        <f ca="1">J53</f>
        <v>38.47</v>
      </c>
      <c r="R53" s="2395" t="s">
        <v>2390</v>
      </c>
    </row>
    <row r="54" spans="1:18" s="2055" customFormat="1" ht="18" customHeight="1" thickBot="1">
      <c r="A54" s="2533" t="s">
        <v>2467</v>
      </c>
      <c r="B54" s="2534" t="s">
        <v>2460</v>
      </c>
      <c r="C54" s="2535"/>
      <c r="D54" s="2497"/>
      <c r="E54" s="2494"/>
      <c r="F54" s="798"/>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94" t="s">
        <v>2391</v>
      </c>
      <c r="P54" s="2395" t="s">
        <v>2408</v>
      </c>
      <c r="Q54" s="2396">
        <f ca="1">Q48+Q49</f>
        <v>6432</v>
      </c>
      <c r="R54" s="2399" t="s">
        <v>2392</v>
      </c>
    </row>
    <row r="55" spans="1:18" s="2055" customFormat="1" ht="18" customHeight="1" thickTop="1" thickBot="1">
      <c r="A55" s="795">
        <v>2</v>
      </c>
      <c r="B55" s="796" t="s">
        <v>644</v>
      </c>
      <c r="C55" s="797">
        <f ca="1">C13</f>
        <v>1554</v>
      </c>
      <c r="D55" s="793"/>
      <c r="E55" s="793"/>
      <c r="F55" s="798"/>
      <c r="I55" s="3161" t="s">
        <v>2355</v>
      </c>
      <c r="J55" s="3097">
        <f ca="1">ROUND(IF(J47="钢混",J57/J50,1-(1-2%)*(J50-J57)/J50),3)</f>
        <v>0.33400000000000002</v>
      </c>
      <c r="K55" s="3162" t="s">
        <v>2356</v>
      </c>
      <c r="L55" s="2382"/>
      <c r="O55" s="2400" t="s">
        <v>2411</v>
      </c>
      <c r="P55" s="1587"/>
      <c r="Q55" s="1599"/>
      <c r="R55" s="1587"/>
    </row>
    <row r="56" spans="1:18" s="2055" customFormat="1" ht="42.75" customHeight="1" thickBot="1">
      <c r="A56" s="1645"/>
      <c r="B56" s="2227" t="s">
        <v>2302</v>
      </c>
      <c r="C56" s="53">
        <f ca="1">C29</f>
        <v>1554</v>
      </c>
      <c r="D56" s="2635"/>
      <c r="E56" s="782"/>
      <c r="F56" s="807"/>
      <c r="I56" s="3163" t="s">
        <v>2357</v>
      </c>
      <c r="J56" s="3173" t="s">
        <v>2998</v>
      </c>
      <c r="K56" s="3122" t="s">
        <v>2362</v>
      </c>
      <c r="L56" s="1904" t="str">
        <f ca="1">IF(L48&lt;J51,"——",L48-J51)</f>
        <v>——</v>
      </c>
      <c r="O56" s="2391" t="s">
        <v>2375</v>
      </c>
      <c r="P56" s="2392" t="s">
        <v>2376</v>
      </c>
      <c r="Q56" s="2393" t="s">
        <v>2377</v>
      </c>
      <c r="R56" s="2392" t="s">
        <v>2378</v>
      </c>
    </row>
    <row r="57" spans="1:18" s="2055" customFormat="1" ht="28.5" customHeight="1" thickBot="1">
      <c r="A57" s="795" t="s">
        <v>1749</v>
      </c>
      <c r="B57" s="796" t="s">
        <v>651</v>
      </c>
      <c r="C57" s="797">
        <f ca="1">ROUND(C58+C63+C64+C65,0)</f>
        <v>28</v>
      </c>
      <c r="D57" s="26" t="s">
        <v>1751</v>
      </c>
      <c r="E57" s="2636"/>
      <c r="F57" s="56"/>
      <c r="I57" s="3164" t="s">
        <v>2358</v>
      </c>
      <c r="J57" s="3165">
        <f ca="1">IF(OR(M47="住宅",J51&lt;L48,J56="是"),"——",J51-L48)</f>
        <v>20.03</v>
      </c>
      <c r="K57" s="3122" t="s">
        <v>2363</v>
      </c>
      <c r="L57" s="1904" t="str">
        <f ca="1">IF(L48&lt;J51,"——",IF(L55="比较法",L49,IF(L55="基准地价",L50,L51)))</f>
        <v>——</v>
      </c>
      <c r="O57" s="2394" t="s">
        <v>2379</v>
      </c>
      <c r="P57" s="2395" t="s">
        <v>2409</v>
      </c>
      <c r="Q57" s="2396">
        <f ca="1">C40+J29</f>
        <v>5810</v>
      </c>
      <c r="R57" s="2395" t="s">
        <v>2380</v>
      </c>
    </row>
    <row r="58" spans="1:18" s="2055" customFormat="1" ht="28.5" customHeight="1" thickBot="1">
      <c r="A58" s="1644" t="s">
        <v>1825</v>
      </c>
      <c r="B58" s="782" t="s">
        <v>656</v>
      </c>
      <c r="C58" s="53">
        <f ca="1">ROUND(IF(项目基本情况!B11="自然人",C47*F58,C59+C60+C61),1)</f>
        <v>2.4</v>
      </c>
      <c r="D58" s="2634" t="s">
        <v>657</v>
      </c>
      <c r="E58" s="2635" t="s">
        <v>690</v>
      </c>
      <c r="F58" s="808" t="str">
        <f ca="1">IF(项目基本情况!B11="企业","",IF(INDIRECT("'数据-取费表'!c"&amp;$G$1)="住宅",5%,IF(F48*F49*F50/12/(1+'数据-取费表'!C42)&gt;20000,12%,7%)))</f>
        <v/>
      </c>
      <c r="I58" s="3164" t="s">
        <v>2359</v>
      </c>
      <c r="J58" s="3098">
        <f ca="1">IF(J55&lt;0.4,0.4,J55)</f>
        <v>0.4</v>
      </c>
      <c r="K58" s="3122" t="s">
        <v>2364</v>
      </c>
      <c r="L58" s="1904" t="e">
        <f ca="1">ROUND(POWER(1+L52,L47-L48)*(POWER(1+L52,L48)-1)/(POWER(1+L52,L47)-1),4)</f>
        <v>#DIV/0!</v>
      </c>
      <c r="O58" s="2394" t="s">
        <v>2381</v>
      </c>
      <c r="P58" s="2395" t="s">
        <v>2412</v>
      </c>
      <c r="Q58" s="2396">
        <f ca="1">L60</f>
        <v>0</v>
      </c>
      <c r="R58" s="2399" t="s">
        <v>2414</v>
      </c>
    </row>
    <row r="59" spans="1:18" s="2055" customFormat="1" ht="28.5" customHeight="1" thickBot="1">
      <c r="A59" s="1643" t="s">
        <v>1832</v>
      </c>
      <c r="B59" s="782" t="s">
        <v>660</v>
      </c>
      <c r="C59" s="53">
        <f ca="1">ROUND(C47*F59/1.05,1)</f>
        <v>0</v>
      </c>
      <c r="D59" s="2635" t="s">
        <v>1757</v>
      </c>
      <c r="E59" s="782" t="s">
        <v>1748</v>
      </c>
      <c r="F59" s="807">
        <f t="shared" ref="F59:F65" si="0">F32</f>
        <v>5.6000000000000001E-2</v>
      </c>
      <c r="I59" s="3164" t="s">
        <v>2360</v>
      </c>
      <c r="J59" s="3165">
        <f ca="1">IF(OR(M47="住宅",J51&lt;L48,J56="是"),"——",ROUND(C29*J58,0))</f>
        <v>622</v>
      </c>
      <c r="K59" s="3122"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97" t="s">
        <v>2383</v>
      </c>
      <c r="P59" s="2395" t="s">
        <v>2413</v>
      </c>
      <c r="Q59" s="2396">
        <f>IF(L55="比较法",L49,IF(L55="基准地价",L50,0))</f>
        <v>0</v>
      </c>
      <c r="R59" s="2395" t="s">
        <v>2380</v>
      </c>
    </row>
    <row r="60" spans="1:18" s="2055" customFormat="1" ht="18" customHeight="1" thickBot="1">
      <c r="A60" s="1643" t="s">
        <v>1833</v>
      </c>
      <c r="B60" s="782" t="s">
        <v>1759</v>
      </c>
      <c r="C60" s="53">
        <f ca="1">IF(D60="按租金收入计税",ROUND(C47*F60,1),IF(D60="按房产原值计税",ROUND(C56*F60*0.7,1),INDIRECT("'数据-取费表'!Aj"&amp;$G$1)))</f>
        <v>0</v>
      </c>
      <c r="D60" s="2635" t="str">
        <f>D33</f>
        <v>按租金收入计税</v>
      </c>
      <c r="E60" s="782" t="s">
        <v>1748</v>
      </c>
      <c r="F60" s="807">
        <f t="shared" si="0"/>
        <v>0.12</v>
      </c>
      <c r="I60" s="3166" t="s">
        <v>2361</v>
      </c>
      <c r="J60" s="3167">
        <f ca="1">IF(OR(M47="住宅",J51&lt;L48,J56="是"),"0",ROUND(J59/(1+J52)^J53,0))</f>
        <v>622</v>
      </c>
      <c r="K60" s="3168" t="s">
        <v>2366</v>
      </c>
      <c r="L60" s="3167">
        <f ca="1">IF(OR(M47="住宅",L48&lt;J51),0,ROUND(L57*(L58/L59-1),0))</f>
        <v>0</v>
      </c>
      <c r="O60" s="2397" t="s">
        <v>2384</v>
      </c>
      <c r="P60" s="2395" t="s">
        <v>2393</v>
      </c>
      <c r="Q60" s="2398">
        <f>L52</f>
        <v>0</v>
      </c>
      <c r="R60" s="2399"/>
    </row>
    <row r="61" spans="1:18" s="2055" customFormat="1" ht="18" customHeight="1" thickBot="1">
      <c r="A61" s="1646" t="s">
        <v>1834</v>
      </c>
      <c r="B61" s="339" t="s">
        <v>668</v>
      </c>
      <c r="C61" s="54">
        <f ca="1">ROUND(F61*F62/10000,1)</f>
        <v>2.4</v>
      </c>
      <c r="D61" s="812" t="s">
        <v>669</v>
      </c>
      <c r="E61" s="782" t="s">
        <v>670</v>
      </c>
      <c r="F61" s="638">
        <f t="shared" si="0"/>
        <v>7</v>
      </c>
      <c r="K61" s="2082"/>
      <c r="O61" s="2397" t="s">
        <v>2386</v>
      </c>
      <c r="P61" s="2395" t="s">
        <v>2394</v>
      </c>
      <c r="Q61" s="2396" t="e">
        <f ca="1">L58</f>
        <v>#DIV/0!</v>
      </c>
      <c r="R61" s="2399" t="s">
        <v>2395</v>
      </c>
    </row>
    <row r="62" spans="1:18" s="2055" customFormat="1" ht="15.75" thickBot="1">
      <c r="A62" s="813"/>
      <c r="B62" s="791"/>
      <c r="C62" s="69"/>
      <c r="D62" s="814"/>
      <c r="E62" s="782" t="s">
        <v>674</v>
      </c>
      <c r="F62" s="783">
        <f t="shared" ca="1" si="0"/>
        <v>3428.8799999999997</v>
      </c>
      <c r="I62" s="3169" t="s">
        <v>2367</v>
      </c>
      <c r="J62" s="3170" t="s">
        <v>2368</v>
      </c>
      <c r="K62" s="3170" t="s">
        <v>2369</v>
      </c>
      <c r="L62" s="3170" t="s">
        <v>2350</v>
      </c>
      <c r="M62" s="3171" t="s">
        <v>2943</v>
      </c>
      <c r="O62" s="2397" t="s">
        <v>2388</v>
      </c>
      <c r="P62" s="2395" t="str">
        <f>K59</f>
        <v>建设期及建筑物耐用年限下的土地年期修正系数Kn</v>
      </c>
      <c r="Q62" s="2396" t="e">
        <f ca="1">L59</f>
        <v>#DIV/0!</v>
      </c>
      <c r="R62" s="2399" t="s">
        <v>2397</v>
      </c>
    </row>
    <row r="63" spans="1:18" s="2055" customFormat="1" ht="15.75" thickBot="1">
      <c r="A63" s="1644" t="s">
        <v>1890</v>
      </c>
      <c r="B63" s="782" t="s">
        <v>676</v>
      </c>
      <c r="C63" s="53">
        <f ca="1">ROUND(C56*F63,1)</f>
        <v>23.3</v>
      </c>
      <c r="D63" s="2635" t="s">
        <v>1804</v>
      </c>
      <c r="E63" s="782" t="s">
        <v>1748</v>
      </c>
      <c r="F63" s="815">
        <f t="shared" ca="1" si="0"/>
        <v>1.4999999999999999E-2</v>
      </c>
      <c r="I63" s="3169" t="s">
        <v>2370</v>
      </c>
      <c r="J63" s="3170">
        <v>70</v>
      </c>
      <c r="K63" s="3170">
        <v>50</v>
      </c>
      <c r="L63" s="3170">
        <v>80</v>
      </c>
      <c r="M63" s="3172">
        <v>0.02</v>
      </c>
      <c r="O63" s="2394" t="s">
        <v>2391</v>
      </c>
      <c r="P63" s="2395" t="s">
        <v>2408</v>
      </c>
      <c r="Q63" s="2396">
        <f ca="1">Q57+Q58</f>
        <v>5810</v>
      </c>
      <c r="R63" s="2399" t="s">
        <v>2392</v>
      </c>
    </row>
    <row r="64" spans="1:18" s="2055" customFormat="1" ht="16.5" thickBot="1">
      <c r="A64" s="1644" t="s">
        <v>1891</v>
      </c>
      <c r="B64" s="782" t="s">
        <v>679</v>
      </c>
      <c r="C64" s="53">
        <f ca="1">ROUND(C55*F64,1)</f>
        <v>2.2999999999999998</v>
      </c>
      <c r="D64" s="2635" t="s">
        <v>680</v>
      </c>
      <c r="E64" s="782" t="s">
        <v>1748</v>
      </c>
      <c r="F64" s="816">
        <f t="shared" ca="1" si="0"/>
        <v>1.5E-3</v>
      </c>
      <c r="I64" s="3169" t="s">
        <v>2371</v>
      </c>
      <c r="J64" s="3170">
        <v>50</v>
      </c>
      <c r="K64" s="3170">
        <v>35</v>
      </c>
      <c r="L64" s="3170">
        <v>60</v>
      </c>
      <c r="M64" s="844">
        <v>0</v>
      </c>
      <c r="O64" s="2400" t="s">
        <v>2415</v>
      </c>
      <c r="P64" s="1587"/>
      <c r="Q64" s="1599"/>
      <c r="R64" s="1587"/>
    </row>
    <row r="65" spans="1:18" s="2055" customFormat="1" ht="15.75" thickBot="1">
      <c r="A65" s="1644" t="s">
        <v>1892</v>
      </c>
      <c r="B65" s="782" t="s">
        <v>666</v>
      </c>
      <c r="C65" s="53">
        <f ca="1">ROUND(C47*F65,1)</f>
        <v>0</v>
      </c>
      <c r="D65" s="2635" t="s">
        <v>683</v>
      </c>
      <c r="E65" s="782" t="s">
        <v>1748</v>
      </c>
      <c r="F65" s="792">
        <f t="shared" ca="1" si="0"/>
        <v>0.01</v>
      </c>
      <c r="I65" s="3169" t="s">
        <v>2372</v>
      </c>
      <c r="J65" s="3170">
        <v>40</v>
      </c>
      <c r="K65" s="3170">
        <v>30</v>
      </c>
      <c r="L65" s="3170">
        <v>50</v>
      </c>
      <c r="M65" s="3172">
        <v>0.02</v>
      </c>
      <c r="O65" s="2391" t="s">
        <v>2375</v>
      </c>
      <c r="P65" s="2392" t="s">
        <v>2376</v>
      </c>
      <c r="Q65" s="2393" t="s">
        <v>2377</v>
      </c>
      <c r="R65" s="2392" t="s">
        <v>2378</v>
      </c>
    </row>
    <row r="66" spans="1:18" s="2055" customFormat="1" ht="24.75" thickBot="1">
      <c r="A66" s="795" t="s">
        <v>1777</v>
      </c>
      <c r="B66" s="3007" t="s">
        <v>2821</v>
      </c>
      <c r="C66" s="797">
        <f ca="1">C47-C57</f>
        <v>-28</v>
      </c>
      <c r="D66" s="2634" t="s">
        <v>700</v>
      </c>
      <c r="E66" s="2633"/>
      <c r="F66" s="818"/>
      <c r="K66" s="2082"/>
      <c r="O66" s="2394" t="s">
        <v>2379</v>
      </c>
      <c r="P66" s="2395" t="s">
        <v>2409</v>
      </c>
      <c r="Q66" s="2396">
        <f ca="1">C40+J29</f>
        <v>5810</v>
      </c>
      <c r="R66" s="2395" t="s">
        <v>2380</v>
      </c>
    </row>
    <row r="67" spans="1:18" s="2055" customFormat="1" ht="20.25" thickBot="1">
      <c r="A67" s="779" t="s">
        <v>1781</v>
      </c>
      <c r="B67" s="2228" t="s">
        <v>2301</v>
      </c>
      <c r="C67" s="781">
        <f ca="1">ROUND(C66*(1-((1+F69)/(1+F67))^F68)/(F67-F69),0)</f>
        <v>-444</v>
      </c>
      <c r="D67" s="812" t="s">
        <v>704</v>
      </c>
      <c r="E67" s="782" t="s">
        <v>705</v>
      </c>
      <c r="F67" s="792">
        <f ca="1">F40</f>
        <v>5.5E-2</v>
      </c>
      <c r="K67" s="2082"/>
      <c r="O67" s="2394" t="s">
        <v>2381</v>
      </c>
      <c r="P67" s="2395" t="s">
        <v>2412</v>
      </c>
      <c r="Q67" s="2396">
        <f ca="1">L60</f>
        <v>0</v>
      </c>
      <c r="R67" s="2399" t="s">
        <v>2414</v>
      </c>
    </row>
    <row r="68" spans="1:18" ht="21.75" thickBot="1">
      <c r="A68" s="784"/>
      <c r="B68" s="785"/>
      <c r="C68" s="786"/>
      <c r="D68" s="819" t="s">
        <v>1809</v>
      </c>
      <c r="E68" s="782" t="s">
        <v>1785</v>
      </c>
      <c r="F68" s="820">
        <f ca="1">F41</f>
        <v>38.47</v>
      </c>
      <c r="O68" s="2397" t="s">
        <v>2383</v>
      </c>
      <c r="P68" s="2395" t="s">
        <v>2413</v>
      </c>
      <c r="Q68" s="2401">
        <f ca="1">L51</f>
        <v>1560</v>
      </c>
      <c r="R68" s="2402" t="s">
        <v>2416</v>
      </c>
    </row>
    <row r="69" spans="1:18" ht="20.25" thickBot="1">
      <c r="A69" s="788"/>
      <c r="B69" s="789"/>
      <c r="C69" s="790"/>
      <c r="D69" s="814"/>
      <c r="E69" s="782" t="s">
        <v>710</v>
      </c>
      <c r="F69" s="2367"/>
      <c r="O69" s="2397" t="s">
        <v>2384</v>
      </c>
      <c r="P69" s="2403" t="s">
        <v>2398</v>
      </c>
      <c r="Q69" s="2396">
        <f ca="1">ROUND(Q70-Q71*Q72,0)</f>
        <v>91</v>
      </c>
      <c r="R69" s="2399"/>
    </row>
    <row r="70" spans="1:18" ht="15.75" thickBot="1">
      <c r="A70" s="821" t="s">
        <v>1788</v>
      </c>
      <c r="B70" s="822" t="s">
        <v>1811</v>
      </c>
      <c r="C70" s="823">
        <f ca="1">ROUND(C67*10000/F70,0)</f>
        <v>-1188</v>
      </c>
      <c r="D70" s="824" t="s">
        <v>1812</v>
      </c>
      <c r="E70" s="825" t="s">
        <v>1813</v>
      </c>
      <c r="F70" s="826">
        <f ca="1">F43</f>
        <v>3738</v>
      </c>
      <c r="O70" s="2397" t="s">
        <v>2399</v>
      </c>
      <c r="P70" s="2403" t="s">
        <v>2400</v>
      </c>
      <c r="Q70" s="2396">
        <f ca="1">C39</f>
        <v>223</v>
      </c>
      <c r="R70" s="2395" t="s">
        <v>2380</v>
      </c>
    </row>
    <row r="71" spans="1:18" ht="15.75" thickBot="1">
      <c r="O71" s="2397" t="s">
        <v>2401</v>
      </c>
      <c r="P71" s="2403" t="s">
        <v>2402</v>
      </c>
      <c r="Q71" s="2396">
        <f ca="1">C13</f>
        <v>1554</v>
      </c>
      <c r="R71" s="2395" t="s">
        <v>2380</v>
      </c>
    </row>
    <row r="72" spans="1:18" ht="15.75" thickBot="1">
      <c r="O72" s="2397" t="s">
        <v>2403</v>
      </c>
      <c r="P72" s="2403" t="s">
        <v>2404</v>
      </c>
      <c r="Q72" s="2398">
        <f ca="1">J36</f>
        <v>8.5000000000000006E-2</v>
      </c>
      <c r="R72" s="2399"/>
    </row>
    <row r="73" spans="1:18" ht="15.75" thickBot="1">
      <c r="O73" s="2397" t="s">
        <v>2386</v>
      </c>
      <c r="P73" s="2395" t="s">
        <v>2393</v>
      </c>
      <c r="Q73" s="2398">
        <f>L52</f>
        <v>0</v>
      </c>
      <c r="R73" s="2399"/>
    </row>
    <row r="74" spans="1:18" ht="20.25" thickBot="1">
      <c r="O74" s="2397" t="s">
        <v>2388</v>
      </c>
      <c r="P74" s="2395" t="s">
        <v>2394</v>
      </c>
      <c r="Q74" s="2396" t="e">
        <f ca="1">L58</f>
        <v>#DIV/0!</v>
      </c>
      <c r="R74" s="2399" t="s">
        <v>2395</v>
      </c>
    </row>
    <row r="75" spans="1:18" ht="15.75" thickBot="1">
      <c r="O75" s="2397" t="s">
        <v>2417</v>
      </c>
      <c r="P75" s="2395" t="str">
        <f>K59</f>
        <v>建设期及建筑物耐用年限下的土地年期修正系数Kn</v>
      </c>
      <c r="Q75" s="2396" t="e">
        <f ca="1">L59</f>
        <v>#DIV/0!</v>
      </c>
      <c r="R75" s="2399" t="s">
        <v>2397</v>
      </c>
    </row>
    <row r="76" spans="1:18" ht="15.75" thickBot="1">
      <c r="O76" s="2394" t="s">
        <v>2391</v>
      </c>
      <c r="P76" s="2395" t="s">
        <v>2408</v>
      </c>
      <c r="Q76" s="2396">
        <f ca="1">Q66+Q67</f>
        <v>5810</v>
      </c>
      <c r="R76" s="2399"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4" customWidth="1"/>
    <col min="2" max="2" width="9" style="1774"/>
    <col min="3" max="4" width="9.625" style="1774" customWidth="1"/>
    <col min="5" max="16384" width="9" style="1774"/>
  </cols>
  <sheetData>
    <row r="1" spans="1:4" ht="22.5">
      <c r="A1" s="1773" t="s">
        <v>1905</v>
      </c>
    </row>
    <row r="2" spans="1:4">
      <c r="A2" s="1775"/>
    </row>
    <row r="3" spans="1:4" ht="18.75">
      <c r="A3" s="1793" t="str">
        <f>项目基本情况!B5&amp;"："</f>
        <v>大业信托有限责任公司：</v>
      </c>
    </row>
    <row r="4" spans="1:4" ht="56.25">
      <c r="A4" s="1787" t="str">
        <f>"受贵公司委托，我公司对"&amp;项目基本情况!K2&amp;项目基本情况!B9&amp;"进行了预评估。"</f>
        <v>受贵公司委托，我公司对山东省青岛市高新区火炬路以北、规划中32号线以西370214005030GB00261号一宗住宅、商业用地出让国有建设用地使用权抵押价格进行了预评估。</v>
      </c>
    </row>
    <row r="5" spans="1:4" ht="18.75">
      <c r="A5" s="1790" t="s">
        <v>1906</v>
      </c>
    </row>
    <row r="6" spans="1:4" ht="150">
      <c r="A6" s="17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青岛世茂世悦置业有限公司使用的、位于山东省青岛市高新区火炬路以北、规划中32号线以西370214005030GB00261号一宗住宅、商业用地出让国有建设用地使用权。根据《国有建设用地使用权出让合同》[]及附件、《北京市规划委员会关于同意XX项目的规划设计方案的规划意见复函》[]以及《建设工程规划许可证》[]，估价对象（分摊）出让国有建设用地使用权面积为72846.2平方米。根据《国有建设用地使用权出让合同》[]及附件、《北京市规划委员会关于同意XX项目的规划设计方案的规划意见复函》[]以及《建设工程规划许可证》[]，估价对象规划建筑面积为180792平方米。</v>
      </c>
    </row>
    <row r="7" spans="1:4" ht="93.75">
      <c r="A7" s="2869" t="s">
        <v>2747</v>
      </c>
    </row>
    <row r="8" spans="1:4" ht="18.75">
      <c r="A8" s="1790" t="s">
        <v>1907</v>
      </c>
    </row>
    <row r="9" spans="1:4" ht="112.5">
      <c r="A9" s="1792" t="str">
        <f>IF(项目基本情况!B8="抵押",IF(项目基本情况!B5=项目基本情况!B6,定义!C51,定义!B51),定义!D51)</f>
        <v>青岛世茂世悦置业有限公司拟使用山东省青岛市高新区火炬路以北、规划中32号线以西370214005030GB00261号一宗住宅、商业用地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4" ht="18.75">
      <c r="A10" s="1793" t="s">
        <v>2026</v>
      </c>
    </row>
    <row r="11" spans="1:4" ht="18.75">
      <c r="A11" s="1776" t="str">
        <f>TEXT(项目基本情况!D3,"yyyy年m月d日;;")&amp;IF(项目基本情况!B3=项目基本情况!D3,"（评估专业人员勘察现场之日）","")</f>
        <v>2018年9月3日（评估专业人员勘察现场之日）</v>
      </c>
    </row>
    <row r="12" spans="1:4" ht="18.75">
      <c r="A12" s="1793" t="s">
        <v>2025</v>
      </c>
    </row>
    <row r="13" spans="1:4" ht="18.75">
      <c r="A13" s="1787" t="s">
        <v>2071</v>
      </c>
    </row>
    <row r="14" spans="1:4" ht="37.5">
      <c r="A14" s="1787" t="str">
        <f>"根据"&amp;项目基本情况!F12&amp;"，本次评估估价对象证载（地类）用途为"&amp;项目基本情况!B12&amp;"。"</f>
        <v>根据《国有土地使用证》[]，本次评估估价对象证载（地类）用途为其他普通商品住房、批发零售。</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本次评估设定用途即为证载用途其他普通商品住房、批发零售。</v>
      </c>
      <c r="C15" s="1777"/>
      <c r="D15" s="1778"/>
    </row>
    <row r="16" spans="1:4" ht="18.75">
      <c r="A16" s="1787" t="s">
        <v>2072</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7" t="s">
        <v>2073</v>
      </c>
    </row>
    <row r="20" spans="1:1" ht="112.5">
      <c r="A20" s="25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及附件、《北京市规划委员会关于同意XX项目的规划设计方案的规划意见复函》[]以及《建设工程规划许可证》[]，估价对象（分摊）出让国有建设用地使用权面积为72846.2平方米。根据《国有建设用地使用权出让合同》[]及附件、《北京市规划委员会关于同意XX项目的规划设计方案的规划意见复函》[]以及《建设工程规划许可证》[]，估价对象规划建筑面积为180792平方米。</v>
      </c>
    </row>
    <row r="21" spans="1:1" ht="93.75">
      <c r="A21" s="287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7" t="s">
        <v>2074</v>
      </c>
    </row>
    <row r="23" spans="1:1" ht="18.75">
      <c r="A23" s="2871" t="s">
        <v>2748</v>
      </c>
    </row>
    <row r="24" spans="1:1" ht="18.75">
      <c r="A24" s="1787" t="s">
        <v>2075</v>
      </c>
    </row>
    <row r="25" spans="1:1" ht="93.75">
      <c r="A25" s="1787" t="str">
        <f>定义!C53</f>
        <v>本次估价的“出让国有建设用地使用权价格”是指在估价对象土地所有权为国家所有，使用权性质为出让，在公开市场条件下、于估价期日2018年9月3日，在规划利用条件下、设定土地开发程度为红线外“七通”、宗地内场地平整，设定用途为其他普通商品住房、批发零售，剩余土地使用年限为的出让国有建设用地使用权价格。</v>
      </c>
    </row>
    <row r="26" spans="1:1" ht="37.5">
      <c r="A26" s="17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2027</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3" sqref="E33:G33"/>
    </sheetView>
  </sheetViews>
  <sheetFormatPr defaultRowHeight="13.5"/>
  <cols>
    <col min="1" max="1" width="10.5" customWidth="1"/>
    <col min="2" max="2" width="12.875" customWidth="1"/>
    <col min="3" max="3" width="8.75" customWidth="1"/>
  </cols>
  <sheetData>
    <row r="1" spans="1:9" ht="14.25">
      <c r="A1" s="3792" t="s">
        <v>2471</v>
      </c>
      <c r="B1" s="3793"/>
      <c r="C1" s="3794"/>
      <c r="D1" s="3795">
        <f>SUM(I10,I15,I20,I21,I23)</f>
        <v>0</v>
      </c>
      <c r="E1" s="3795"/>
      <c r="F1" s="3795"/>
      <c r="G1" s="3795"/>
      <c r="H1" s="3795"/>
      <c r="I1" s="3796"/>
    </row>
    <row r="2" spans="1:9">
      <c r="A2" s="3782" t="s">
        <v>2472</v>
      </c>
      <c r="B2" s="3783" t="s">
        <v>2473</v>
      </c>
      <c r="C2" s="3783"/>
      <c r="D2" s="2503" t="s">
        <v>2474</v>
      </c>
      <c r="E2" s="2503" t="s">
        <v>2475</v>
      </c>
      <c r="F2" s="2503" t="s">
        <v>2476</v>
      </c>
      <c r="G2" s="2503" t="s">
        <v>2477</v>
      </c>
      <c r="H2" s="2503" t="s">
        <v>2478</v>
      </c>
      <c r="I2" s="2504" t="s">
        <v>2479</v>
      </c>
    </row>
    <row r="3" spans="1:9">
      <c r="A3" s="3782"/>
      <c r="B3" s="3783" t="s">
        <v>2480</v>
      </c>
      <c r="C3" s="3783"/>
      <c r="D3" s="2505"/>
      <c r="E3" s="2503"/>
      <c r="F3" s="2506"/>
      <c r="G3" s="2506"/>
      <c r="H3" s="2507"/>
      <c r="I3" s="2508">
        <f>ROUND(D3*E3*F3*G3*H3/10000,0)</f>
        <v>0</v>
      </c>
    </row>
    <row r="4" spans="1:9">
      <c r="A4" s="3782"/>
      <c r="B4" s="3783" t="s">
        <v>2481</v>
      </c>
      <c r="C4" s="3783"/>
      <c r="D4" s="2505"/>
      <c r="E4" s="2503"/>
      <c r="F4" s="2506"/>
      <c r="G4" s="2506"/>
      <c r="H4" s="2507"/>
      <c r="I4" s="2508">
        <f t="shared" ref="I4:I9" si="0">ROUND(D4*E4*F4*G4*H4/10000,0)</f>
        <v>0</v>
      </c>
    </row>
    <row r="5" spans="1:9">
      <c r="A5" s="3782"/>
      <c r="B5" s="3783" t="s">
        <v>2482</v>
      </c>
      <c r="C5" s="3783"/>
      <c r="D5" s="2505"/>
      <c r="E5" s="2503"/>
      <c r="F5" s="2506"/>
      <c r="G5" s="2506"/>
      <c r="H5" s="2507"/>
      <c r="I5" s="2508">
        <f t="shared" si="0"/>
        <v>0</v>
      </c>
    </row>
    <row r="6" spans="1:9">
      <c r="A6" s="3782"/>
      <c r="B6" s="3783" t="s">
        <v>2483</v>
      </c>
      <c r="C6" s="3783"/>
      <c r="D6" s="2505"/>
      <c r="E6" s="2503"/>
      <c r="F6" s="2506"/>
      <c r="G6" s="2506"/>
      <c r="H6" s="2507"/>
      <c r="I6" s="2508">
        <f t="shared" si="0"/>
        <v>0</v>
      </c>
    </row>
    <row r="7" spans="1:9">
      <c r="A7" s="3782"/>
      <c r="B7" s="3783" t="s">
        <v>2484</v>
      </c>
      <c r="C7" s="3783"/>
      <c r="D7" s="2505"/>
      <c r="E7" s="2503"/>
      <c r="F7" s="2506"/>
      <c r="G7" s="2506"/>
      <c r="H7" s="2507"/>
      <c r="I7" s="2508">
        <f t="shared" si="0"/>
        <v>0</v>
      </c>
    </row>
    <row r="8" spans="1:9">
      <c r="A8" s="3782"/>
      <c r="B8" s="3783" t="s">
        <v>2485</v>
      </c>
      <c r="C8" s="3783"/>
      <c r="D8" s="2505"/>
      <c r="E8" s="2503"/>
      <c r="F8" s="2506"/>
      <c r="G8" s="2506"/>
      <c r="H8" s="2507"/>
      <c r="I8" s="2508">
        <f t="shared" si="0"/>
        <v>0</v>
      </c>
    </row>
    <row r="9" spans="1:9">
      <c r="A9" s="3782"/>
      <c r="B9" s="3783" t="s">
        <v>2486</v>
      </c>
      <c r="C9" s="3783"/>
      <c r="D9" s="2505"/>
      <c r="E9" s="2503"/>
      <c r="F9" s="2506"/>
      <c r="G9" s="2506"/>
      <c r="H9" s="2507"/>
      <c r="I9" s="2508">
        <f t="shared" si="0"/>
        <v>0</v>
      </c>
    </row>
    <row r="10" spans="1:9">
      <c r="A10" s="3782"/>
      <c r="B10" s="3784" t="s">
        <v>2487</v>
      </c>
      <c r="C10" s="3784"/>
      <c r="D10" s="2509">
        <v>527</v>
      </c>
      <c r="E10" s="2509" t="e">
        <f>ROUND(D1*10000/D10/H9,0)</f>
        <v>#DIV/0!</v>
      </c>
      <c r="F10" s="2510"/>
      <c r="G10" s="2510"/>
      <c r="H10" s="2511"/>
      <c r="I10" s="2512">
        <f>SUM(I3:I9)</f>
        <v>0</v>
      </c>
    </row>
    <row r="11" spans="1:9" ht="14.25">
      <c r="A11" s="3782" t="s">
        <v>2488</v>
      </c>
      <c r="B11" s="3783" t="s">
        <v>2489</v>
      </c>
      <c r="C11" s="3783"/>
      <c r="D11" s="2505" t="s">
        <v>2490</v>
      </c>
      <c r="E11" s="2505" t="s">
        <v>2491</v>
      </c>
      <c r="F11" s="2506" t="s">
        <v>2492</v>
      </c>
      <c r="G11" s="2506" t="s">
        <v>2493</v>
      </c>
      <c r="H11" s="2513" t="s">
        <v>2494</v>
      </c>
      <c r="I11" s="2504" t="s">
        <v>2495</v>
      </c>
    </row>
    <row r="12" spans="1:9">
      <c r="A12" s="3782"/>
      <c r="B12" s="3783" t="s">
        <v>2496</v>
      </c>
      <c r="C12" s="3783"/>
      <c r="D12" s="2505"/>
      <c r="E12" s="2505"/>
      <c r="F12" s="2506"/>
      <c r="G12" s="2507"/>
      <c r="H12" s="2514"/>
      <c r="I12" s="2504">
        <f>ROUND(D12*E12*F12*G12/10000,0)</f>
        <v>0</v>
      </c>
    </row>
    <row r="13" spans="1:9">
      <c r="A13" s="3782"/>
      <c r="B13" s="3783" t="s">
        <v>2497</v>
      </c>
      <c r="C13" s="3783"/>
      <c r="D13" s="2505"/>
      <c r="E13" s="2505"/>
      <c r="F13" s="2506"/>
      <c r="G13" s="2507"/>
      <c r="H13" s="2514"/>
      <c r="I13" s="2504">
        <f>ROUND(D13*E13*F13*G13/10000,0)</f>
        <v>0</v>
      </c>
    </row>
    <row r="14" spans="1:9">
      <c r="A14" s="3782"/>
      <c r="B14" s="3783" t="s">
        <v>2498</v>
      </c>
      <c r="C14" s="3783"/>
      <c r="D14" s="2505"/>
      <c r="E14" s="2505"/>
      <c r="F14" s="2506"/>
      <c r="G14" s="2507"/>
      <c r="H14" s="2514"/>
      <c r="I14" s="2504">
        <f>ROUND(D14*E14*F14*G14/10000,0)</f>
        <v>0</v>
      </c>
    </row>
    <row r="15" spans="1:9">
      <c r="A15" s="3782"/>
      <c r="B15" s="3784" t="s">
        <v>2487</v>
      </c>
      <c r="C15" s="3784"/>
      <c r="D15" s="2509"/>
      <c r="E15" s="2509">
        <f>SUM(E12:E14)</f>
        <v>0</v>
      </c>
      <c r="F15" s="2510"/>
      <c r="G15" s="2507"/>
      <c r="H15" s="2514"/>
      <c r="I15" s="2515">
        <f>SUM(I12:I14)</f>
        <v>0</v>
      </c>
    </row>
    <row r="16" spans="1:9" ht="24">
      <c r="A16" s="3782" t="s">
        <v>2499</v>
      </c>
      <c r="B16" s="3783" t="s">
        <v>2500</v>
      </c>
      <c r="C16" s="3783"/>
      <c r="D16" s="2505" t="s">
        <v>2501</v>
      </c>
      <c r="E16" s="2516" t="s">
        <v>2502</v>
      </c>
      <c r="F16" s="2506" t="s">
        <v>2503</v>
      </c>
      <c r="G16" s="2507" t="s">
        <v>2493</v>
      </c>
      <c r="H16" s="2513" t="s">
        <v>2494</v>
      </c>
      <c r="I16" s="2504" t="s">
        <v>2495</v>
      </c>
    </row>
    <row r="17" spans="1:9" ht="14.25">
      <c r="A17" s="3782"/>
      <c r="B17" s="3783" t="s">
        <v>2504</v>
      </c>
      <c r="C17" s="3783"/>
      <c r="D17" s="2505"/>
      <c r="E17" s="2505"/>
      <c r="F17" s="2506"/>
      <c r="G17" s="2507"/>
      <c r="H17" s="2517"/>
      <c r="I17" s="2518">
        <f>ROUND(D17*E17*F17*G17/10000,0)</f>
        <v>0</v>
      </c>
    </row>
    <row r="18" spans="1:9" ht="14.25">
      <c r="A18" s="3782"/>
      <c r="B18" s="3783" t="s">
        <v>2505</v>
      </c>
      <c r="C18" s="3783"/>
      <c r="D18" s="2505"/>
      <c r="E18" s="2505"/>
      <c r="F18" s="2506"/>
      <c r="G18" s="2507"/>
      <c r="H18" s="2517"/>
      <c r="I18" s="2518">
        <f>ROUND(D18*E18*F18*G18/10000,0)</f>
        <v>0</v>
      </c>
    </row>
    <row r="19" spans="1:9" ht="14.25">
      <c r="A19" s="3782"/>
      <c r="B19" s="3783" t="s">
        <v>2506</v>
      </c>
      <c r="C19" s="3783"/>
      <c r="D19" s="2505"/>
      <c r="E19" s="2505"/>
      <c r="F19" s="2506"/>
      <c r="G19" s="2507"/>
      <c r="H19" s="2517"/>
      <c r="I19" s="2518">
        <f>ROUND(D19*E19*F19*G19/10000,0)</f>
        <v>0</v>
      </c>
    </row>
    <row r="20" spans="1:9">
      <c r="A20" s="3782"/>
      <c r="B20" s="3784" t="s">
        <v>2487</v>
      </c>
      <c r="C20" s="3784"/>
      <c r="D20" s="2509">
        <f>SUM(D17:D19)</f>
        <v>0</v>
      </c>
      <c r="E20" s="2509"/>
      <c r="F20" s="2510"/>
      <c r="G20" s="2507"/>
      <c r="H20" s="2514"/>
      <c r="I20" s="2515">
        <f>SUM(I17:I19)</f>
        <v>0</v>
      </c>
    </row>
    <row r="21" spans="1:9">
      <c r="A21" s="3782" t="s">
        <v>2507</v>
      </c>
      <c r="B21" s="3785"/>
      <c r="C21" s="3785"/>
      <c r="D21" s="3785"/>
      <c r="E21" s="3785"/>
      <c r="F21" s="3785"/>
      <c r="G21" s="3785"/>
      <c r="H21" s="2519">
        <v>0.1</v>
      </c>
      <c r="I21" s="2512">
        <f>ROUND(I10*H21,0)</f>
        <v>0</v>
      </c>
    </row>
    <row r="22" spans="1:9" ht="14.25">
      <c r="A22" s="3786" t="s">
        <v>2508</v>
      </c>
      <c r="B22" s="3787"/>
      <c r="C22" s="3788"/>
      <c r="D22" s="2520" t="s">
        <v>2509</v>
      </c>
      <c r="E22" s="2520" t="s">
        <v>2510</v>
      </c>
      <c r="F22" s="2521" t="s">
        <v>2511</v>
      </c>
      <c r="G22" s="2521" t="s">
        <v>2512</v>
      </c>
      <c r="H22" s="2513" t="s">
        <v>2513</v>
      </c>
      <c r="I22" s="2504" t="s">
        <v>2514</v>
      </c>
    </row>
    <row r="23" spans="1:9" ht="14.25" thickBot="1">
      <c r="A23" s="3789"/>
      <c r="B23" s="3790"/>
      <c r="C23" s="3791"/>
      <c r="D23" s="2522"/>
      <c r="E23" s="2522"/>
      <c r="F23" s="2522"/>
      <c r="G23" s="2523"/>
      <c r="H23" s="2524"/>
      <c r="I23" s="2525">
        <f>ROUND(E23*D23*F23*(1-G23)/10000,0)</f>
        <v>0</v>
      </c>
    </row>
    <row r="26" spans="1:9">
      <c r="A26" s="2526" t="s">
        <v>2515</v>
      </c>
      <c r="B26" s="2526"/>
      <c r="C26" s="2526"/>
      <c r="D26" s="2526"/>
      <c r="E26" s="3779">
        <f>C27-C30-C31-C32</f>
        <v>0</v>
      </c>
      <c r="F26" s="3779"/>
      <c r="G26" s="3779"/>
      <c r="H26" s="3039" t="s">
        <v>2842</v>
      </c>
    </row>
    <row r="27" spans="1:9">
      <c r="A27" s="2527">
        <v>1</v>
      </c>
      <c r="B27" s="2528" t="s">
        <v>2516</v>
      </c>
      <c r="C27" s="2528"/>
      <c r="D27" s="2528"/>
      <c r="E27" s="3780"/>
      <c r="F27" s="3780"/>
      <c r="G27" s="3780"/>
    </row>
    <row r="28" spans="1:9">
      <c r="A28" s="2529" t="s">
        <v>2517</v>
      </c>
      <c r="B28" s="2528" t="s">
        <v>2518</v>
      </c>
      <c r="C28" s="2528"/>
      <c r="D28" s="2528"/>
      <c r="E28" s="3780"/>
      <c r="F28" s="3780"/>
      <c r="G28" s="3780"/>
    </row>
    <row r="29" spans="1:9">
      <c r="A29" s="2529" t="s">
        <v>2519</v>
      </c>
      <c r="B29" s="2528" t="s">
        <v>2460</v>
      </c>
      <c r="C29" s="2528"/>
      <c r="D29" s="2528"/>
      <c r="E29" s="2528" t="s">
        <v>2520</v>
      </c>
      <c r="F29" s="2528"/>
      <c r="G29" s="2528"/>
    </row>
    <row r="30" spans="1:9">
      <c r="A30" s="2527">
        <v>2</v>
      </c>
      <c r="B30" s="2528" t="s">
        <v>2521</v>
      </c>
      <c r="C30" s="2528">
        <f>C27*D30</f>
        <v>0</v>
      </c>
      <c r="D30" s="2530">
        <v>0.2</v>
      </c>
      <c r="E30" s="2528" t="s">
        <v>2522</v>
      </c>
      <c r="F30" s="2528"/>
      <c r="G30" s="2528"/>
    </row>
    <row r="31" spans="1:9">
      <c r="A31" s="2527">
        <v>3</v>
      </c>
      <c r="B31" s="2528" t="s">
        <v>2523</v>
      </c>
      <c r="C31" s="2528">
        <f>C25*D31</f>
        <v>0</v>
      </c>
      <c r="D31" s="2530">
        <v>0.15</v>
      </c>
      <c r="E31" s="2528" t="s">
        <v>2524</v>
      </c>
      <c r="F31" s="2528"/>
      <c r="G31" s="2528"/>
    </row>
    <row r="32" spans="1:9">
      <c r="A32" s="2527">
        <v>4</v>
      </c>
      <c r="B32" s="2528" t="s">
        <v>2525</v>
      </c>
      <c r="C32" s="2528">
        <f>C27*D32</f>
        <v>0</v>
      </c>
      <c r="D32" s="2530">
        <v>0.05</v>
      </c>
      <c r="E32" s="3781"/>
      <c r="F32" s="3781"/>
      <c r="G32" s="3781"/>
    </row>
    <row r="33" spans="1:7" hidden="1">
      <c r="A33" s="3776" t="s">
        <v>2526</v>
      </c>
      <c r="B33" s="3777"/>
      <c r="C33" s="3777"/>
      <c r="D33" s="3778"/>
      <c r="E33" s="3779"/>
      <c r="F33" s="3779"/>
      <c r="G33" s="3779"/>
    </row>
    <row r="34" spans="1:7" hidden="1">
      <c r="A34" s="2531">
        <v>1</v>
      </c>
      <c r="B34" s="2528" t="s">
        <v>2527</v>
      </c>
      <c r="C34" s="2528"/>
      <c r="D34" s="2528"/>
      <c r="E34" s="3780"/>
      <c r="F34" s="3780"/>
      <c r="G34" s="3780"/>
    </row>
    <row r="35" spans="1:7" hidden="1">
      <c r="A35" s="2531">
        <v>2</v>
      </c>
      <c r="B35" s="2528" t="s">
        <v>2528</v>
      </c>
      <c r="C35" s="2528"/>
      <c r="D35" s="2528"/>
      <c r="E35" s="3780"/>
      <c r="F35" s="3780"/>
      <c r="G35" s="3780"/>
    </row>
    <row r="36" spans="1:7" hidden="1">
      <c r="A36" s="2531">
        <v>3</v>
      </c>
      <c r="B36" s="2528" t="s">
        <v>2529</v>
      </c>
      <c r="C36" s="2528"/>
      <c r="D36" s="2528"/>
      <c r="E36" s="3780"/>
      <c r="F36" s="3780"/>
      <c r="G36" s="3780"/>
    </row>
    <row r="37" spans="1:7" hidden="1">
      <c r="A37" s="2531">
        <v>4</v>
      </c>
      <c r="B37" s="2528" t="s">
        <v>2530</v>
      </c>
      <c r="C37" s="2528"/>
      <c r="D37" s="2528"/>
      <c r="E37" s="3780"/>
      <c r="F37" s="3780"/>
      <c r="G37" s="3780"/>
    </row>
    <row r="38" spans="1:7" hidden="1">
      <c r="A38" s="3776" t="s">
        <v>2531</v>
      </c>
      <c r="B38" s="3777"/>
      <c r="C38" s="3777"/>
      <c r="D38" s="3778"/>
      <c r="E38" s="3779"/>
      <c r="F38" s="3779"/>
      <c r="G38" s="37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33" sqref="E33:G33"/>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19" t="s">
        <v>603</v>
      </c>
      <c r="B1" s="740"/>
      <c r="C1" s="2178"/>
      <c r="D1" s="2178"/>
      <c r="E1" s="2178"/>
      <c r="F1" s="2178"/>
      <c r="G1" s="2104"/>
    </row>
    <row r="2" spans="1:25" s="2055" customFormat="1" ht="18" customHeight="1">
      <c r="A2" s="421" t="s">
        <v>467</v>
      </c>
      <c r="B2" s="423">
        <f ca="1">C23</f>
        <v>0</v>
      </c>
      <c r="C2" s="2104"/>
      <c r="D2" s="2104"/>
      <c r="E2" s="2104"/>
      <c r="F2" s="2104"/>
      <c r="G2" s="2104"/>
    </row>
    <row r="3" spans="1:25" s="2055" customFormat="1" ht="18" customHeight="1">
      <c r="A3" s="1374" t="s">
        <v>1686</v>
      </c>
      <c r="B3" s="423">
        <f ca="1">ROUND(B2*10000/'数据-汇总表'!E3,0)</f>
        <v>0</v>
      </c>
      <c r="C3" s="2104"/>
      <c r="D3" s="2104"/>
      <c r="E3" s="2104"/>
      <c r="F3" s="2104"/>
      <c r="G3" s="2104"/>
    </row>
    <row r="4" spans="1:25" s="2055" customFormat="1" ht="18" customHeight="1">
      <c r="A4" s="424" t="s">
        <v>468</v>
      </c>
      <c r="B4" s="425">
        <f ca="1">ROUND(B2*10000/'数据-汇总表'!D3,0)</f>
        <v>0</v>
      </c>
      <c r="C4" s="2057"/>
      <c r="D4" s="2104"/>
      <c r="E4" s="2104"/>
      <c r="F4" s="2104"/>
      <c r="G4" s="2104"/>
    </row>
    <row r="5" spans="1:25" s="2055" customFormat="1" ht="18" customHeight="1" thickBot="1">
      <c r="A5" s="427"/>
      <c r="B5" s="428">
        <f ca="1">ROUND(B2/('数据-汇总表'!D3/666.67),0)</f>
        <v>0</v>
      </c>
      <c r="C5" s="429" t="s">
        <v>469</v>
      </c>
      <c r="D5" s="2104"/>
      <c r="E5" s="2104"/>
      <c r="F5" s="2104"/>
      <c r="G5" s="2104"/>
    </row>
    <row r="6" spans="1:25" s="2179" customFormat="1" ht="13.5" customHeight="1">
      <c r="A6" s="741"/>
      <c r="B6" s="742" t="s">
        <v>604</v>
      </c>
      <c r="C6" s="743" t="s">
        <v>605</v>
      </c>
      <c r="D6" s="743" t="s">
        <v>606</v>
      </c>
      <c r="E6" s="744" t="s">
        <v>607</v>
      </c>
      <c r="F6" s="744" t="s">
        <v>608</v>
      </c>
      <c r="G6" s="745"/>
    </row>
    <row r="7" spans="1:25" s="2179" customFormat="1" ht="13.5" customHeight="1">
      <c r="A7" s="2465">
        <v>1</v>
      </c>
      <c r="B7" s="746" t="s">
        <v>609</v>
      </c>
      <c r="C7" s="747">
        <f>C8+C9</f>
        <v>0</v>
      </c>
      <c r="D7" s="747"/>
      <c r="E7" s="748"/>
      <c r="F7" s="748"/>
      <c r="G7" s="2475"/>
    </row>
    <row r="8" spans="1:25" s="2179" customFormat="1" ht="13.5" customHeight="1">
      <c r="A8" s="2465" t="s">
        <v>2440</v>
      </c>
      <c r="B8" s="2468" t="s">
        <v>2442</v>
      </c>
      <c r="C8" s="2469"/>
      <c r="D8" s="747"/>
      <c r="E8" s="748"/>
      <c r="F8" s="748"/>
      <c r="G8" s="749"/>
    </row>
    <row r="9" spans="1:25" s="2179" customFormat="1" ht="13.5" customHeight="1">
      <c r="A9" s="2465" t="s">
        <v>2441</v>
      </c>
      <c r="B9" s="2468" t="s">
        <v>2443</v>
      </c>
      <c r="C9" s="2469"/>
      <c r="D9" s="747"/>
      <c r="E9" s="748"/>
      <c r="F9" s="748"/>
      <c r="G9" s="749"/>
    </row>
    <row r="10" spans="1:25" s="2179" customFormat="1" ht="36">
      <c r="A10" s="2465">
        <v>2</v>
      </c>
      <c r="B10" s="746" t="s">
        <v>613</v>
      </c>
      <c r="C10" s="747">
        <f>C11+C14+C15</f>
        <v>0</v>
      </c>
      <c r="D10" s="758">
        <f>'数据-汇总表'!E3</f>
        <v>180792</v>
      </c>
      <c r="E10" s="747">
        <f>'数据-取费表'!B31</f>
        <v>200</v>
      </c>
      <c r="F10" s="759"/>
      <c r="G10" s="757" t="s">
        <v>614</v>
      </c>
    </row>
    <row r="11" spans="1:25" s="2179" customFormat="1" ht="13.5" customHeight="1">
      <c r="A11" s="2465" t="s">
        <v>2440</v>
      </c>
      <c r="B11" s="750" t="s">
        <v>610</v>
      </c>
      <c r="C11" s="751">
        <f>'数据-取费表'!B29</f>
        <v>0</v>
      </c>
      <c r="D11" s="752"/>
      <c r="E11" s="751"/>
      <c r="F11" s="753"/>
      <c r="G11" s="2474" t="s">
        <v>2451</v>
      </c>
    </row>
    <row r="12" spans="1:25" s="2179" customFormat="1" ht="13.5" customHeight="1">
      <c r="A12" s="2472" t="s">
        <v>2448</v>
      </c>
      <c r="B12" s="754" t="s">
        <v>611</v>
      </c>
      <c r="C12" s="755">
        <f>ROUND(D12*E12/10000,0)</f>
        <v>3672</v>
      </c>
      <c r="D12" s="756">
        <f>'数据-汇总表'!E5</f>
        <v>125323</v>
      </c>
      <c r="E12" s="755">
        <f>'数据-取费表'!B27</f>
        <v>293</v>
      </c>
      <c r="F12" s="753"/>
      <c r="G12" s="757"/>
    </row>
    <row r="13" spans="1:25" s="2179" customFormat="1" ht="13.5" customHeight="1">
      <c r="A13" s="2472" t="s">
        <v>2447</v>
      </c>
      <c r="B13" s="754" t="s">
        <v>612</v>
      </c>
      <c r="C13" s="755">
        <f>ROUND(D13*E13/10000,0)</f>
        <v>1525</v>
      </c>
      <c r="D13" s="756">
        <f>'数据-汇总表'!E6</f>
        <v>55469</v>
      </c>
      <c r="E13" s="755">
        <f>'数据-取费表'!B28</f>
        <v>275</v>
      </c>
      <c r="F13" s="753"/>
      <c r="G13" s="757"/>
    </row>
    <row r="14" spans="1:25" s="2179" customFormat="1" ht="13.5" customHeight="1">
      <c r="A14" s="2465" t="s">
        <v>2441</v>
      </c>
      <c r="B14" s="2471" t="s">
        <v>2444</v>
      </c>
      <c r="C14" s="2469"/>
      <c r="D14" s="756"/>
      <c r="E14" s="755"/>
      <c r="F14" s="2470"/>
      <c r="G14" s="2473" t="s">
        <v>2449</v>
      </c>
    </row>
    <row r="15" spans="1:25" s="2179" customFormat="1" ht="13.5" customHeight="1">
      <c r="A15" s="2465" t="s">
        <v>2446</v>
      </c>
      <c r="B15" s="2471" t="s">
        <v>2445</v>
      </c>
      <c r="C15" s="2469"/>
      <c r="D15" s="756"/>
      <c r="E15" s="755"/>
      <c r="F15" s="2470"/>
      <c r="G15" s="2473" t="s">
        <v>2450</v>
      </c>
    </row>
    <row r="16" spans="1:25" s="2180" customFormat="1" ht="48">
      <c r="A16" s="2465">
        <v>3</v>
      </c>
      <c r="B16" s="746" t="s">
        <v>615</v>
      </c>
      <c r="C16" s="2469"/>
      <c r="D16" s="758"/>
      <c r="E16" s="747"/>
      <c r="F16" s="759"/>
      <c r="G16" s="757" t="s">
        <v>2452</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66">
        <v>4</v>
      </c>
      <c r="B17" s="746" t="s">
        <v>616</v>
      </c>
      <c r="C17" s="2569">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77"/>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66">
        <v>5</v>
      </c>
      <c r="B18" s="746" t="s">
        <v>617</v>
      </c>
      <c r="C18" s="747">
        <f>ROUND((C7+C10+C16)*F18,0)</f>
        <v>0</v>
      </c>
      <c r="D18" s="760"/>
      <c r="E18" s="761"/>
      <c r="F18" s="759">
        <f>'数据-取费表'!Q16</f>
        <v>7.0000000000000007E-2</v>
      </c>
      <c r="G18" s="763" t="s">
        <v>618</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65">
        <v>6</v>
      </c>
      <c r="B19" s="746" t="s">
        <v>619</v>
      </c>
      <c r="C19" s="747">
        <f ca="1">C7+C10+C16+C17+C18</f>
        <v>0</v>
      </c>
      <c r="D19" s="758"/>
      <c r="E19" s="747"/>
      <c r="F19" s="759"/>
      <c r="G19" s="763" t="s">
        <v>620</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65">
        <v>7</v>
      </c>
      <c r="B20" s="746" t="s">
        <v>621</v>
      </c>
      <c r="C20" s="747">
        <f ca="1">ROUND(C19*F20,0)</f>
        <v>0</v>
      </c>
      <c r="D20" s="758"/>
      <c r="E20" s="747"/>
      <c r="F20" s="1346"/>
      <c r="G20" s="763" t="s">
        <v>622</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65">
        <v>8</v>
      </c>
      <c r="B21" s="746" t="s">
        <v>623</v>
      </c>
      <c r="C21" s="747">
        <f ca="1">C19+C20</f>
        <v>0</v>
      </c>
      <c r="D21" s="758"/>
      <c r="E21" s="747"/>
      <c r="F21" s="759"/>
      <c r="G21" s="763" t="s">
        <v>624</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65">
        <v>9</v>
      </c>
      <c r="B22" s="746" t="s">
        <v>625</v>
      </c>
      <c r="C22" s="747">
        <f ca="1">ROUND(C21*F22,0)</f>
        <v>0</v>
      </c>
      <c r="D22" s="758"/>
      <c r="E22" s="747"/>
      <c r="F22" s="764">
        <f>'数据-取费表'!AP16</f>
        <v>0.93100000000000005</v>
      </c>
      <c r="G22" s="763" t="s">
        <v>626</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67">
        <v>10</v>
      </c>
      <c r="B23" s="765" t="s">
        <v>627</v>
      </c>
      <c r="C23" s="766">
        <f ca="1">C22</f>
        <v>0</v>
      </c>
      <c r="D23" s="767"/>
      <c r="E23" s="766"/>
      <c r="F23" s="768"/>
      <c r="G23" s="769"/>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E46" sqref="E46"/>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0" t="s">
        <v>1726</v>
      </c>
      <c r="B1" s="736"/>
      <c r="C1" s="771" t="s">
        <v>3174</v>
      </c>
      <c r="D1" s="3121" t="s">
        <v>3189</v>
      </c>
      <c r="E1" s="2383" t="s">
        <v>870</v>
      </c>
      <c r="F1" s="2384">
        <f ca="1">J53</f>
        <v>48.48</v>
      </c>
      <c r="G1" s="772">
        <f>MATCH(C1,'数据-取费表'!A6:A16,0)+5</f>
        <v>9</v>
      </c>
      <c r="H1" s="2046"/>
      <c r="I1" s="2047"/>
      <c r="J1" s="2047"/>
      <c r="K1" s="2048"/>
      <c r="L1" s="2047"/>
      <c r="M1" s="2047"/>
      <c r="N1" s="2049"/>
      <c r="O1" s="2049"/>
      <c r="P1" s="2049"/>
      <c r="Q1" s="2388"/>
      <c r="R1" s="2049"/>
      <c r="S1" s="2049"/>
      <c r="T1" s="2049"/>
      <c r="U1" s="2049"/>
      <c r="V1" s="2049"/>
      <c r="W1" s="2049"/>
      <c r="X1" s="2049"/>
      <c r="Y1" s="2049"/>
      <c r="Z1" s="2049"/>
      <c r="AA1" s="2049"/>
      <c r="AB1" s="2049"/>
      <c r="AC1" s="2049"/>
      <c r="AD1" s="2049"/>
      <c r="AE1" s="2049"/>
      <c r="AF1" s="2049"/>
      <c r="AG1" s="2049"/>
    </row>
    <row r="2" spans="1:33" ht="18" customHeight="1">
      <c r="A2" s="421" t="s">
        <v>467</v>
      </c>
      <c r="B2" s="773">
        <f ca="1">C40+J29+L46</f>
        <v>12510</v>
      </c>
      <c r="C2" s="2053"/>
      <c r="D2" s="2051"/>
      <c r="E2" s="2052"/>
      <c r="F2" s="2052"/>
      <c r="G2" s="1585"/>
      <c r="H2" s="2053"/>
      <c r="I2" s="2053"/>
      <c r="J2" s="2053"/>
      <c r="K2" s="2054"/>
      <c r="L2" s="2053"/>
      <c r="M2" s="2053"/>
    </row>
    <row r="3" spans="1:33" ht="18" customHeight="1" thickBot="1">
      <c r="A3" s="831" t="s">
        <v>519</v>
      </c>
      <c r="B3" s="832">
        <f ca="1">IF(ISERROR(B2*10000/F43),0,ROUND(B2*10000/F43,0))</f>
        <v>4451</v>
      </c>
      <c r="C3" s="2053"/>
      <c r="D3" s="2051"/>
      <c r="E3" s="2052"/>
      <c r="F3" s="2052"/>
      <c r="G3" s="1585"/>
      <c r="H3" s="774" t="s">
        <v>695</v>
      </c>
      <c r="I3" s="1360"/>
      <c r="J3" s="1360"/>
      <c r="K3" s="1586"/>
      <c r="L3" s="1360"/>
      <c r="M3" s="1360"/>
    </row>
    <row r="4" spans="1:33" ht="18" customHeight="1">
      <c r="A4" s="775" t="s">
        <v>630</v>
      </c>
      <c r="B4" s="776" t="s">
        <v>631</v>
      </c>
      <c r="C4" s="776" t="s">
        <v>632</v>
      </c>
      <c r="D4" s="776" t="s">
        <v>633</v>
      </c>
      <c r="E4" s="777" t="s">
        <v>634</v>
      </c>
      <c r="F4" s="778"/>
      <c r="G4" s="1587"/>
      <c r="H4" s="775" t="s">
        <v>630</v>
      </c>
      <c r="I4" s="776" t="s">
        <v>631</v>
      </c>
      <c r="J4" s="776" t="s">
        <v>632</v>
      </c>
      <c r="K4" s="776" t="s">
        <v>633</v>
      </c>
      <c r="L4" s="777" t="s">
        <v>634</v>
      </c>
      <c r="M4" s="778"/>
    </row>
    <row r="5" spans="1:33" ht="18" customHeight="1">
      <c r="A5" s="779">
        <v>1</v>
      </c>
      <c r="B5" s="780" t="s">
        <v>2458</v>
      </c>
      <c r="C5" s="55">
        <f ca="1">C6+C10+C12</f>
        <v>739</v>
      </c>
      <c r="D5" s="2492" t="s">
        <v>2461</v>
      </c>
      <c r="E5" s="2486"/>
      <c r="F5" s="2487"/>
      <c r="G5" s="1587"/>
      <c r="H5" s="779">
        <v>1</v>
      </c>
      <c r="I5" s="780" t="s">
        <v>2458</v>
      </c>
      <c r="J5" s="55">
        <f ca="1">J6+J10+J12</f>
        <v>0</v>
      </c>
      <c r="K5" s="2492" t="s">
        <v>2461</v>
      </c>
      <c r="L5" s="2486"/>
      <c r="M5" s="2487"/>
    </row>
    <row r="6" spans="1:33" ht="18" customHeight="1">
      <c r="A6" s="1826" t="s">
        <v>1825</v>
      </c>
      <c r="B6" s="3740" t="s">
        <v>2463</v>
      </c>
      <c r="C6" s="781">
        <f ca="1">ROUND(F6*F8*F7*(1-F9)/10000,0)</f>
        <v>739</v>
      </c>
      <c r="D6" s="2493" t="s">
        <v>2462</v>
      </c>
      <c r="E6" s="782" t="s">
        <v>637</v>
      </c>
      <c r="F6" s="783">
        <f ca="1">INDIRECT("'数据-取费表'!u"&amp;$G$1)</f>
        <v>0.8</v>
      </c>
      <c r="G6" s="1587"/>
      <c r="H6" s="2500" t="s">
        <v>1825</v>
      </c>
      <c r="I6" s="3740" t="s">
        <v>2463</v>
      </c>
      <c r="J6" s="781">
        <f ca="1">ROUND(M6*M8*M7*(1-M9)/10000,0)</f>
        <v>0</v>
      </c>
      <c r="K6" s="339" t="s">
        <v>636</v>
      </c>
      <c r="L6" s="782" t="s">
        <v>637</v>
      </c>
      <c r="M6" s="783">
        <f ca="1">INDIRECT("'数据-取费表'!z"&amp;$G$1)</f>
        <v>0</v>
      </c>
    </row>
    <row r="7" spans="1:33" ht="18" customHeight="1">
      <c r="A7" s="2496"/>
      <c r="B7" s="3741"/>
      <c r="C7" s="786"/>
      <c r="D7" s="787"/>
      <c r="E7" s="782" t="s">
        <v>638</v>
      </c>
      <c r="F7" s="783">
        <f ca="1">IF(INDIRECT("'数据-取费表'!ah"&amp;$G$1)="",INDIRECT("'数据-取费表'!k"&amp;$G$1),INDIRECT("'数据-取费表'!ah"&amp;$G$1))</f>
        <v>28104</v>
      </c>
      <c r="G7" s="1587"/>
      <c r="H7" s="2485"/>
      <c r="I7" s="3741"/>
      <c r="J7" s="786"/>
      <c r="K7" s="787"/>
      <c r="L7" s="782" t="s">
        <v>638</v>
      </c>
      <c r="M7" s="783">
        <f ca="1">F7</f>
        <v>28104</v>
      </c>
    </row>
    <row r="8" spans="1:33" ht="18" customHeight="1">
      <c r="A8" s="2489"/>
      <c r="B8" s="3742"/>
      <c r="C8" s="786"/>
      <c r="D8" s="787"/>
      <c r="E8" s="782" t="s">
        <v>639</v>
      </c>
      <c r="F8" s="783">
        <f ca="1">INDIRECT("'数据-取费表'!ai"&amp;$G$1)</f>
        <v>365</v>
      </c>
      <c r="G8" s="1587"/>
      <c r="H8" s="2485"/>
      <c r="I8" s="3742"/>
      <c r="J8" s="786"/>
      <c r="K8" s="787"/>
      <c r="L8" s="782" t="s">
        <v>639</v>
      </c>
      <c r="M8" s="783">
        <f ca="1">INDIRECT("'数据-取费表'!ai"&amp;$G$1)</f>
        <v>365</v>
      </c>
    </row>
    <row r="9" spans="1:33" ht="18" customHeight="1">
      <c r="A9" s="784"/>
      <c r="B9" s="3743"/>
      <c r="C9" s="786"/>
      <c r="D9" s="787"/>
      <c r="E9" s="782" t="s">
        <v>640</v>
      </c>
      <c r="F9" s="792">
        <f ca="1">INDIRECT("'数据-取费表'!w"&amp;$G$1)</f>
        <v>0.1</v>
      </c>
      <c r="G9" s="1587"/>
      <c r="H9" s="2501"/>
      <c r="I9" s="3742"/>
      <c r="J9" s="786"/>
      <c r="K9" s="787"/>
      <c r="L9" s="793" t="s">
        <v>640</v>
      </c>
      <c r="M9" s="794">
        <f ca="1">INDIRECT("'数据-取费表'!ab"&amp;$G$1)</f>
        <v>0</v>
      </c>
    </row>
    <row r="10" spans="1:33" ht="18" customHeight="1">
      <c r="A10" s="1826" t="s">
        <v>1826</v>
      </c>
      <c r="B10" s="2490" t="s">
        <v>2459</v>
      </c>
      <c r="C10" s="797">
        <f ca="1">ROUND(IF(F10="押一",C6/12*F11,IF(F10="押二",C6/12*2*F11,IF(F10="押三",C6/12*3*F11,C11*F11))),0)</f>
        <v>0</v>
      </c>
      <c r="D10" s="2497" t="s">
        <v>2975</v>
      </c>
      <c r="E10" s="2494" t="s">
        <v>2464</v>
      </c>
      <c r="F10" s="2617"/>
      <c r="G10" s="1587"/>
      <c r="H10" s="2557" t="s">
        <v>1826</v>
      </c>
      <c r="I10" s="2562" t="s">
        <v>2459</v>
      </c>
      <c r="J10" s="781">
        <f ca="1">ROUND(IF(M10="押一",J6/12*M11,IF(M10="押二",J6/12*2*M11,IF(M10="押三",J6/12*3*M11,J11*M11))),0)</f>
        <v>0</v>
      </c>
      <c r="K10" s="2497" t="s">
        <v>2975</v>
      </c>
      <c r="L10" s="2494" t="s">
        <v>2464</v>
      </c>
      <c r="M10" s="2617"/>
    </row>
    <row r="11" spans="1:33" ht="18" customHeight="1">
      <c r="A11" s="788"/>
      <c r="B11" s="2491" t="s">
        <v>2573</v>
      </c>
      <c r="C11" s="2495"/>
      <c r="D11" s="787"/>
      <c r="E11" s="2494" t="s">
        <v>2456</v>
      </c>
      <c r="F11" s="794">
        <f ca="1">'数据-取费表'!B39</f>
        <v>1.4999999999999999E-2</v>
      </c>
      <c r="G11" s="1587"/>
      <c r="H11" s="2558"/>
      <c r="I11" s="2491" t="s">
        <v>2573</v>
      </c>
      <c r="J11" s="2495"/>
      <c r="K11" s="2559"/>
      <c r="L11" s="2494" t="s">
        <v>2456</v>
      </c>
      <c r="M11" s="2488">
        <f ca="1">'数据-取费表'!B39</f>
        <v>1.4999999999999999E-2</v>
      </c>
    </row>
    <row r="12" spans="1:33" ht="18" customHeight="1" thickBot="1">
      <c r="A12" s="2533" t="s">
        <v>2467</v>
      </c>
      <c r="B12" s="2534" t="s">
        <v>2460</v>
      </c>
      <c r="C12" s="2535"/>
      <c r="D12" s="2536"/>
      <c r="E12" s="2537"/>
      <c r="F12" s="2538"/>
      <c r="G12" s="1587"/>
      <c r="H12" s="2547" t="s">
        <v>2467</v>
      </c>
      <c r="I12" s="2560" t="s">
        <v>2460</v>
      </c>
      <c r="J12" s="2561"/>
      <c r="K12" s="2536"/>
      <c r="L12" s="2537"/>
      <c r="M12" s="2550"/>
    </row>
    <row r="13" spans="1:33" ht="18" customHeight="1" thickTop="1">
      <c r="A13" s="1825">
        <v>2</v>
      </c>
      <c r="B13" s="1823" t="s">
        <v>644</v>
      </c>
      <c r="C13" s="790">
        <f ca="1">ROUND(C29*F13,0)</f>
        <v>8456</v>
      </c>
      <c r="D13" s="1830" t="s">
        <v>2297</v>
      </c>
      <c r="E13" s="1830" t="s">
        <v>643</v>
      </c>
      <c r="F13" s="2532">
        <f ca="1">INDIRECT("'数据-取费表'!y"&amp;$G$1)</f>
        <v>1</v>
      </c>
      <c r="G13" s="1587"/>
      <c r="H13" s="1825">
        <v>2</v>
      </c>
      <c r="I13" s="1823" t="s">
        <v>644</v>
      </c>
      <c r="J13" s="1815">
        <f ca="1">ROUND(J14*J15,0)</f>
        <v>0</v>
      </c>
      <c r="K13" s="1817" t="s">
        <v>642</v>
      </c>
      <c r="L13" s="2548"/>
      <c r="M13" s="2549"/>
    </row>
    <row r="14" spans="1:33" ht="18" customHeight="1">
      <c r="A14" s="1643" t="s">
        <v>1832</v>
      </c>
      <c r="B14" s="782" t="s">
        <v>645</v>
      </c>
      <c r="C14" s="802">
        <f ca="1">INDIRECT("'数据-取费表'!m"&amp;$G$1)+INDIRECT("'数据-取费表'!t"&amp;$G$1)</f>
        <v>6392</v>
      </c>
      <c r="D14" s="3178" t="s">
        <v>646</v>
      </c>
      <c r="E14" s="3179"/>
      <c r="F14" s="803"/>
      <c r="G14" s="1587"/>
      <c r="H14" s="1644" t="s">
        <v>1825</v>
      </c>
      <c r="I14" s="2227" t="s">
        <v>2824</v>
      </c>
      <c r="J14" s="53">
        <f ca="1">C29</f>
        <v>8456</v>
      </c>
      <c r="K14" s="26"/>
      <c r="L14" s="799"/>
      <c r="M14" s="800"/>
    </row>
    <row r="15" spans="1:33" s="2060" customFormat="1" ht="18" customHeight="1" thickBot="1">
      <c r="A15" s="1643" t="s">
        <v>1833</v>
      </c>
      <c r="B15" s="782" t="s">
        <v>647</v>
      </c>
      <c r="C15" s="53">
        <f ca="1">ROUND(C14*F15,0)</f>
        <v>192</v>
      </c>
      <c r="D15" s="804" t="s">
        <v>648</v>
      </c>
      <c r="E15" s="804" t="s">
        <v>649</v>
      </c>
      <c r="F15" s="805">
        <f>'数据-取费表'!B33</f>
        <v>0.03</v>
      </c>
      <c r="G15" s="1588"/>
      <c r="H15" s="2547" t="s">
        <v>1890</v>
      </c>
      <c r="I15" s="2542" t="s">
        <v>643</v>
      </c>
      <c r="J15" s="2551">
        <f ca="1">INDIRECT("'数据-取费表'!ad"&amp;$G$1)</f>
        <v>0</v>
      </c>
      <c r="K15" s="2552"/>
      <c r="L15" s="2553"/>
      <c r="M15" s="2554"/>
      <c r="N15" s="2059"/>
      <c r="O15" s="2059"/>
      <c r="P15" s="2059"/>
      <c r="Q15" s="2389"/>
      <c r="R15" s="2059"/>
      <c r="S15" s="2059"/>
      <c r="T15" s="2059"/>
      <c r="U15" s="2059"/>
      <c r="V15" s="2059"/>
      <c r="W15" s="2059"/>
      <c r="X15" s="2059"/>
      <c r="Y15" s="2059"/>
      <c r="Z15" s="2059"/>
      <c r="AA15" s="2059"/>
      <c r="AB15" s="2059"/>
      <c r="AC15" s="2059"/>
      <c r="AD15" s="2059"/>
      <c r="AE15" s="2059"/>
      <c r="AF15" s="2059"/>
      <c r="AG15" s="2059"/>
    </row>
    <row r="16" spans="1:33" ht="18" customHeight="1" thickTop="1">
      <c r="A16" s="1643" t="s">
        <v>1834</v>
      </c>
      <c r="B16" s="782" t="s">
        <v>650</v>
      </c>
      <c r="C16" s="53">
        <f ca="1">ROUND(INDIRECT("'数据-取费表'!m"&amp;$G$1)*F16,0)</f>
        <v>0</v>
      </c>
      <c r="D16" s="782" t="s">
        <v>648</v>
      </c>
      <c r="E16" s="782" t="s">
        <v>649</v>
      </c>
      <c r="F16" s="807">
        <f ca="1">IF(INDIRECT("'数据-取费表'!c"&amp;$G$1)="住宅",'数据-取费表'!B34,0)</f>
        <v>0</v>
      </c>
      <c r="G16" s="1587"/>
      <c r="H16" s="1825" t="s">
        <v>1749</v>
      </c>
      <c r="I16" s="1823" t="s">
        <v>651</v>
      </c>
      <c r="J16" s="790">
        <f ca="1">ROUND(J17+J22+J23+J24,0)</f>
        <v>846</v>
      </c>
      <c r="K16" s="1817" t="s">
        <v>652</v>
      </c>
      <c r="L16" s="3180"/>
      <c r="M16" s="2487"/>
    </row>
    <row r="17" spans="1:33" s="2060" customFormat="1" ht="18" customHeight="1">
      <c r="A17" s="1643" t="s">
        <v>1888</v>
      </c>
      <c r="B17" s="782" t="s">
        <v>653</v>
      </c>
      <c r="C17" s="53">
        <f ca="1">ROUND(F17*(F43+INDIRECT("'数据-取费表'!S"&amp;$G$1))/10000,0)</f>
        <v>639</v>
      </c>
      <c r="D17" s="782" t="s">
        <v>654</v>
      </c>
      <c r="E17" s="782" t="s">
        <v>655</v>
      </c>
      <c r="F17" s="56">
        <f>'数据-取费表'!B35</f>
        <v>200</v>
      </c>
      <c r="G17" s="1588"/>
      <c r="H17" s="1644" t="s">
        <v>1825</v>
      </c>
      <c r="I17" s="782" t="s">
        <v>656</v>
      </c>
      <c r="J17" s="53">
        <f ca="1">ROUND(IF(项目基本情况!B11="自然人",J5*M17,J18+J19+J20),0)</f>
        <v>719</v>
      </c>
      <c r="K17" s="3178" t="s">
        <v>657</v>
      </c>
      <c r="L17" s="3176" t="s">
        <v>658</v>
      </c>
      <c r="M17" s="808" t="str">
        <f ca="1">IF(项目基本情况!B11="企业","",IF(INDIRECT("'数据-取费表'!c"&amp;$G$1)="住宅",5%,IF(M6*M7*M8/12/(1+'数据-取费表'!C42)&gt;20000,12%,7%)))</f>
        <v/>
      </c>
      <c r="N17" s="2059"/>
      <c r="O17" s="2059"/>
      <c r="P17" s="2059"/>
      <c r="Q17" s="2389"/>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3" t="s">
        <v>1889</v>
      </c>
      <c r="B18" s="782" t="s">
        <v>659</v>
      </c>
      <c r="C18" s="53">
        <f ca="1">ROUND(C14*F18,0)</f>
        <v>96</v>
      </c>
      <c r="D18" s="782" t="s">
        <v>648</v>
      </c>
      <c r="E18" s="782" t="s">
        <v>649</v>
      </c>
      <c r="F18" s="807">
        <f>'数据-取费表'!B36</f>
        <v>1.4999999999999999E-2</v>
      </c>
      <c r="G18" s="1588"/>
      <c r="H18" s="1643" t="s">
        <v>1832</v>
      </c>
      <c r="I18" s="782" t="s">
        <v>660</v>
      </c>
      <c r="J18" s="53">
        <f ca="1">ROUND(J5*M18/1.05,1)</f>
        <v>0</v>
      </c>
      <c r="K18" s="3176" t="s">
        <v>661</v>
      </c>
      <c r="L18" s="782" t="s">
        <v>649</v>
      </c>
      <c r="M18" s="807">
        <f>'数据-取费表'!B41</f>
        <v>5.6000000000000001E-2</v>
      </c>
      <c r="N18" s="2059"/>
      <c r="O18" s="2059"/>
      <c r="P18" s="2059"/>
      <c r="Q18" s="2389"/>
      <c r="R18" s="2059"/>
      <c r="S18" s="2059"/>
      <c r="T18" s="2059"/>
      <c r="U18" s="2059"/>
      <c r="V18" s="2059"/>
      <c r="W18" s="2059"/>
      <c r="X18" s="2059"/>
      <c r="Y18" s="2059"/>
      <c r="Z18" s="2059"/>
      <c r="AA18" s="2059"/>
      <c r="AB18" s="2059"/>
      <c r="AC18" s="2059"/>
      <c r="AD18" s="2059"/>
      <c r="AE18" s="2059"/>
      <c r="AF18" s="2059"/>
      <c r="AG18" s="2059"/>
    </row>
    <row r="19" spans="1:33" ht="18" customHeight="1">
      <c r="A19" s="1644" t="s">
        <v>1825</v>
      </c>
      <c r="B19" s="782" t="s">
        <v>662</v>
      </c>
      <c r="C19" s="53">
        <f ca="1">SUM(C14:C18)</f>
        <v>7319</v>
      </c>
      <c r="D19" s="259" t="s">
        <v>663</v>
      </c>
      <c r="E19" s="3186"/>
      <c r="F19" s="56"/>
      <c r="G19" s="1587"/>
      <c r="H19" s="1643" t="s">
        <v>1833</v>
      </c>
      <c r="I19" s="782" t="s">
        <v>664</v>
      </c>
      <c r="J19" s="53">
        <f ca="1">IF(K19="按租金收入计税",ROUND(J5*M19,1),ROUND(C29*F33*0.7,1))</f>
        <v>710.3</v>
      </c>
      <c r="K19" s="809" t="s">
        <v>665</v>
      </c>
      <c r="L19" s="782" t="s">
        <v>649</v>
      </c>
      <c r="M19" s="807">
        <f>IF(K19="按租金收入计税",'数据-取费表'!B51,'数据-取费表'!B50)</f>
        <v>1.2E-2</v>
      </c>
    </row>
    <row r="20" spans="1:33" s="2060" customFormat="1" ht="18" customHeight="1">
      <c r="A20" s="1644" t="s">
        <v>1890</v>
      </c>
      <c r="B20" s="782" t="s">
        <v>666</v>
      </c>
      <c r="C20" s="53">
        <f ca="1">ROUND(C19*F20,0)</f>
        <v>110</v>
      </c>
      <c r="D20" s="810" t="s">
        <v>667</v>
      </c>
      <c r="E20" s="782" t="s">
        <v>649</v>
      </c>
      <c r="F20" s="807">
        <f>'数据-取费表'!B37</f>
        <v>1.4999999999999999E-2</v>
      </c>
      <c r="G20" s="1588"/>
      <c r="H20" s="1646" t="s">
        <v>1834</v>
      </c>
      <c r="I20" s="339" t="s">
        <v>668</v>
      </c>
      <c r="J20" s="54">
        <f ca="1">ROUND(M20*M21/10000,0)</f>
        <v>9</v>
      </c>
      <c r="K20" s="812" t="s">
        <v>669</v>
      </c>
      <c r="L20" s="782" t="s">
        <v>670</v>
      </c>
      <c r="M20" s="638">
        <f>'数据-取费表'!B52</f>
        <v>7</v>
      </c>
      <c r="N20" s="2059"/>
      <c r="O20" s="2059"/>
      <c r="P20" s="2059"/>
      <c r="Q20" s="2389"/>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4" t="s">
        <v>1891</v>
      </c>
      <c r="B21" s="782" t="s">
        <v>671</v>
      </c>
      <c r="C21" s="53" t="s">
        <v>1765</v>
      </c>
      <c r="D21" s="810" t="s">
        <v>2298</v>
      </c>
      <c r="E21" s="782" t="s">
        <v>673</v>
      </c>
      <c r="F21" s="807">
        <f>'数据-取费表'!B38</f>
        <v>0.01</v>
      </c>
      <c r="G21" s="1588"/>
      <c r="H21" s="2502"/>
      <c r="I21" s="791"/>
      <c r="J21" s="69"/>
      <c r="K21" s="814"/>
      <c r="L21" s="782" t="s">
        <v>674</v>
      </c>
      <c r="M21" s="783">
        <f ca="1">INDIRECT("'数据-取费表'!r"&amp;$G$1)</f>
        <v>12605.28</v>
      </c>
      <c r="N21" s="2059"/>
      <c r="O21" s="2059"/>
      <c r="P21" s="2059"/>
      <c r="Q21" s="2389"/>
      <c r="R21" s="2059"/>
      <c r="S21" s="2059"/>
      <c r="T21" s="2059"/>
      <c r="U21" s="2059"/>
      <c r="V21" s="2059"/>
      <c r="W21" s="2059"/>
      <c r="X21" s="2059"/>
      <c r="Y21" s="2059"/>
      <c r="Z21" s="2059"/>
      <c r="AA21" s="2059"/>
      <c r="AB21" s="2059"/>
      <c r="AC21" s="2059"/>
      <c r="AD21" s="2059"/>
      <c r="AE21" s="2059"/>
      <c r="AF21" s="2059"/>
      <c r="AG21" s="2059"/>
    </row>
    <row r="22" spans="1:33" ht="18" customHeight="1">
      <c r="A22" s="1644" t="s">
        <v>1892</v>
      </c>
      <c r="B22" s="782" t="s">
        <v>675</v>
      </c>
      <c r="C22" s="53"/>
      <c r="D22" s="2568" t="str">
        <f>IF(F23&lt;=1,"单利计息。","复利计息。")&amp;"建造成本、管理费用、销售费用产生的利息。"</f>
        <v>复利计息。建造成本、管理费用、销售费用产生的利息。</v>
      </c>
      <c r="E22" s="3186"/>
      <c r="F22" s="56"/>
      <c r="G22" s="1587"/>
      <c r="H22" s="1644" t="s">
        <v>1890</v>
      </c>
      <c r="I22" s="782" t="s">
        <v>676</v>
      </c>
      <c r="J22" s="53">
        <f ca="1">ROUND(J14*M22,0)</f>
        <v>127</v>
      </c>
      <c r="K22" s="3176" t="s">
        <v>677</v>
      </c>
      <c r="L22" s="782" t="s">
        <v>649</v>
      </c>
      <c r="M22" s="815">
        <f ca="1">INDIRECT("'数据-取费表'!Ak"&amp;$G$1)</f>
        <v>1.4999999999999999E-2</v>
      </c>
    </row>
    <row r="23" spans="1:33" s="2060" customFormat="1" ht="18" customHeight="1">
      <c r="A23" s="1643" t="s">
        <v>1832</v>
      </c>
      <c r="B23" s="782" t="s">
        <v>2437</v>
      </c>
      <c r="C23" s="53">
        <f ca="1">ROUND(IF('数据-取费表'!B22&lt;=1,(C19+C20)*F24*F23/2,(C19+C20)*(POWER((1+F24),F23/2)-1)),0)</f>
        <v>263</v>
      </c>
      <c r="D23" s="2567" t="str">
        <f>IF(F23&lt;=1,"(建造成本+管理费用)×利率×(建设周期÷2)","(建造成本+管理费用)×((1+利率)^(建设周期÷2)-1)")</f>
        <v>(建造成本+管理费用)×((1+利率)^(建设周期÷2)-1)</v>
      </c>
      <c r="E23" s="782" t="s">
        <v>678</v>
      </c>
      <c r="F23" s="638">
        <f>'数据-取费表'!B20</f>
        <v>1.5</v>
      </c>
      <c r="G23" s="1588"/>
      <c r="H23" s="1644" t="s">
        <v>1891</v>
      </c>
      <c r="I23" s="782" t="s">
        <v>679</v>
      </c>
      <c r="J23" s="53">
        <f ca="1">ROUND(J13*M23,0)</f>
        <v>0</v>
      </c>
      <c r="K23" s="3176" t="s">
        <v>680</v>
      </c>
      <c r="L23" s="782" t="s">
        <v>649</v>
      </c>
      <c r="M23" s="816">
        <f ca="1">INDIRECT("'数据-取费表'!Al"&amp;$G$1)</f>
        <v>1.5E-3</v>
      </c>
      <c r="N23" s="2059"/>
      <c r="O23" s="2059"/>
      <c r="P23" s="2059"/>
      <c r="Q23" s="2389"/>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3" t="s">
        <v>1833</v>
      </c>
      <c r="B24" s="782" t="s">
        <v>681</v>
      </c>
      <c r="C24" s="53">
        <f ca="1">ROUND(IF('数据-取费表'!B22&lt;=1,F21*F24*F23/2,F21*(POWER((1+F24),F23/2)-1)),4)</f>
        <v>4.0000000000000002E-4</v>
      </c>
      <c r="D24" s="2567" t="str">
        <f>IF(F23&lt;=1,"销售费用×利率×(建设周期÷2)","销售费用×((1+利率)^(建设周期÷2)-1)")</f>
        <v>销售费用×((1+利率)^(建设周期÷2)-1)</v>
      </c>
      <c r="E24" s="782" t="s">
        <v>682</v>
      </c>
      <c r="F24" s="817">
        <f ca="1">'数据-取费表'!B40</f>
        <v>4.7500000000000001E-2</v>
      </c>
      <c r="G24" s="1588"/>
      <c r="H24" s="2547" t="s">
        <v>1892</v>
      </c>
      <c r="I24" s="2542" t="s">
        <v>666</v>
      </c>
      <c r="J24" s="2540">
        <f ca="1">ROUND(J5*M24,0)</f>
        <v>0</v>
      </c>
      <c r="K24" s="2541" t="s">
        <v>683</v>
      </c>
      <c r="L24" s="2542" t="s">
        <v>649</v>
      </c>
      <c r="M24" s="2538">
        <f ca="1">INDIRECT("'数据-取费表'!Am"&amp;$G$1)</f>
        <v>0.01</v>
      </c>
      <c r="N24" s="2059"/>
      <c r="O24" s="2059"/>
      <c r="P24" s="2059"/>
      <c r="Q24" s="2389"/>
      <c r="R24" s="2059"/>
      <c r="S24" s="2059"/>
      <c r="T24" s="2059"/>
      <c r="U24" s="2059"/>
      <c r="V24" s="2059"/>
      <c r="W24" s="2059"/>
      <c r="X24" s="2059"/>
      <c r="Y24" s="2059"/>
      <c r="Z24" s="2059"/>
      <c r="AA24" s="2059"/>
      <c r="AB24" s="2059"/>
      <c r="AC24" s="2059"/>
      <c r="AD24" s="2059"/>
      <c r="AE24" s="2059"/>
      <c r="AF24" s="2059"/>
      <c r="AG24" s="2059"/>
    </row>
    <row r="25" spans="1:33" ht="18" customHeight="1" thickTop="1">
      <c r="A25" s="1645" t="s">
        <v>1841</v>
      </c>
      <c r="B25" s="782" t="s">
        <v>684</v>
      </c>
      <c r="C25" s="53"/>
      <c r="D25" s="259" t="s">
        <v>685</v>
      </c>
      <c r="E25" s="3186"/>
      <c r="F25" s="56"/>
      <c r="G25" s="1587"/>
      <c r="H25" s="1825" t="s">
        <v>1777</v>
      </c>
      <c r="I25" s="3006" t="s">
        <v>2821</v>
      </c>
      <c r="J25" s="790">
        <f ca="1">J5-J16</f>
        <v>-846</v>
      </c>
      <c r="K25" s="2544" t="s">
        <v>700</v>
      </c>
      <c r="L25" s="2545"/>
      <c r="M25" s="2546"/>
    </row>
    <row r="26" spans="1:33" ht="18" customHeight="1">
      <c r="A26" s="1643" t="s">
        <v>1832</v>
      </c>
      <c r="B26" s="782" t="s">
        <v>2438</v>
      </c>
      <c r="C26" s="53">
        <f ca="1">ROUND((C19+C20)*F26,0)</f>
        <v>223</v>
      </c>
      <c r="D26" s="810" t="s">
        <v>701</v>
      </c>
      <c r="E26" s="793" t="s">
        <v>702</v>
      </c>
      <c r="F26" s="792">
        <f ca="1">INDIRECT("'数据-取费表'!q"&amp;$G$1)</f>
        <v>0.03</v>
      </c>
      <c r="G26" s="1587"/>
      <c r="H26" s="2498" t="s">
        <v>1781</v>
      </c>
      <c r="I26" s="2228" t="s">
        <v>2826</v>
      </c>
      <c r="J26" s="781">
        <f ca="1">IF(J5&lt;&gt;0,ROUND(J25*(1-((1+M28)/(1+M26))^M27)/(M26-M28),0),0)</f>
        <v>0</v>
      </c>
      <c r="K26" s="812" t="s">
        <v>704</v>
      </c>
      <c r="L26" s="782" t="s">
        <v>2419</v>
      </c>
      <c r="M26" s="792">
        <f ca="1">INDIRECT("'数据-取费表'!I"&amp;$G$1)</f>
        <v>5.5E-2</v>
      </c>
    </row>
    <row r="27" spans="1:33" ht="18" customHeight="1">
      <c r="A27" s="1643" t="s">
        <v>1833</v>
      </c>
      <c r="B27" s="782" t="s">
        <v>686</v>
      </c>
      <c r="C27" s="53">
        <f ca="1">ROUND(F21*F26,4)</f>
        <v>2.9999999999999997E-4</v>
      </c>
      <c r="D27" s="810" t="s">
        <v>706</v>
      </c>
      <c r="E27" s="804"/>
      <c r="F27" s="805"/>
      <c r="G27" s="1587"/>
      <c r="H27" s="2499"/>
      <c r="I27" s="785"/>
      <c r="J27" s="786"/>
      <c r="K27" s="819" t="s">
        <v>707</v>
      </c>
      <c r="L27" s="782" t="s">
        <v>708</v>
      </c>
      <c r="M27" s="820">
        <f ca="1">INDIRECT("'数据-取费表'!ag"&amp;$G$1)</f>
        <v>0</v>
      </c>
    </row>
    <row r="28" spans="1:33" s="2060" customFormat="1" ht="18" customHeight="1">
      <c r="A28" s="1645" t="s">
        <v>1842</v>
      </c>
      <c r="B28" s="782" t="s">
        <v>687</v>
      </c>
      <c r="C28" s="53">
        <f>ROUND(F28/(1+'数据-取费表'!C42),4)</f>
        <v>5.33E-2</v>
      </c>
      <c r="D28" s="810" t="s">
        <v>2299</v>
      </c>
      <c r="E28" s="782" t="s">
        <v>649</v>
      </c>
      <c r="F28" s="807">
        <f>'数据-取费表'!B41</f>
        <v>5.6000000000000001E-2</v>
      </c>
      <c r="G28" s="1588"/>
      <c r="H28" s="1825"/>
      <c r="I28" s="789"/>
      <c r="J28" s="790"/>
      <c r="K28" s="814"/>
      <c r="L28" s="782" t="s">
        <v>710</v>
      </c>
      <c r="M28" s="792">
        <f ca="1">INDIRECT("'数据-取费表'!aa"&amp;$G$1)</f>
        <v>0</v>
      </c>
      <c r="N28" s="2059"/>
      <c r="O28" s="2059"/>
      <c r="P28" s="2059"/>
      <c r="Q28" s="2389"/>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39" t="s">
        <v>1893</v>
      </c>
      <c r="B29" s="2537" t="s">
        <v>2300</v>
      </c>
      <c r="C29" s="2540">
        <f ca="1">ROUND((C19+C20+C23+C26)/(1-F21-C24-C27-C28),0)</f>
        <v>8456</v>
      </c>
      <c r="D29" s="2541"/>
      <c r="E29" s="2542"/>
      <c r="F29" s="2543"/>
      <c r="G29" s="1588"/>
      <c r="H29" s="821" t="s">
        <v>1788</v>
      </c>
      <c r="I29" s="822" t="s">
        <v>1789</v>
      </c>
      <c r="J29" s="823">
        <f ca="1">ROUND(J26/(1+F40)^F41,0)</f>
        <v>0</v>
      </c>
      <c r="K29" s="824" t="s">
        <v>688</v>
      </c>
      <c r="L29" s="825"/>
      <c r="M29" s="826">
        <f ca="1">INDIRECT("'数据-取费表'!k"&amp;$G$1)</f>
        <v>28104</v>
      </c>
      <c r="N29" s="2059"/>
      <c r="O29" s="2059"/>
      <c r="P29" s="2059"/>
      <c r="Q29" s="2389"/>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1749</v>
      </c>
      <c r="B30" s="1823" t="s">
        <v>651</v>
      </c>
      <c r="C30" s="790">
        <f ca="1">ROUND(C31+C36+C37+C38,0)</f>
        <v>284</v>
      </c>
      <c r="D30" s="1817" t="s">
        <v>652</v>
      </c>
      <c r="E30" s="3180"/>
      <c r="F30" s="2487"/>
      <c r="G30" s="2058"/>
      <c r="H30" s="2061"/>
      <c r="I30" s="2062"/>
      <c r="J30" s="2063"/>
      <c r="K30" s="2064"/>
      <c r="L30" s="2065"/>
      <c r="M30" s="2066"/>
    </row>
    <row r="31" spans="1:33" ht="18" customHeight="1">
      <c r="A31" s="1644" t="s">
        <v>1825</v>
      </c>
      <c r="B31" s="782" t="s">
        <v>656</v>
      </c>
      <c r="C31" s="53">
        <f ca="1">ROUND(IF(项目基本情况!B11="自然人",C5*F31,C32+C33+C34),1)</f>
        <v>136.9</v>
      </c>
      <c r="D31" s="3178" t="s">
        <v>657</v>
      </c>
      <c r="E31" s="3176" t="s">
        <v>690</v>
      </c>
      <c r="F31" s="808" t="str">
        <f ca="1">IF(项目基本情况!B11="企业","",IF(INDIRECT("'数据-取费表'!c"&amp;$G$1)="住宅",5%,IF(F6*F7*F8/12/(1+'数据-取费表'!C42)&gt;20000,12%,7%)))</f>
        <v/>
      </c>
      <c r="G31" s="2058"/>
      <c r="H31" s="2061"/>
      <c r="I31" s="2062"/>
      <c r="J31" s="2063"/>
      <c r="K31" s="2064"/>
      <c r="L31" s="2065"/>
      <c r="M31" s="2066"/>
    </row>
    <row r="32" spans="1:33" ht="18" customHeight="1">
      <c r="A32" s="1643" t="s">
        <v>1832</v>
      </c>
      <c r="B32" s="782" t="s">
        <v>660</v>
      </c>
      <c r="C32" s="53">
        <f ca="1">ROUND(C5*F32/1.05,1)</f>
        <v>39.4</v>
      </c>
      <c r="D32" s="3176" t="s">
        <v>661</v>
      </c>
      <c r="E32" s="782" t="s">
        <v>649</v>
      </c>
      <c r="F32" s="807">
        <f>'数据-取费表'!B41</f>
        <v>5.6000000000000001E-2</v>
      </c>
      <c r="G32" s="2058"/>
      <c r="H32" s="2067"/>
      <c r="I32" s="2068"/>
      <c r="J32" s="2069"/>
      <c r="K32" s="2070"/>
      <c r="L32" s="2071"/>
      <c r="M32" s="2072"/>
    </row>
    <row r="33" spans="1:18" ht="18" customHeight="1">
      <c r="A33" s="1643" t="s">
        <v>1833</v>
      </c>
      <c r="B33" s="782" t="s">
        <v>664</v>
      </c>
      <c r="C33" s="53">
        <f ca="1">IF(D33="按租金收入计税",ROUND(C5*F33,1),IF(D33="按房产原值计税",ROUND(C29*F33*0.7,1),INDIRECT("'数据-取费表'!Aj"&amp;$G$1)))</f>
        <v>88.7</v>
      </c>
      <c r="D33" s="809" t="s">
        <v>3188</v>
      </c>
      <c r="E33" s="782" t="s">
        <v>649</v>
      </c>
      <c r="F33" s="807">
        <f>IF(D33="按租金收入计税",'数据-取费表'!B51,'数据-取费表'!B50)</f>
        <v>0.12</v>
      </c>
      <c r="G33" s="2058"/>
      <c r="H33" s="2073"/>
      <c r="I33" s="2073"/>
      <c r="J33" s="2073"/>
      <c r="K33" s="2074"/>
      <c r="L33" s="2073"/>
      <c r="M33" s="2073"/>
    </row>
    <row r="34" spans="1:18" ht="18" customHeight="1">
      <c r="A34" s="1646" t="s">
        <v>1834</v>
      </c>
      <c r="B34" s="339" t="s">
        <v>668</v>
      </c>
      <c r="C34" s="54">
        <f ca="1">ROUND(F34*F35/10000,1)</f>
        <v>8.8000000000000007</v>
      </c>
      <c r="D34" s="812" t="s">
        <v>669</v>
      </c>
      <c r="E34" s="782" t="s">
        <v>670</v>
      </c>
      <c r="F34" s="638">
        <f>'数据-取费表'!B52</f>
        <v>7</v>
      </c>
      <c r="G34" s="2058"/>
      <c r="H34" s="2061"/>
      <c r="I34" s="833" t="s">
        <v>1814</v>
      </c>
      <c r="J34" s="834"/>
      <c r="K34" s="2076"/>
      <c r="L34" s="2075"/>
      <c r="M34" s="2075"/>
    </row>
    <row r="35" spans="1:18" ht="18" customHeight="1">
      <c r="A35" s="813"/>
      <c r="B35" s="791"/>
      <c r="C35" s="69"/>
      <c r="D35" s="814"/>
      <c r="E35" s="782" t="s">
        <v>674</v>
      </c>
      <c r="F35" s="783">
        <f ca="1">INDIRECT("'数据-取费表'!r"&amp;$G$1)</f>
        <v>12605.28</v>
      </c>
      <c r="G35" s="2058"/>
      <c r="H35" s="2061"/>
      <c r="I35" s="835" t="s">
        <v>1815</v>
      </c>
      <c r="J35" s="836">
        <f ca="1">ROUND(C13*J36,0)</f>
        <v>719</v>
      </c>
      <c r="K35" s="2074"/>
      <c r="L35" s="2073"/>
      <c r="M35" s="2073"/>
    </row>
    <row r="36" spans="1:18" ht="18" customHeight="1">
      <c r="A36" s="1644" t="s">
        <v>1890</v>
      </c>
      <c r="B36" s="782" t="s">
        <v>676</v>
      </c>
      <c r="C36" s="53">
        <f ca="1">ROUND(C29*F36,1)</f>
        <v>126.8</v>
      </c>
      <c r="D36" s="3176" t="s">
        <v>691</v>
      </c>
      <c r="E36" s="782" t="s">
        <v>649</v>
      </c>
      <c r="F36" s="815">
        <f ca="1">INDIRECT("'数据-取费表'!Ak"&amp;$G$1)</f>
        <v>1.4999999999999999E-2</v>
      </c>
      <c r="G36" s="2058"/>
      <c r="H36" s="2073"/>
      <c r="I36" s="837" t="s">
        <v>1816</v>
      </c>
      <c r="J36" s="838">
        <f ca="1">INDIRECT("'数据-取费表'!j"&amp;$G$1)</f>
        <v>8.5000000000000006E-2</v>
      </c>
      <c r="K36" s="2078"/>
      <c r="L36" s="2073"/>
      <c r="M36" s="2073"/>
    </row>
    <row r="37" spans="1:18" ht="18" customHeight="1">
      <c r="A37" s="1644" t="s">
        <v>1891</v>
      </c>
      <c r="B37" s="782" t="s">
        <v>679</v>
      </c>
      <c r="C37" s="53">
        <f ca="1">ROUND(C13*F37,1)</f>
        <v>12.7</v>
      </c>
      <c r="D37" s="3176" t="s">
        <v>680</v>
      </c>
      <c r="E37" s="782" t="s">
        <v>649</v>
      </c>
      <c r="F37" s="816">
        <f ca="1">INDIRECT("'数据-取费表'!Al"&amp;$G$1)</f>
        <v>1.5E-3</v>
      </c>
      <c r="G37" s="2058"/>
      <c r="H37" s="2073"/>
      <c r="I37" s="839" t="s">
        <v>1817</v>
      </c>
      <c r="J37" s="840"/>
      <c r="K37" s="2078"/>
      <c r="L37" s="2073"/>
      <c r="M37" s="2073"/>
    </row>
    <row r="38" spans="1:18" ht="18" customHeight="1" thickBot="1">
      <c r="A38" s="2547" t="s">
        <v>1892</v>
      </c>
      <c r="B38" s="2542" t="s">
        <v>666</v>
      </c>
      <c r="C38" s="2540">
        <f ca="1">ROUND(C5*F38,1)</f>
        <v>7.4</v>
      </c>
      <c r="D38" s="2541" t="s">
        <v>683</v>
      </c>
      <c r="E38" s="2542" t="s">
        <v>649</v>
      </c>
      <c r="F38" s="2538">
        <f ca="1">INDIRECT("'数据-取费表'!Am"&amp;$G$1)</f>
        <v>0.01</v>
      </c>
      <c r="G38" s="2058"/>
      <c r="H38" s="2073"/>
      <c r="I38" s="841" t="s">
        <v>1818</v>
      </c>
      <c r="J38" s="842"/>
      <c r="K38" s="2079"/>
      <c r="L38" s="2073"/>
      <c r="M38" s="2073"/>
    </row>
    <row r="39" spans="1:18" ht="24.6" customHeight="1" thickTop="1">
      <c r="A39" s="1825" t="s">
        <v>1777</v>
      </c>
      <c r="B39" s="3006" t="s">
        <v>2821</v>
      </c>
      <c r="C39" s="790">
        <f ca="1">C5-C30</f>
        <v>455</v>
      </c>
      <c r="D39" s="2544" t="s">
        <v>700</v>
      </c>
      <c r="E39" s="2545"/>
      <c r="F39" s="2546"/>
      <c r="G39" s="2058"/>
      <c r="H39" s="2073"/>
      <c r="I39" s="835" t="s">
        <v>1819</v>
      </c>
      <c r="J39" s="843">
        <f ca="1">ROUND(J35/C39,3)</f>
        <v>1.58</v>
      </c>
      <c r="K39" s="2079"/>
      <c r="L39" s="2073"/>
      <c r="M39" s="2073"/>
    </row>
    <row r="40" spans="1:18" ht="18" customHeight="1">
      <c r="A40" s="779" t="s">
        <v>1781</v>
      </c>
      <c r="B40" s="2228" t="s">
        <v>2301</v>
      </c>
      <c r="C40" s="781">
        <f ca="1">ROUND(C39*(1-((1+F42)/(1+F40))^F41)/(F40-F42),0)</f>
        <v>12510</v>
      </c>
      <c r="D40" s="812" t="s">
        <v>704</v>
      </c>
      <c r="E40" s="782" t="s">
        <v>2419</v>
      </c>
      <c r="F40" s="792">
        <f ca="1">INDIRECT("'数据-取费表'!I"&amp;$G$1)</f>
        <v>5.5E-2</v>
      </c>
      <c r="G40" s="2058"/>
      <c r="H40" s="2058"/>
      <c r="I40" s="835" t="s">
        <v>1820</v>
      </c>
      <c r="J40" s="843">
        <f ca="1">1-J39</f>
        <v>-0.58000000000000007</v>
      </c>
      <c r="K40" s="2079"/>
      <c r="L40" s="2058"/>
      <c r="M40" s="2058"/>
    </row>
    <row r="41" spans="1:18" ht="18" customHeight="1">
      <c r="A41" s="784"/>
      <c r="B41" s="785"/>
      <c r="C41" s="786"/>
      <c r="D41" s="819" t="s">
        <v>1809</v>
      </c>
      <c r="E41" s="782" t="s">
        <v>708</v>
      </c>
      <c r="F41" s="820">
        <f ca="1">IF(INDIRECT("'数据-取费表'!af"&amp;$G$1)=0,INDIRECT("'数据-取费表'!ae"&amp;$G$1),INDIRECT("'数据-取费表'!af"&amp;$G$1))</f>
        <v>48.48</v>
      </c>
      <c r="G41" s="2058"/>
      <c r="H41" s="1984"/>
      <c r="I41" s="841" t="s">
        <v>1821</v>
      </c>
      <c r="J41" s="844"/>
      <c r="K41" s="2078"/>
      <c r="L41" s="1984"/>
      <c r="M41" s="1984"/>
    </row>
    <row r="42" spans="1:18" ht="18" customHeight="1">
      <c r="A42" s="788"/>
      <c r="B42" s="789"/>
      <c r="C42" s="790"/>
      <c r="D42" s="814"/>
      <c r="E42" s="782" t="s">
        <v>710</v>
      </c>
      <c r="F42" s="792">
        <f ca="1">INDIRECT("'数据-取费表'!v"&amp;$G$1)</f>
        <v>0.03</v>
      </c>
      <c r="G42" s="2058"/>
      <c r="H42" s="1984"/>
      <c r="I42" s="845" t="s">
        <v>1822</v>
      </c>
      <c r="J42" s="843">
        <f ca="1">ROUND(C13/C40,3)</f>
        <v>0.67600000000000005</v>
      </c>
      <c r="K42" s="2078"/>
      <c r="L42" s="1984"/>
      <c r="M42" s="1984"/>
    </row>
    <row r="43" spans="1:18" ht="18" customHeight="1" thickBot="1">
      <c r="A43" s="821" t="s">
        <v>1788</v>
      </c>
      <c r="B43" s="822" t="s">
        <v>1811</v>
      </c>
      <c r="C43" s="823">
        <f ca="1">ROUND(C40*10000/F43,0)</f>
        <v>4451</v>
      </c>
      <c r="D43" s="824" t="s">
        <v>1812</v>
      </c>
      <c r="E43" s="825" t="s">
        <v>1813</v>
      </c>
      <c r="F43" s="826">
        <f ca="1">INDIRECT("'数据-取费表'!k"&amp;$G$1)</f>
        <v>28104</v>
      </c>
      <c r="G43" s="2058"/>
      <c r="H43" s="1984"/>
      <c r="I43" s="845" t="s">
        <v>1823</v>
      </c>
      <c r="J43" s="846">
        <f ca="1">1-J42</f>
        <v>0.32399999999999995</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2295</v>
      </c>
      <c r="B46" s="2081"/>
      <c r="C46" s="2570">
        <f ca="1">C67-C40</f>
        <v>-15000</v>
      </c>
      <c r="D46" s="2081"/>
      <c r="E46" s="2081"/>
      <c r="F46" s="2081"/>
      <c r="I46" s="2374" t="s">
        <v>2343</v>
      </c>
      <c r="J46" s="2375"/>
      <c r="K46" s="2376"/>
      <c r="L46" s="3156">
        <f>IF(OR(M47="住宅",D1="土地（套用方法）"),0,IF(L48&gt;J51,L60,J60))</f>
        <v>0</v>
      </c>
      <c r="O46" s="2390" t="s">
        <v>2410</v>
      </c>
      <c r="P46" s="1587"/>
      <c r="Q46" s="1599"/>
      <c r="R46" s="1587"/>
    </row>
    <row r="47" spans="1:18" s="2055" customFormat="1" ht="18" customHeight="1" thickBot="1">
      <c r="A47" s="2368">
        <v>1</v>
      </c>
      <c r="B47" s="2369" t="s">
        <v>635</v>
      </c>
      <c r="C47" s="2570">
        <f ca="1">C48+C52+C54</f>
        <v>0</v>
      </c>
      <c r="D47" s="2081"/>
      <c r="E47" s="2081"/>
      <c r="F47" s="2081"/>
      <c r="I47" s="3146" t="s">
        <v>2344</v>
      </c>
      <c r="J47" s="2377" t="s">
        <v>3187</v>
      </c>
      <c r="K47" s="3153" t="s">
        <v>2349</v>
      </c>
      <c r="L47" s="3157">
        <f ca="1">INDIRECT("'数据-取费表'!d"&amp;$G$1)</f>
        <v>50</v>
      </c>
      <c r="M47" s="1599" t="str">
        <f>IF(ISNUMBER(FIND("住宅",C1)),"住宅","非住宅")</f>
        <v>非住宅</v>
      </c>
      <c r="O47" s="2391" t="s">
        <v>2375</v>
      </c>
      <c r="P47" s="2392" t="s">
        <v>2376</v>
      </c>
      <c r="Q47" s="2393" t="s">
        <v>2377</v>
      </c>
      <c r="R47" s="2392" t="s">
        <v>2378</v>
      </c>
    </row>
    <row r="48" spans="1:18" s="2055" customFormat="1" ht="18" customHeight="1" thickBot="1">
      <c r="A48" s="2638" t="s">
        <v>1871</v>
      </c>
      <c r="B48" s="2639" t="s">
        <v>2538</v>
      </c>
      <c r="C48" s="2370">
        <f ca="1">ROUND(F48*F50*F49*(1-F51)/10000,0)</f>
        <v>0</v>
      </c>
      <c r="D48" s="2371" t="s">
        <v>636</v>
      </c>
      <c r="E48" s="2372" t="s">
        <v>2296</v>
      </c>
      <c r="F48" s="2373"/>
      <c r="G48" s="2086"/>
      <c r="I48" s="3122" t="s">
        <v>2345</v>
      </c>
      <c r="J48" s="2378" t="s">
        <v>2350</v>
      </c>
      <c r="K48" s="3154" t="s">
        <v>2351</v>
      </c>
      <c r="L48" s="1904">
        <f ca="1">INDIRECT("'数据-取费表'!f"&amp;$G$1)</f>
        <v>49.98</v>
      </c>
      <c r="O48" s="2394" t="s">
        <v>2379</v>
      </c>
      <c r="P48" s="2395" t="s">
        <v>2405</v>
      </c>
      <c r="Q48" s="2396">
        <f ca="1">C40+J29</f>
        <v>12510</v>
      </c>
      <c r="R48" s="2395" t="s">
        <v>2380</v>
      </c>
    </row>
    <row r="49" spans="1:18" s="2055" customFormat="1" ht="18" customHeight="1" thickBot="1">
      <c r="A49" s="784"/>
      <c r="B49" s="785"/>
      <c r="C49" s="786"/>
      <c r="D49" s="787"/>
      <c r="E49" s="782" t="s">
        <v>638</v>
      </c>
      <c r="F49" s="783">
        <f ca="1">F7</f>
        <v>28104</v>
      </c>
      <c r="G49" s="2086"/>
      <c r="H49" s="2089"/>
      <c r="I49" s="3122" t="s">
        <v>2346</v>
      </c>
      <c r="J49" s="2379"/>
      <c r="K49" s="3155" t="s">
        <v>2352</v>
      </c>
      <c r="L49" s="2380"/>
      <c r="O49" s="2394" t="s">
        <v>2381</v>
      </c>
      <c r="P49" s="2395" t="s">
        <v>2406</v>
      </c>
      <c r="Q49" s="2396">
        <f ca="1">J60</f>
        <v>3382</v>
      </c>
      <c r="R49" s="2395" t="s">
        <v>2382</v>
      </c>
    </row>
    <row r="50" spans="1:18" s="2055" customFormat="1" ht="18" customHeight="1" thickBot="1">
      <c r="A50" s="784"/>
      <c r="B50" s="785"/>
      <c r="C50" s="786"/>
      <c r="D50" s="787"/>
      <c r="E50" s="782" t="s">
        <v>639</v>
      </c>
      <c r="F50" s="783">
        <f ca="1">F8</f>
        <v>365</v>
      </c>
      <c r="G50" s="2091"/>
      <c r="H50" s="2089"/>
      <c r="I50" s="3122" t="s">
        <v>2347</v>
      </c>
      <c r="J50" s="3150">
        <f>SUMPRODUCT((I63:I65=J47)*(J62:L62=J48)*(J63:L65))</f>
        <v>60</v>
      </c>
      <c r="K50" s="3155" t="s">
        <v>2353</v>
      </c>
      <c r="L50" s="2380"/>
      <c r="O50" s="2397" t="s">
        <v>2383</v>
      </c>
      <c r="P50" s="2395" t="s">
        <v>2407</v>
      </c>
      <c r="Q50" s="2396">
        <f ca="1">C29</f>
        <v>8456</v>
      </c>
      <c r="R50" s="2395" t="s">
        <v>2380</v>
      </c>
    </row>
    <row r="51" spans="1:18" s="2055" customFormat="1" ht="18" customHeight="1" thickBot="1">
      <c r="A51" s="784"/>
      <c r="B51" s="785"/>
      <c r="C51" s="786"/>
      <c r="D51" s="787"/>
      <c r="E51" s="782" t="s">
        <v>640</v>
      </c>
      <c r="F51" s="2367"/>
      <c r="H51" s="2089"/>
      <c r="I51" s="3147" t="s">
        <v>2348</v>
      </c>
      <c r="J51" s="3151">
        <f>IF(J49="",J50,J49+J50-YEAR('数据-取费表'!B2))</f>
        <v>60</v>
      </c>
      <c r="K51" s="3122" t="s">
        <v>2354</v>
      </c>
      <c r="L51" s="3158">
        <f ca="1">ROUND(-PV(INDIRECT("'数据-取费表'!h"&amp;$G$1),L48,(C39-C13*J36),0),0)</f>
        <v>-5212</v>
      </c>
      <c r="O51" s="2397" t="s">
        <v>2384</v>
      </c>
      <c r="P51" s="2395" t="s">
        <v>2385</v>
      </c>
      <c r="Q51" s="2398">
        <f ca="1">J58</f>
        <v>0.4</v>
      </c>
      <c r="R51" s="2399"/>
    </row>
    <row r="52" spans="1:18" s="2055" customFormat="1" ht="18" customHeight="1" thickBot="1">
      <c r="A52" s="779" t="s">
        <v>2536</v>
      </c>
      <c r="B52" s="2490" t="s">
        <v>2459</v>
      </c>
      <c r="C52" s="797">
        <f ca="1">ROUND(IF(F52="押一",C48/12*F11,IF(F52="押二",C48/12*2*F11,IF(F52="押三",C48/12*3*F11,C53*F11))),0)</f>
        <v>0</v>
      </c>
      <c r="D52" s="2497" t="s">
        <v>2975</v>
      </c>
      <c r="E52" s="2494" t="s">
        <v>2464</v>
      </c>
      <c r="F52" s="2617"/>
      <c r="I52" s="3148" t="s">
        <v>2421</v>
      </c>
      <c r="J52" s="2381"/>
      <c r="K52" s="3148" t="s">
        <v>2420</v>
      </c>
      <c r="L52" s="2381"/>
      <c r="O52" s="2397" t="s">
        <v>2386</v>
      </c>
      <c r="P52" s="2395" t="s">
        <v>2387</v>
      </c>
      <c r="Q52" s="2398">
        <f>J52</f>
        <v>0</v>
      </c>
      <c r="R52" s="2399"/>
    </row>
    <row r="53" spans="1:18" s="2055" customFormat="1" ht="39.75" customHeight="1" thickBot="1">
      <c r="A53" s="784"/>
      <c r="B53" s="2491" t="s">
        <v>2573</v>
      </c>
      <c r="C53" s="2495"/>
      <c r="D53" s="2497"/>
      <c r="E53" s="2494"/>
      <c r="F53" s="798"/>
      <c r="I53" s="3149" t="s">
        <v>2980</v>
      </c>
      <c r="J53" s="3152">
        <f ca="1">IF(M47="住宅",IF(D1="——",MAX(J51,L48),MAX(J51,L48-'数据-取费表'!B20)),IF(D1="——",MIN(J51,L48),MIN(J51,L48-'数据-取费表'!B20)))</f>
        <v>48.48</v>
      </c>
      <c r="K53" s="3774" t="s">
        <v>2967</v>
      </c>
      <c r="L53" s="3775"/>
      <c r="O53" s="2397" t="s">
        <v>2388</v>
      </c>
      <c r="P53" s="2395" t="s">
        <v>2389</v>
      </c>
      <c r="Q53" s="2396">
        <f ca="1">J53</f>
        <v>48.48</v>
      </c>
      <c r="R53" s="2395" t="s">
        <v>2390</v>
      </c>
    </row>
    <row r="54" spans="1:18" s="2055" customFormat="1" ht="18" customHeight="1" thickBot="1">
      <c r="A54" s="2533" t="s">
        <v>2467</v>
      </c>
      <c r="B54" s="2534" t="s">
        <v>2460</v>
      </c>
      <c r="C54" s="2535"/>
      <c r="D54" s="2497"/>
      <c r="E54" s="2494"/>
      <c r="F54" s="798"/>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94" t="s">
        <v>2391</v>
      </c>
      <c r="P54" s="2395" t="s">
        <v>2408</v>
      </c>
      <c r="Q54" s="2396">
        <f ca="1">Q48+Q49</f>
        <v>15892</v>
      </c>
      <c r="R54" s="2399" t="s">
        <v>2392</v>
      </c>
    </row>
    <row r="55" spans="1:18" s="2055" customFormat="1" ht="18" customHeight="1" thickTop="1" thickBot="1">
      <c r="A55" s="795">
        <v>2</v>
      </c>
      <c r="B55" s="796" t="s">
        <v>644</v>
      </c>
      <c r="C55" s="797">
        <f ca="1">C13</f>
        <v>8456</v>
      </c>
      <c r="D55" s="793"/>
      <c r="E55" s="793"/>
      <c r="F55" s="798"/>
      <c r="I55" s="3161" t="s">
        <v>2355</v>
      </c>
      <c r="J55" s="3097">
        <f ca="1">ROUND(IF(J47="钢混",J57/J50,1-(1-2%)*(J50-J57)/J50),3)</f>
        <v>0.16700000000000001</v>
      </c>
      <c r="K55" s="3162" t="s">
        <v>2356</v>
      </c>
      <c r="L55" s="2382"/>
      <c r="O55" s="2400" t="s">
        <v>2411</v>
      </c>
      <c r="P55" s="1587"/>
      <c r="Q55" s="1599"/>
      <c r="R55" s="1587"/>
    </row>
    <row r="56" spans="1:18" s="2055" customFormat="1" ht="42.75" customHeight="1" thickBot="1">
      <c r="A56" s="1645"/>
      <c r="B56" s="2227" t="s">
        <v>2300</v>
      </c>
      <c r="C56" s="53">
        <f ca="1">C29</f>
        <v>8456</v>
      </c>
      <c r="D56" s="3176"/>
      <c r="E56" s="782"/>
      <c r="F56" s="807"/>
      <c r="I56" s="3163" t="s">
        <v>2357</v>
      </c>
      <c r="J56" s="3173" t="s">
        <v>2998</v>
      </c>
      <c r="K56" s="3122" t="s">
        <v>2362</v>
      </c>
      <c r="L56" s="1904" t="str">
        <f ca="1">IF(L48&lt;J51,"——",L48-J51)</f>
        <v>——</v>
      </c>
      <c r="O56" s="2391" t="s">
        <v>2375</v>
      </c>
      <c r="P56" s="2392" t="s">
        <v>2376</v>
      </c>
      <c r="Q56" s="2393" t="s">
        <v>2377</v>
      </c>
      <c r="R56" s="2392" t="s">
        <v>2378</v>
      </c>
    </row>
    <row r="57" spans="1:18" s="2055" customFormat="1" ht="28.5" customHeight="1" thickBot="1">
      <c r="A57" s="795" t="s">
        <v>1749</v>
      </c>
      <c r="B57" s="796" t="s">
        <v>651</v>
      </c>
      <c r="C57" s="797">
        <f ca="1">ROUND(C58+C63+C64+C65,0)</f>
        <v>148</v>
      </c>
      <c r="D57" s="26" t="s">
        <v>652</v>
      </c>
      <c r="E57" s="3186"/>
      <c r="F57" s="56"/>
      <c r="I57" s="3164" t="s">
        <v>2358</v>
      </c>
      <c r="J57" s="3165">
        <f ca="1">IF(OR(M47="住宅",J51&lt;L48,J56="是"),"——",J51-L48)</f>
        <v>10.020000000000003</v>
      </c>
      <c r="K57" s="3122" t="s">
        <v>2363</v>
      </c>
      <c r="L57" s="1904" t="str">
        <f ca="1">IF(L48&lt;J51,"——",IF(L55="比较法",L49,IF(L55="基准地价",L50,L51)))</f>
        <v>——</v>
      </c>
      <c r="O57" s="2394" t="s">
        <v>2379</v>
      </c>
      <c r="P57" s="2395" t="s">
        <v>2405</v>
      </c>
      <c r="Q57" s="2396">
        <f ca="1">C40+J29</f>
        <v>12510</v>
      </c>
      <c r="R57" s="2395" t="s">
        <v>2380</v>
      </c>
    </row>
    <row r="58" spans="1:18" s="2055" customFormat="1" ht="28.5" customHeight="1" thickBot="1">
      <c r="A58" s="1644" t="s">
        <v>1825</v>
      </c>
      <c r="B58" s="782" t="s">
        <v>656</v>
      </c>
      <c r="C58" s="53">
        <f ca="1">ROUND(IF(项目基本情况!B11="自然人",C47*F58,C59+C60+C61),1)</f>
        <v>8.8000000000000007</v>
      </c>
      <c r="D58" s="3178" t="s">
        <v>657</v>
      </c>
      <c r="E58" s="3176" t="s">
        <v>690</v>
      </c>
      <c r="F58" s="808" t="str">
        <f ca="1">IF(项目基本情况!B11="企业","",IF(INDIRECT("'数据-取费表'!c"&amp;$G$1)="住宅",5%,IF(F48*F49*F50/12/(1+'数据-取费表'!C42)&gt;20000,12%,7%)))</f>
        <v/>
      </c>
      <c r="I58" s="3164" t="s">
        <v>2359</v>
      </c>
      <c r="J58" s="3098">
        <f ca="1">IF(J55&lt;0.4,0.4,J55)</f>
        <v>0.4</v>
      </c>
      <c r="K58" s="3122" t="s">
        <v>2364</v>
      </c>
      <c r="L58" s="1904" t="e">
        <f ca="1">ROUND(POWER(1+L52,L47-L48)*(POWER(1+L52,L48)-1)/(POWER(1+L52,L47)-1),4)</f>
        <v>#DIV/0!</v>
      </c>
      <c r="O58" s="2394" t="s">
        <v>2381</v>
      </c>
      <c r="P58" s="2395" t="s">
        <v>2412</v>
      </c>
      <c r="Q58" s="2396">
        <f ca="1">L60</f>
        <v>0</v>
      </c>
      <c r="R58" s="2399" t="s">
        <v>2414</v>
      </c>
    </row>
    <row r="59" spans="1:18" s="2055" customFormat="1" ht="28.5" customHeight="1" thickBot="1">
      <c r="A59" s="1643" t="s">
        <v>1832</v>
      </c>
      <c r="B59" s="782" t="s">
        <v>660</v>
      </c>
      <c r="C59" s="53">
        <f ca="1">ROUND(C47*F59/1.05,1)</f>
        <v>0</v>
      </c>
      <c r="D59" s="3176" t="s">
        <v>661</v>
      </c>
      <c r="E59" s="782" t="s">
        <v>649</v>
      </c>
      <c r="F59" s="807">
        <f t="shared" ref="F59:F65" si="0">F32</f>
        <v>5.6000000000000001E-2</v>
      </c>
      <c r="I59" s="3164" t="s">
        <v>2360</v>
      </c>
      <c r="J59" s="3165">
        <f ca="1">IF(OR(M47="住宅",J51&lt;L48,J56="是"),"——",ROUND(C29*J58,0))</f>
        <v>3382</v>
      </c>
      <c r="K59" s="3122"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97" t="s">
        <v>2383</v>
      </c>
      <c r="P59" s="2395" t="s">
        <v>2413</v>
      </c>
      <c r="Q59" s="2396">
        <f>IF(L55="比较法",L49,IF(L55="基准地价",L50,0))</f>
        <v>0</v>
      </c>
      <c r="R59" s="2395" t="s">
        <v>2380</v>
      </c>
    </row>
    <row r="60" spans="1:18" s="2055" customFormat="1" ht="18" customHeight="1" thickBot="1">
      <c r="A60" s="1643" t="s">
        <v>1833</v>
      </c>
      <c r="B60" s="782" t="s">
        <v>664</v>
      </c>
      <c r="C60" s="53">
        <f ca="1">IF(D60="按租金收入计税",ROUND(C47*F60,1),IF(D60="按房产原值计税",ROUND(C56*F60*0.7,1),INDIRECT("'数据-取费表'!Aj"&amp;$G$1)))</f>
        <v>0</v>
      </c>
      <c r="D60" s="3176" t="str">
        <f>D33</f>
        <v>按租金收入计税</v>
      </c>
      <c r="E60" s="782" t="s">
        <v>649</v>
      </c>
      <c r="F60" s="807">
        <f t="shared" si="0"/>
        <v>0.12</v>
      </c>
      <c r="I60" s="3166" t="s">
        <v>2361</v>
      </c>
      <c r="J60" s="3167">
        <f ca="1">IF(OR(M47="住宅",J51&lt;L48,J56="是"),"0",ROUND(J59/(1+J52)^J53,0))</f>
        <v>3382</v>
      </c>
      <c r="K60" s="3168" t="s">
        <v>2366</v>
      </c>
      <c r="L60" s="3167">
        <f ca="1">IF(OR(M47="住宅",L48&lt;J51),0,ROUND(L57*(L58/L59-1),0))</f>
        <v>0</v>
      </c>
      <c r="O60" s="2397" t="s">
        <v>2384</v>
      </c>
      <c r="P60" s="2395" t="s">
        <v>2393</v>
      </c>
      <c r="Q60" s="2398">
        <f>L52</f>
        <v>0</v>
      </c>
      <c r="R60" s="2399"/>
    </row>
    <row r="61" spans="1:18" s="2055" customFormat="1" ht="18" customHeight="1" thickBot="1">
      <c r="A61" s="1646" t="s">
        <v>1834</v>
      </c>
      <c r="B61" s="339" t="s">
        <v>668</v>
      </c>
      <c r="C61" s="54">
        <f ca="1">ROUND(F61*F62/10000,1)</f>
        <v>8.8000000000000007</v>
      </c>
      <c r="D61" s="812" t="s">
        <v>669</v>
      </c>
      <c r="E61" s="782" t="s">
        <v>670</v>
      </c>
      <c r="F61" s="638">
        <f t="shared" si="0"/>
        <v>7</v>
      </c>
      <c r="K61" s="2082"/>
      <c r="O61" s="2397" t="s">
        <v>2386</v>
      </c>
      <c r="P61" s="2395" t="s">
        <v>2394</v>
      </c>
      <c r="Q61" s="2396" t="e">
        <f ca="1">L58</f>
        <v>#DIV/0!</v>
      </c>
      <c r="R61" s="2399" t="s">
        <v>2395</v>
      </c>
    </row>
    <row r="62" spans="1:18" s="2055" customFormat="1" ht="15.75" thickBot="1">
      <c r="A62" s="813"/>
      <c r="B62" s="791"/>
      <c r="C62" s="69"/>
      <c r="D62" s="814"/>
      <c r="E62" s="782" t="s">
        <v>674</v>
      </c>
      <c r="F62" s="783">
        <f t="shared" ca="1" si="0"/>
        <v>12605.28</v>
      </c>
      <c r="I62" s="3169" t="s">
        <v>2367</v>
      </c>
      <c r="J62" s="3170" t="s">
        <v>2368</v>
      </c>
      <c r="K62" s="3170" t="s">
        <v>2369</v>
      </c>
      <c r="L62" s="3170" t="s">
        <v>2350</v>
      </c>
      <c r="M62" s="3171" t="s">
        <v>2943</v>
      </c>
      <c r="O62" s="2397" t="s">
        <v>2388</v>
      </c>
      <c r="P62" s="2395" t="str">
        <f>K59</f>
        <v>建设期及建筑物耐用年限下的土地年期修正系数Kn</v>
      </c>
      <c r="Q62" s="2396" t="e">
        <f ca="1">L59</f>
        <v>#DIV/0!</v>
      </c>
      <c r="R62" s="2399" t="s">
        <v>2397</v>
      </c>
    </row>
    <row r="63" spans="1:18" s="2055" customFormat="1" ht="15.75" thickBot="1">
      <c r="A63" s="1644" t="s">
        <v>1890</v>
      </c>
      <c r="B63" s="782" t="s">
        <v>676</v>
      </c>
      <c r="C63" s="53">
        <f ca="1">ROUND(C56*F63,1)</f>
        <v>126.8</v>
      </c>
      <c r="D63" s="3176" t="s">
        <v>691</v>
      </c>
      <c r="E63" s="782" t="s">
        <v>649</v>
      </c>
      <c r="F63" s="815">
        <f t="shared" ca="1" si="0"/>
        <v>1.4999999999999999E-2</v>
      </c>
      <c r="I63" s="3169" t="s">
        <v>2370</v>
      </c>
      <c r="J63" s="3170">
        <v>70</v>
      </c>
      <c r="K63" s="3170">
        <v>50</v>
      </c>
      <c r="L63" s="3170">
        <v>80</v>
      </c>
      <c r="M63" s="3172">
        <v>0.02</v>
      </c>
      <c r="O63" s="2394" t="s">
        <v>2391</v>
      </c>
      <c r="P63" s="2395" t="s">
        <v>2408</v>
      </c>
      <c r="Q63" s="2396">
        <f ca="1">Q57+Q58</f>
        <v>12510</v>
      </c>
      <c r="R63" s="2399" t="s">
        <v>2392</v>
      </c>
    </row>
    <row r="64" spans="1:18" s="2055" customFormat="1" ht="16.5" thickBot="1">
      <c r="A64" s="1644" t="s">
        <v>1891</v>
      </c>
      <c r="B64" s="782" t="s">
        <v>679</v>
      </c>
      <c r="C64" s="53">
        <f ca="1">ROUND(C55*F64,1)</f>
        <v>12.7</v>
      </c>
      <c r="D64" s="3176" t="s">
        <v>680</v>
      </c>
      <c r="E64" s="782" t="s">
        <v>649</v>
      </c>
      <c r="F64" s="816">
        <f t="shared" ca="1" si="0"/>
        <v>1.5E-3</v>
      </c>
      <c r="I64" s="3169" t="s">
        <v>2371</v>
      </c>
      <c r="J64" s="3170">
        <v>50</v>
      </c>
      <c r="K64" s="3170">
        <v>35</v>
      </c>
      <c r="L64" s="3170">
        <v>60</v>
      </c>
      <c r="M64" s="844">
        <v>0</v>
      </c>
      <c r="O64" s="2400" t="s">
        <v>2415</v>
      </c>
      <c r="P64" s="1587"/>
      <c r="Q64" s="1599"/>
      <c r="R64" s="1587"/>
    </row>
    <row r="65" spans="1:18" s="2055" customFormat="1" ht="15.75" thickBot="1">
      <c r="A65" s="1644" t="s">
        <v>1892</v>
      </c>
      <c r="B65" s="782" t="s">
        <v>666</v>
      </c>
      <c r="C65" s="53">
        <f ca="1">ROUND(C47*F65,1)</f>
        <v>0</v>
      </c>
      <c r="D65" s="3176" t="s">
        <v>683</v>
      </c>
      <c r="E65" s="782" t="s">
        <v>649</v>
      </c>
      <c r="F65" s="792">
        <f t="shared" ca="1" si="0"/>
        <v>0.01</v>
      </c>
      <c r="I65" s="3169" t="s">
        <v>2372</v>
      </c>
      <c r="J65" s="3170">
        <v>40</v>
      </c>
      <c r="K65" s="3170">
        <v>30</v>
      </c>
      <c r="L65" s="3170">
        <v>50</v>
      </c>
      <c r="M65" s="3172">
        <v>0.02</v>
      </c>
      <c r="O65" s="2391" t="s">
        <v>2375</v>
      </c>
      <c r="P65" s="2392" t="s">
        <v>2376</v>
      </c>
      <c r="Q65" s="2393" t="s">
        <v>2377</v>
      </c>
      <c r="R65" s="2392" t="s">
        <v>2378</v>
      </c>
    </row>
    <row r="66" spans="1:18" s="2055" customFormat="1" ht="24.75" thickBot="1">
      <c r="A66" s="795" t="s">
        <v>1777</v>
      </c>
      <c r="B66" s="3007" t="s">
        <v>2821</v>
      </c>
      <c r="C66" s="797">
        <f ca="1">C47-C57</f>
        <v>-148</v>
      </c>
      <c r="D66" s="3178" t="s">
        <v>700</v>
      </c>
      <c r="E66" s="3181"/>
      <c r="F66" s="818"/>
      <c r="K66" s="2082"/>
      <c r="O66" s="2394" t="s">
        <v>2379</v>
      </c>
      <c r="P66" s="2395" t="s">
        <v>2405</v>
      </c>
      <c r="Q66" s="2396">
        <f ca="1">C40+J29</f>
        <v>12510</v>
      </c>
      <c r="R66" s="2395" t="s">
        <v>2380</v>
      </c>
    </row>
    <row r="67" spans="1:18" s="2055" customFormat="1" ht="20.25" thickBot="1">
      <c r="A67" s="779" t="s">
        <v>1781</v>
      </c>
      <c r="B67" s="2228" t="s">
        <v>2301</v>
      </c>
      <c r="C67" s="781">
        <f ca="1">ROUND(C66*(1-((1+F69)/(1+F67))^F68)/(F67-F69),0)</f>
        <v>-2490</v>
      </c>
      <c r="D67" s="812" t="s">
        <v>704</v>
      </c>
      <c r="E67" s="782" t="s">
        <v>705</v>
      </c>
      <c r="F67" s="792">
        <f ca="1">F40</f>
        <v>5.5E-2</v>
      </c>
      <c r="K67" s="2082"/>
      <c r="O67" s="2394" t="s">
        <v>2381</v>
      </c>
      <c r="P67" s="2395" t="s">
        <v>2412</v>
      </c>
      <c r="Q67" s="2396">
        <f ca="1">L60</f>
        <v>0</v>
      </c>
      <c r="R67" s="2399" t="s">
        <v>2414</v>
      </c>
    </row>
    <row r="68" spans="1:18" ht="21.75" thickBot="1">
      <c r="A68" s="784"/>
      <c r="B68" s="785"/>
      <c r="C68" s="786"/>
      <c r="D68" s="819" t="s">
        <v>1809</v>
      </c>
      <c r="E68" s="782" t="s">
        <v>708</v>
      </c>
      <c r="F68" s="820">
        <f ca="1">F41</f>
        <v>48.48</v>
      </c>
      <c r="O68" s="2397" t="s">
        <v>2383</v>
      </c>
      <c r="P68" s="2395" t="s">
        <v>2413</v>
      </c>
      <c r="Q68" s="2401">
        <f ca="1">L51</f>
        <v>-5212</v>
      </c>
      <c r="R68" s="2402" t="s">
        <v>2416</v>
      </c>
    </row>
    <row r="69" spans="1:18" ht="20.25" thickBot="1">
      <c r="A69" s="788"/>
      <c r="B69" s="789"/>
      <c r="C69" s="790"/>
      <c r="D69" s="814"/>
      <c r="E69" s="782" t="s">
        <v>710</v>
      </c>
      <c r="F69" s="2367"/>
      <c r="O69" s="2397" t="s">
        <v>2384</v>
      </c>
      <c r="P69" s="2403" t="s">
        <v>2398</v>
      </c>
      <c r="Q69" s="2396">
        <f ca="1">ROUND(Q70-Q71*Q72,0)</f>
        <v>-264</v>
      </c>
      <c r="R69" s="2399"/>
    </row>
    <row r="70" spans="1:18" ht="15.75" thickBot="1">
      <c r="A70" s="821" t="s">
        <v>1788</v>
      </c>
      <c r="B70" s="822" t="s">
        <v>1811</v>
      </c>
      <c r="C70" s="823">
        <f ca="1">ROUND(C67*10000/F70,0)</f>
        <v>-886</v>
      </c>
      <c r="D70" s="824" t="s">
        <v>1812</v>
      </c>
      <c r="E70" s="825" t="s">
        <v>1813</v>
      </c>
      <c r="F70" s="826">
        <f ca="1">F43</f>
        <v>28104</v>
      </c>
      <c r="O70" s="2397" t="s">
        <v>2399</v>
      </c>
      <c r="P70" s="2403" t="s">
        <v>2400</v>
      </c>
      <c r="Q70" s="2396">
        <f ca="1">C39</f>
        <v>455</v>
      </c>
      <c r="R70" s="2395" t="s">
        <v>2380</v>
      </c>
    </row>
    <row r="71" spans="1:18" ht="15.75" thickBot="1">
      <c r="O71" s="2397" t="s">
        <v>2401</v>
      </c>
      <c r="P71" s="2403" t="s">
        <v>2402</v>
      </c>
      <c r="Q71" s="2396">
        <f ca="1">C13</f>
        <v>8456</v>
      </c>
      <c r="R71" s="2395" t="s">
        <v>2380</v>
      </c>
    </row>
    <row r="72" spans="1:18" ht="15.75" thickBot="1">
      <c r="O72" s="2397" t="s">
        <v>2403</v>
      </c>
      <c r="P72" s="2403" t="s">
        <v>2404</v>
      </c>
      <c r="Q72" s="2398">
        <f ca="1">J36</f>
        <v>8.5000000000000006E-2</v>
      </c>
      <c r="R72" s="2399"/>
    </row>
    <row r="73" spans="1:18" ht="15.75" thickBot="1">
      <c r="O73" s="2397" t="s">
        <v>2386</v>
      </c>
      <c r="P73" s="2395" t="s">
        <v>2393</v>
      </c>
      <c r="Q73" s="2398">
        <f>L52</f>
        <v>0</v>
      </c>
      <c r="R73" s="2399"/>
    </row>
    <row r="74" spans="1:18" ht="20.25" thickBot="1">
      <c r="O74" s="2397" t="s">
        <v>2388</v>
      </c>
      <c r="P74" s="2395" t="s">
        <v>2394</v>
      </c>
      <c r="Q74" s="2396" t="e">
        <f ca="1">L58</f>
        <v>#DIV/0!</v>
      </c>
      <c r="R74" s="2399" t="s">
        <v>2395</v>
      </c>
    </row>
    <row r="75" spans="1:18" ht="15.75" thickBot="1">
      <c r="O75" s="2397" t="s">
        <v>2417</v>
      </c>
      <c r="P75" s="2395" t="str">
        <f>K59</f>
        <v>建设期及建筑物耐用年限下的土地年期修正系数Kn</v>
      </c>
      <c r="Q75" s="2396" t="e">
        <f ca="1">L59</f>
        <v>#DIV/0!</v>
      </c>
      <c r="R75" s="2399" t="s">
        <v>2397</v>
      </c>
    </row>
    <row r="76" spans="1:18" ht="15.75" thickBot="1">
      <c r="O76" s="2394" t="s">
        <v>2391</v>
      </c>
      <c r="P76" s="2395" t="s">
        <v>2408</v>
      </c>
      <c r="Q76" s="2396">
        <f ca="1">Q66+Q67</f>
        <v>12510</v>
      </c>
      <c r="R76" s="2399"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501" t="s">
        <v>757</v>
      </c>
      <c r="C1" s="502" t="s">
        <v>720</v>
      </c>
      <c r="D1" s="2366"/>
      <c r="E1" s="504"/>
      <c r="F1" s="2803"/>
      <c r="G1" s="1596" t="s">
        <v>721</v>
      </c>
      <c r="H1" s="504"/>
      <c r="I1" s="504"/>
      <c r="J1" s="504"/>
      <c r="K1" s="505"/>
      <c r="L1" s="1557"/>
      <c r="M1" s="1558"/>
      <c r="N1" s="1558"/>
      <c r="O1" s="1558"/>
      <c r="P1" s="1559"/>
      <c r="Q1" s="1559"/>
      <c r="R1" s="1559"/>
      <c r="S1" s="1559"/>
      <c r="T1" s="1559"/>
      <c r="U1" s="1559"/>
      <c r="V1" s="1559"/>
      <c r="W1" s="1559"/>
      <c r="X1" s="1559"/>
      <c r="Y1" s="1559"/>
      <c r="Z1" s="1559"/>
      <c r="AA1" s="1559"/>
      <c r="AB1" s="1559"/>
      <c r="AC1" s="1560"/>
    </row>
    <row r="2" spans="1:29" s="1333" customFormat="1" ht="28.5" customHeight="1">
      <c r="A2" s="421" t="s">
        <v>467</v>
      </c>
      <c r="B2" s="848" t="e">
        <f>ROUND(B3*D3/10000,0)</f>
        <v>#DIV/0!</v>
      </c>
      <c r="C2" s="2123"/>
      <c r="D2" s="2123"/>
      <c r="E2" s="2057"/>
      <c r="F2" s="2125"/>
      <c r="G2" s="2124"/>
      <c r="H2" s="2124"/>
      <c r="I2" s="2124"/>
      <c r="J2" s="2124"/>
      <c r="K2" s="2124"/>
      <c r="L2" s="2127"/>
      <c r="M2" s="2128"/>
      <c r="N2" s="2128"/>
      <c r="O2" s="2128"/>
      <c r="P2" s="1559"/>
      <c r="Q2" s="1559"/>
      <c r="R2" s="1559"/>
      <c r="S2" s="1559"/>
      <c r="T2" s="1559"/>
      <c r="U2" s="1559"/>
      <c r="V2" s="1559"/>
      <c r="W2" s="1559"/>
      <c r="X2" s="1559"/>
      <c r="Y2" s="1559"/>
      <c r="Z2" s="1559"/>
      <c r="AA2" s="1559"/>
      <c r="AB2" s="1559"/>
      <c r="AC2" s="1560"/>
    </row>
    <row r="3" spans="1:29" s="1333" customFormat="1" ht="28.5" customHeight="1" thickBot="1">
      <c r="A3" s="507" t="s">
        <v>519</v>
      </c>
      <c r="B3" s="508" t="e">
        <f>C49</f>
        <v>#DIV/0!</v>
      </c>
      <c r="C3" s="850" t="s">
        <v>722</v>
      </c>
      <c r="D3" s="849">
        <f>SUMIF('数据-汇总表'!$C19:$C33,D1,'数据-汇总表'!$E19:$E33)</f>
        <v>0</v>
      </c>
      <c r="E3" s="2057"/>
      <c r="F3" s="2125"/>
      <c r="G3" s="2124"/>
      <c r="H3" s="2124"/>
      <c r="I3" s="2124"/>
      <c r="J3" s="2124"/>
      <c r="K3" s="2126"/>
      <c r="L3" s="2127"/>
      <c r="M3" s="2128"/>
      <c r="N3" s="2128"/>
      <c r="O3" s="2128"/>
      <c r="P3" s="1559"/>
      <c r="Q3" s="1559"/>
      <c r="R3" s="1559"/>
      <c r="S3" s="1559"/>
      <c r="T3" s="1559"/>
      <c r="U3" s="1559"/>
      <c r="V3" s="1559"/>
      <c r="W3" s="1559"/>
      <c r="X3" s="1559"/>
      <c r="Y3" s="1559"/>
      <c r="Z3" s="1559"/>
      <c r="AA3" s="1559"/>
      <c r="AB3" s="1559"/>
      <c r="AC3" s="426"/>
    </row>
    <row r="4" spans="1:29" ht="15">
      <c r="A4" s="510" t="s">
        <v>521</v>
      </c>
      <c r="B4" s="511"/>
      <c r="C4" s="3685" t="s">
        <v>522</v>
      </c>
      <c r="D4" s="3686"/>
      <c r="E4" s="3710" t="s">
        <v>523</v>
      </c>
      <c r="F4" s="3711"/>
      <c r="G4" s="3685" t="s">
        <v>524</v>
      </c>
      <c r="H4" s="3686"/>
      <c r="I4" s="3685" t="s">
        <v>525</v>
      </c>
      <c r="J4" s="3686"/>
      <c r="K4" s="512" t="s">
        <v>526</v>
      </c>
      <c r="L4" s="2129"/>
      <c r="M4" s="2130"/>
      <c r="N4" s="2130"/>
      <c r="O4" s="2130"/>
      <c r="P4" s="3687" t="s">
        <v>527</v>
      </c>
      <c r="Q4" s="3688"/>
      <c r="R4" s="3673" t="s">
        <v>523</v>
      </c>
      <c r="S4" s="3674"/>
      <c r="T4" s="3673" t="s">
        <v>524</v>
      </c>
      <c r="U4" s="3674"/>
      <c r="V4" s="3693" t="s">
        <v>525</v>
      </c>
      <c r="W4" s="3693"/>
      <c r="X4" s="1562"/>
      <c r="Y4" s="3673" t="s">
        <v>527</v>
      </c>
      <c r="Z4" s="3674"/>
      <c r="AA4" s="3668" t="s">
        <v>523</v>
      </c>
      <c r="AB4" s="3693" t="s">
        <v>524</v>
      </c>
      <c r="AC4" s="3668" t="s">
        <v>525</v>
      </c>
    </row>
    <row r="5" spans="1:29" ht="15">
      <c r="A5" s="513"/>
      <c r="B5" s="514"/>
      <c r="C5" s="3696" t="s">
        <v>2928</v>
      </c>
      <c r="D5" s="3697"/>
      <c r="E5" s="3712" t="s">
        <v>2929</v>
      </c>
      <c r="F5" s="3713"/>
      <c r="G5" s="3696" t="s">
        <v>2930</v>
      </c>
      <c r="H5" s="3697"/>
      <c r="I5" s="3696" t="s">
        <v>2931</v>
      </c>
      <c r="J5" s="3697"/>
      <c r="K5" s="512"/>
      <c r="L5" s="2129"/>
      <c r="M5" s="2130"/>
      <c r="N5" s="2130"/>
      <c r="O5" s="2130"/>
      <c r="P5" s="3689"/>
      <c r="Q5" s="3690"/>
      <c r="R5" s="3675"/>
      <c r="S5" s="3676"/>
      <c r="T5" s="3675"/>
      <c r="U5" s="3676"/>
      <c r="V5" s="3693"/>
      <c r="W5" s="3693"/>
      <c r="X5" s="1562"/>
      <c r="Y5" s="3675"/>
      <c r="Z5" s="3676"/>
      <c r="AA5" s="3669"/>
      <c r="AB5" s="3693"/>
      <c r="AC5" s="3669"/>
    </row>
    <row r="6" spans="1:29" ht="15.75" thickBot="1">
      <c r="A6" s="515"/>
      <c r="B6" s="516"/>
      <c r="C6" s="3694" t="s">
        <v>2932</v>
      </c>
      <c r="D6" s="3695"/>
      <c r="E6" s="3714" t="s">
        <v>2932</v>
      </c>
      <c r="F6" s="3715"/>
      <c r="G6" s="3694" t="s">
        <v>2932</v>
      </c>
      <c r="H6" s="3695"/>
      <c r="I6" s="3694" t="s">
        <v>2932</v>
      </c>
      <c r="J6" s="3695"/>
      <c r="K6" s="512" t="s">
        <v>528</v>
      </c>
      <c r="L6" s="2129"/>
      <c r="M6" s="2130"/>
      <c r="N6" s="2130"/>
      <c r="O6" s="2130"/>
      <c r="P6" s="3691"/>
      <c r="Q6" s="3692"/>
      <c r="R6" s="3675"/>
      <c r="S6" s="3676"/>
      <c r="T6" s="3677"/>
      <c r="U6" s="3678"/>
      <c r="V6" s="3693"/>
      <c r="W6" s="3693"/>
      <c r="X6" s="1562"/>
      <c r="Y6" s="3677"/>
      <c r="Z6" s="3678"/>
      <c r="AA6" s="3670"/>
      <c r="AB6" s="3693"/>
      <c r="AC6" s="3670"/>
    </row>
    <row r="7" spans="1:29" s="1217" customFormat="1" ht="15.75" thickBot="1">
      <c r="A7" s="2908"/>
      <c r="B7" s="2915" t="s">
        <v>529</v>
      </c>
      <c r="C7" s="517">
        <f>'数据-取费表'!B2</f>
        <v>43346</v>
      </c>
      <c r="D7" s="518">
        <v>100</v>
      </c>
      <c r="E7" s="519"/>
      <c r="F7" s="520">
        <f>SUMIF(58:58,YEAR(E7)&amp;"-"&amp;MONTH(E7),59:59)</f>
        <v>0</v>
      </c>
      <c r="G7" s="519"/>
      <c r="H7" s="518">
        <f>SUMIF(58:58,YEAR(G7)&amp;"-"&amp;MONTH(G7),59:59)</f>
        <v>0</v>
      </c>
      <c r="I7" s="519"/>
      <c r="J7" s="518">
        <f>SUMIF(58:58,YEAR(I7)&amp;"-"&amp;MONTH(I7),59:59)</f>
        <v>0</v>
      </c>
      <c r="K7" s="522"/>
      <c r="L7" s="2131"/>
      <c r="M7" s="2132"/>
      <c r="N7" s="2132"/>
      <c r="O7" s="2132"/>
      <c r="P7" s="3671" t="s">
        <v>530</v>
      </c>
      <c r="Q7" s="3680"/>
      <c r="R7" s="1563" t="s">
        <v>8</v>
      </c>
      <c r="S7" s="1564">
        <f t="shared" ref="S7:S15" si="0">F7</f>
        <v>0</v>
      </c>
      <c r="T7" s="1563" t="s">
        <v>8</v>
      </c>
      <c r="U7" s="1564">
        <f t="shared" ref="U7:U15" si="1">H7</f>
        <v>0</v>
      </c>
      <c r="V7" s="1563" t="s">
        <v>8</v>
      </c>
      <c r="W7" s="1564">
        <f t="shared" ref="W7:W15" si="2">J7</f>
        <v>0</v>
      </c>
      <c r="X7" s="1565"/>
      <c r="Y7" s="3671" t="s">
        <v>530</v>
      </c>
      <c r="Z7" s="3672"/>
      <c r="AA7" s="1566" t="e">
        <f>D7/F7</f>
        <v>#DIV/0!</v>
      </c>
      <c r="AB7" s="1566" t="e">
        <f>D7/H7</f>
        <v>#DIV/0!</v>
      </c>
      <c r="AC7" s="1566" t="e">
        <f>D7/J7</f>
        <v>#DIV/0!</v>
      </c>
    </row>
    <row r="8" spans="1:29" s="1217" customFormat="1" ht="15.75" thickBot="1">
      <c r="A8" s="2909"/>
      <c r="B8" s="2916" t="s">
        <v>531</v>
      </c>
      <c r="C8" s="523" t="s">
        <v>576</v>
      </c>
      <c r="D8" s="518">
        <v>100</v>
      </c>
      <c r="E8" s="523"/>
      <c r="F8" s="520">
        <f>SUMIF(61:61,E8,62:62)-SUMIF(61:61,C8,62:62)+100</f>
        <v>0</v>
      </c>
      <c r="G8" s="523"/>
      <c r="H8" s="518">
        <f>SUMIF(61:61,G8,62:62)-SUMIF(61:61,C8,62:62)+100</f>
        <v>0</v>
      </c>
      <c r="I8" s="523"/>
      <c r="J8" s="518">
        <f>SUMIF(61:61,I8,62:62)-SUMIF(61:61,C8,62:62)+100</f>
        <v>0</v>
      </c>
      <c r="K8" s="522"/>
      <c r="L8" s="2131"/>
      <c r="M8" s="2132"/>
      <c r="N8" s="2132"/>
      <c r="O8" s="2132"/>
      <c r="P8" s="3671" t="s">
        <v>533</v>
      </c>
      <c r="Q8" s="3672"/>
      <c r="R8" s="1563" t="s">
        <v>8</v>
      </c>
      <c r="S8" s="1564">
        <f t="shared" si="0"/>
        <v>0</v>
      </c>
      <c r="T8" s="1563" t="s">
        <v>8</v>
      </c>
      <c r="U8" s="1564">
        <f t="shared" si="1"/>
        <v>0</v>
      </c>
      <c r="V8" s="1563" t="s">
        <v>8</v>
      </c>
      <c r="W8" s="1564">
        <f t="shared" si="2"/>
        <v>0</v>
      </c>
      <c r="X8" s="1565"/>
      <c r="Y8" s="3671" t="s">
        <v>533</v>
      </c>
      <c r="Z8" s="3672"/>
      <c r="AA8" s="1566" t="e">
        <f t="shared" ref="AA8:AA46" si="3">D8/F8</f>
        <v>#DIV/0!</v>
      </c>
      <c r="AB8" s="1566" t="e">
        <f t="shared" ref="AB8:AB46" si="4">D8/H8</f>
        <v>#DIV/0!</v>
      </c>
      <c r="AC8" s="1566" t="e">
        <f t="shared" ref="AC8:AC46" si="5">D8/J8</f>
        <v>#DIV/0!</v>
      </c>
    </row>
    <row r="9" spans="1:29" s="1217" customFormat="1" ht="15">
      <c r="A9" s="2910"/>
      <c r="B9" s="2917" t="s">
        <v>2755</v>
      </c>
      <c r="C9" s="855"/>
      <c r="D9" s="252">
        <v>100</v>
      </c>
      <c r="E9" s="858"/>
      <c r="F9" s="252">
        <f>SUMIF(63:63,E9,64:64)-SUMIF(63:63,C9,64:64)+100</f>
        <v>100</v>
      </c>
      <c r="G9" s="856"/>
      <c r="H9" s="252">
        <f>SUMIF(63:63,G9,64:64)-SUMIF(63:63,C9,64:64)+100</f>
        <v>100</v>
      </c>
      <c r="I9" s="856"/>
      <c r="J9" s="252">
        <f>SUMIF(63:63,I9,64:64)-SUMIF(63:63,C9,64:64)+100</f>
        <v>100</v>
      </c>
      <c r="K9" s="522"/>
      <c r="L9" s="2131"/>
      <c r="M9" s="2132"/>
      <c r="N9" s="2132"/>
      <c r="O9" s="2133"/>
      <c r="P9" s="3679" t="s">
        <v>535</v>
      </c>
      <c r="Q9" s="1148" t="str">
        <f t="shared" ref="Q9:Q15" si="6">B9</f>
        <v>用途</v>
      </c>
      <c r="R9" s="1563" t="s">
        <v>8</v>
      </c>
      <c r="S9" s="1564">
        <f t="shared" si="0"/>
        <v>100</v>
      </c>
      <c r="T9" s="1563" t="s">
        <v>8</v>
      </c>
      <c r="U9" s="1564">
        <f t="shared" si="1"/>
        <v>100</v>
      </c>
      <c r="V9" s="1563" t="s">
        <v>8</v>
      </c>
      <c r="W9" s="1564">
        <f t="shared" si="2"/>
        <v>100</v>
      </c>
      <c r="X9" s="1565"/>
      <c r="Y9" s="3636" t="s">
        <v>536</v>
      </c>
      <c r="Z9" s="1147" t="str">
        <f t="shared" ref="Z9:Z15" si="7">Q9</f>
        <v>用途</v>
      </c>
      <c r="AA9" s="1566">
        <f t="shared" si="3"/>
        <v>1</v>
      </c>
      <c r="AB9" s="1566">
        <f t="shared" si="4"/>
        <v>1</v>
      </c>
      <c r="AC9" s="1566">
        <f t="shared" si="5"/>
        <v>1</v>
      </c>
    </row>
    <row r="10" spans="1:29" s="1335" customFormat="1" ht="27">
      <c r="A10" s="2911"/>
      <c r="B10" s="2916" t="s">
        <v>2756</v>
      </c>
      <c r="C10" s="859"/>
      <c r="D10" s="253">
        <v>100</v>
      </c>
      <c r="E10" s="859"/>
      <c r="F10" s="253">
        <f>SUMIF(65:65,E10,66:66)-SUMIF(65:65,C10,66:66)+100</f>
        <v>100</v>
      </c>
      <c r="G10" s="860"/>
      <c r="H10" s="253">
        <f>SUMIF(65:65,G10,66:66)-SUMIF(65:65,C10,66:66)+100</f>
        <v>100</v>
      </c>
      <c r="I10" s="859"/>
      <c r="J10" s="253">
        <f>SUMIF(65:65,I10,66:66)-SUMIF(65:65,C10,66:66)+100</f>
        <v>100</v>
      </c>
      <c r="K10" s="582"/>
      <c r="L10" s="2134"/>
      <c r="M10" s="2174"/>
      <c r="N10" s="2174"/>
      <c r="O10" s="2135"/>
      <c r="P10" s="3679"/>
      <c r="Q10" s="1148" t="str">
        <f t="shared" si="6"/>
        <v>土地使用年限（年）</v>
      </c>
      <c r="R10" s="1563" t="s">
        <v>8</v>
      </c>
      <c r="S10" s="1564">
        <f t="shared" si="0"/>
        <v>100</v>
      </c>
      <c r="T10" s="1563" t="s">
        <v>8</v>
      </c>
      <c r="U10" s="1564">
        <f t="shared" si="1"/>
        <v>100</v>
      </c>
      <c r="V10" s="1563" t="s">
        <v>8</v>
      </c>
      <c r="W10" s="1564">
        <f t="shared" si="2"/>
        <v>100</v>
      </c>
      <c r="X10" s="1565"/>
      <c r="Y10" s="3636"/>
      <c r="Z10" s="1147" t="str">
        <f t="shared" si="7"/>
        <v>土地使用年限（年）</v>
      </c>
      <c r="AA10" s="1566">
        <f t="shared" si="3"/>
        <v>1</v>
      </c>
      <c r="AB10" s="1566">
        <f t="shared" si="4"/>
        <v>1</v>
      </c>
      <c r="AC10" s="1566">
        <f t="shared" si="5"/>
        <v>1</v>
      </c>
    </row>
    <row r="11" spans="1:29" ht="15">
      <c r="A11" s="2912"/>
      <c r="B11" s="2916" t="s">
        <v>2757</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6"/>
      <c r="M11" s="2130"/>
      <c r="N11" s="2130"/>
      <c r="O11" s="2137"/>
      <c r="P11" s="3679"/>
      <c r="Q11" s="1148" t="str">
        <f t="shared" si="6"/>
        <v>容积率</v>
      </c>
      <c r="R11" s="1563" t="s">
        <v>8</v>
      </c>
      <c r="S11" s="1564" t="e">
        <f t="shared" si="0"/>
        <v>#N/A</v>
      </c>
      <c r="T11" s="1563" t="s">
        <v>8</v>
      </c>
      <c r="U11" s="1564" t="e">
        <f t="shared" si="1"/>
        <v>#N/A</v>
      </c>
      <c r="V11" s="1563" t="s">
        <v>8</v>
      </c>
      <c r="W11" s="1564" t="e">
        <f t="shared" si="2"/>
        <v>#N/A</v>
      </c>
      <c r="X11" s="1565"/>
      <c r="Y11" s="3636"/>
      <c r="Z11" s="1147" t="str">
        <f t="shared" si="7"/>
        <v>容积率</v>
      </c>
      <c r="AA11" s="1566" t="e">
        <f t="shared" si="3"/>
        <v>#N/A</v>
      </c>
      <c r="AB11" s="1566" t="e">
        <f t="shared" si="4"/>
        <v>#N/A</v>
      </c>
      <c r="AC11" s="1566" t="e">
        <f t="shared" si="5"/>
        <v>#N/A</v>
      </c>
    </row>
    <row r="12" spans="1:29" s="1217" customFormat="1" ht="15">
      <c r="A12" s="2913"/>
      <c r="B12" s="2919">
        <v>111</v>
      </c>
      <c r="C12" s="526"/>
      <c r="D12" s="536">
        <v>100</v>
      </c>
      <c r="E12" s="537"/>
      <c r="F12" s="253">
        <f>SUMIF(70:70,E12,71:71)-SUMIF(70:70,C12,71:71)+100</f>
        <v>100</v>
      </c>
      <c r="G12" s="909"/>
      <c r="H12" s="253">
        <f>SUMIF(70:70,G12,71:71)-SUMIF(70:70,C12,71:71)+100</f>
        <v>100</v>
      </c>
      <c r="I12" s="537"/>
      <c r="J12" s="253">
        <f>SUMIF(70:70,I12,71:71)-SUMIF(70:70,C12,71:71)+100</f>
        <v>100</v>
      </c>
      <c r="K12" s="579"/>
      <c r="L12" s="2131"/>
      <c r="M12" s="2132"/>
      <c r="N12" s="2132"/>
      <c r="O12" s="2133"/>
      <c r="P12" s="3679"/>
      <c r="Q12" s="1148">
        <f t="shared" si="6"/>
        <v>111</v>
      </c>
      <c r="R12" s="1563" t="s">
        <v>8</v>
      </c>
      <c r="S12" s="1564">
        <f t="shared" si="0"/>
        <v>100</v>
      </c>
      <c r="T12" s="1563" t="s">
        <v>8</v>
      </c>
      <c r="U12" s="1564">
        <f t="shared" si="1"/>
        <v>100</v>
      </c>
      <c r="V12" s="1563" t="s">
        <v>8</v>
      </c>
      <c r="W12" s="1564">
        <f t="shared" si="2"/>
        <v>100</v>
      </c>
      <c r="X12" s="1565"/>
      <c r="Y12" s="3636"/>
      <c r="Z12" s="1147">
        <f t="shared" si="7"/>
        <v>111</v>
      </c>
      <c r="AA12" s="1566">
        <f>D12/F12</f>
        <v>1</v>
      </c>
      <c r="AB12" s="1566">
        <f>D12/H12</f>
        <v>1</v>
      </c>
      <c r="AC12" s="1566">
        <f>D12/J12</f>
        <v>1</v>
      </c>
    </row>
    <row r="13" spans="1:29" ht="15">
      <c r="A13" s="2913"/>
      <c r="B13" s="2919">
        <v>111</v>
      </c>
      <c r="C13" s="537"/>
      <c r="D13" s="538">
        <v>100</v>
      </c>
      <c r="E13" s="537"/>
      <c r="F13" s="253">
        <f>SUMIF(72:72,E13,73:73)-SUMIF(72:72,C13,73:73)+100</f>
        <v>100</v>
      </c>
      <c r="G13" s="909"/>
      <c r="H13" s="538">
        <f>SUMIF(72:72,G13,73:73)-SUMIF(72:72,C13,73:73)+100</f>
        <v>100</v>
      </c>
      <c r="I13" s="537"/>
      <c r="J13" s="538">
        <f>SUMIF(72:72,I13,73:73)-SUMIF(72:72,C13,73:73)+100</f>
        <v>100</v>
      </c>
      <c r="K13" s="579"/>
      <c r="L13" s="2138"/>
      <c r="M13" s="2130"/>
      <c r="N13" s="2130"/>
      <c r="O13" s="2137"/>
      <c r="P13" s="3679"/>
      <c r="Q13" s="1148">
        <f t="shared" si="6"/>
        <v>111</v>
      </c>
      <c r="R13" s="1563" t="s">
        <v>8</v>
      </c>
      <c r="S13" s="1564">
        <f t="shared" si="0"/>
        <v>100</v>
      </c>
      <c r="T13" s="1563" t="s">
        <v>8</v>
      </c>
      <c r="U13" s="1564">
        <f t="shared" si="1"/>
        <v>100</v>
      </c>
      <c r="V13" s="1563" t="s">
        <v>8</v>
      </c>
      <c r="W13" s="1564">
        <f t="shared" si="2"/>
        <v>100</v>
      </c>
      <c r="X13" s="1565"/>
      <c r="Y13" s="3636"/>
      <c r="Z13" s="1147">
        <f t="shared" si="7"/>
        <v>111</v>
      </c>
      <c r="AA13" s="1566">
        <f t="shared" si="3"/>
        <v>1</v>
      </c>
      <c r="AB13" s="1566">
        <f t="shared" si="4"/>
        <v>1</v>
      </c>
      <c r="AC13" s="1566">
        <f t="shared" si="5"/>
        <v>1</v>
      </c>
    </row>
    <row r="14" spans="1:29" ht="15.75" thickBot="1">
      <c r="A14" s="2914"/>
      <c r="B14" s="2920">
        <v>111</v>
      </c>
      <c r="C14" s="543"/>
      <c r="D14" s="544">
        <v>100</v>
      </c>
      <c r="E14" s="543"/>
      <c r="F14" s="544">
        <f>SUMIF(74:74,E14,75:75)-SUMIF(74:74,C14,75:75)+100</f>
        <v>100</v>
      </c>
      <c r="G14" s="909"/>
      <c r="H14" s="544">
        <f>SUMIF(74:74,G14,75:75)-SUMIF(74:74,C14,75:75)+100</f>
        <v>100</v>
      </c>
      <c r="I14" s="537"/>
      <c r="J14" s="544">
        <f>SUMIF(74:74,I14,75:75)-SUMIF(74:74,C14,75:75)+100</f>
        <v>100</v>
      </c>
      <c r="K14" s="579"/>
      <c r="L14" s="2138"/>
      <c r="M14" s="2130"/>
      <c r="N14" s="2130"/>
      <c r="O14" s="2137"/>
      <c r="P14" s="3679"/>
      <c r="Q14" s="1148">
        <f t="shared" si="6"/>
        <v>111</v>
      </c>
      <c r="R14" s="1563" t="s">
        <v>8</v>
      </c>
      <c r="S14" s="1564">
        <f t="shared" si="0"/>
        <v>100</v>
      </c>
      <c r="T14" s="1563" t="s">
        <v>8</v>
      </c>
      <c r="U14" s="1564">
        <f t="shared" si="1"/>
        <v>100</v>
      </c>
      <c r="V14" s="1563" t="s">
        <v>8</v>
      </c>
      <c r="W14" s="1564">
        <f t="shared" si="2"/>
        <v>100</v>
      </c>
      <c r="X14" s="1565"/>
      <c r="Y14" s="3636"/>
      <c r="Z14" s="1147">
        <f t="shared" si="7"/>
        <v>111</v>
      </c>
      <c r="AA14" s="1566">
        <f t="shared" si="3"/>
        <v>1</v>
      </c>
      <c r="AB14" s="1566">
        <f t="shared" si="4"/>
        <v>1</v>
      </c>
      <c r="AC14" s="1566">
        <f t="shared" si="5"/>
        <v>1</v>
      </c>
    </row>
    <row r="15" spans="1:29" ht="71.25">
      <c r="A15" s="2906" t="s">
        <v>2753</v>
      </c>
      <c r="B15" s="166"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5"/>
      <c r="L15" s="2138"/>
      <c r="M15" s="2130"/>
      <c r="N15" s="2130"/>
      <c r="O15" s="2137"/>
      <c r="P15" s="3681" t="s">
        <v>540</v>
      </c>
      <c r="Q15" s="1567" t="str">
        <f t="shared" si="6"/>
        <v>商业繁华度</v>
      </c>
      <c r="R15" s="1568" t="s">
        <v>8</v>
      </c>
      <c r="S15" s="1569">
        <f t="shared" si="0"/>
        <v>100</v>
      </c>
      <c r="T15" s="1568" t="s">
        <v>8</v>
      </c>
      <c r="U15" s="1569">
        <f t="shared" si="1"/>
        <v>100</v>
      </c>
      <c r="V15" s="1568" t="s">
        <v>8</v>
      </c>
      <c r="W15" s="1569">
        <f t="shared" si="2"/>
        <v>100</v>
      </c>
      <c r="X15" s="1562"/>
      <c r="Y15" s="3681" t="s">
        <v>540</v>
      </c>
      <c r="Z15" s="1570" t="str">
        <f t="shared" si="7"/>
        <v>商业繁华度</v>
      </c>
      <c r="AA15" s="1571">
        <f t="shared" si="3"/>
        <v>1</v>
      </c>
      <c r="AB15" s="1571">
        <f t="shared" si="4"/>
        <v>1</v>
      </c>
      <c r="AC15" s="1571">
        <f t="shared" si="5"/>
        <v>1</v>
      </c>
    </row>
    <row r="16" spans="1:29" ht="15">
      <c r="A16" s="530"/>
      <c r="B16" s="867"/>
      <c r="C16" s="574"/>
      <c r="D16" s="553"/>
      <c r="E16" s="574"/>
      <c r="F16" s="555"/>
      <c r="G16" s="574"/>
      <c r="H16" s="557"/>
      <c r="I16" s="574"/>
      <c r="J16" s="553"/>
      <c r="K16" s="896"/>
      <c r="L16" s="2138"/>
      <c r="M16" s="2130"/>
      <c r="N16" s="2130"/>
      <c r="O16" s="2137"/>
      <c r="P16" s="3682"/>
      <c r="Q16" s="1567"/>
      <c r="R16" s="1568"/>
      <c r="S16" s="1569"/>
      <c r="T16" s="1568"/>
      <c r="U16" s="1569"/>
      <c r="V16" s="1568"/>
      <c r="W16" s="1569"/>
      <c r="X16" s="1562"/>
      <c r="Y16" s="3682"/>
      <c r="Z16" s="1570"/>
      <c r="AA16" s="1571">
        <v>1</v>
      </c>
      <c r="AB16" s="1571">
        <v>1</v>
      </c>
      <c r="AC16" s="1571">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5"/>
      <c r="L17" s="2138"/>
      <c r="M17" s="2130"/>
      <c r="N17" s="2130"/>
      <c r="O17" s="2137"/>
      <c r="P17" s="3682"/>
      <c r="Q17" s="1567" t="str">
        <f>B17</f>
        <v>交通便捷度</v>
      </c>
      <c r="R17" s="1568" t="s">
        <v>8</v>
      </c>
      <c r="S17" s="1569">
        <f>F17</f>
        <v>100</v>
      </c>
      <c r="T17" s="1568" t="s">
        <v>8</v>
      </c>
      <c r="U17" s="1569">
        <f>H17</f>
        <v>100</v>
      </c>
      <c r="V17" s="1568" t="s">
        <v>8</v>
      </c>
      <c r="W17" s="1569">
        <f>J17</f>
        <v>100</v>
      </c>
      <c r="X17" s="1562"/>
      <c r="Y17" s="3682"/>
      <c r="Z17" s="1570" t="str">
        <f>Q17</f>
        <v>交通便捷度</v>
      </c>
      <c r="AA17" s="1571">
        <f t="shared" si="3"/>
        <v>1</v>
      </c>
      <c r="AB17" s="1571">
        <f t="shared" si="4"/>
        <v>1</v>
      </c>
      <c r="AC17" s="1571">
        <f t="shared" si="5"/>
        <v>1</v>
      </c>
    </row>
    <row r="18" spans="1:29" ht="15">
      <c r="A18" s="530"/>
      <c r="B18" s="593"/>
      <c r="C18" s="871"/>
      <c r="D18" s="557"/>
      <c r="E18" s="566"/>
      <c r="F18" s="561"/>
      <c r="G18" s="567"/>
      <c r="H18" s="553"/>
      <c r="I18" s="566"/>
      <c r="J18" s="553"/>
      <c r="K18" s="896"/>
      <c r="L18" s="2138"/>
      <c r="M18" s="2130"/>
      <c r="N18" s="2130"/>
      <c r="O18" s="2137"/>
      <c r="P18" s="3682"/>
      <c r="Q18" s="1567"/>
      <c r="R18" s="1568"/>
      <c r="S18" s="1569"/>
      <c r="T18" s="1568"/>
      <c r="U18" s="1569"/>
      <c r="V18" s="1568"/>
      <c r="W18" s="1569"/>
      <c r="X18" s="1562"/>
      <c r="Y18" s="3682"/>
      <c r="Z18" s="1570"/>
      <c r="AA18" s="1571">
        <v>1</v>
      </c>
      <c r="AB18" s="1571">
        <v>1</v>
      </c>
      <c r="AC18" s="1571">
        <v>1</v>
      </c>
    </row>
    <row r="19" spans="1:29" ht="42.75">
      <c r="A19" s="530"/>
      <c r="B19" s="2596" t="s">
        <v>2546</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5"/>
      <c r="L19" s="2138"/>
      <c r="M19" s="2130"/>
      <c r="N19" s="2130"/>
      <c r="O19" s="2137"/>
      <c r="P19" s="3682"/>
      <c r="Q19" s="1567" t="str">
        <f>B19</f>
        <v>公共配套设施</v>
      </c>
      <c r="R19" s="1568" t="s">
        <v>8</v>
      </c>
      <c r="S19" s="1569">
        <f>F19</f>
        <v>100</v>
      </c>
      <c r="T19" s="1568" t="s">
        <v>8</v>
      </c>
      <c r="U19" s="1569">
        <f>H19</f>
        <v>100</v>
      </c>
      <c r="V19" s="1568" t="s">
        <v>8</v>
      </c>
      <c r="W19" s="1569">
        <f>J19</f>
        <v>100</v>
      </c>
      <c r="X19" s="1562"/>
      <c r="Y19" s="3682"/>
      <c r="Z19" s="1570" t="str">
        <f>Q19</f>
        <v>公共配套设施</v>
      </c>
      <c r="AA19" s="1571">
        <f t="shared" si="3"/>
        <v>1</v>
      </c>
      <c r="AB19" s="1571">
        <f t="shared" si="4"/>
        <v>1</v>
      </c>
      <c r="AC19" s="1571">
        <f t="shared" si="5"/>
        <v>1</v>
      </c>
    </row>
    <row r="20" spans="1:29" ht="15">
      <c r="A20" s="530"/>
      <c r="B20" s="593"/>
      <c r="C20" s="574"/>
      <c r="D20" s="553"/>
      <c r="E20" s="554"/>
      <c r="F20" s="555"/>
      <c r="G20" s="556"/>
      <c r="H20" s="553"/>
      <c r="I20" s="554"/>
      <c r="J20" s="553"/>
      <c r="K20" s="896"/>
      <c r="L20" s="2138"/>
      <c r="M20" s="2130"/>
      <c r="N20" s="2130"/>
      <c r="O20" s="2137"/>
      <c r="P20" s="3682"/>
      <c r="Q20" s="1567"/>
      <c r="R20" s="1568"/>
      <c r="S20" s="1569"/>
      <c r="T20" s="1568"/>
      <c r="U20" s="1569"/>
      <c r="V20" s="1568"/>
      <c r="W20" s="1569"/>
      <c r="X20" s="1562"/>
      <c r="Y20" s="3682"/>
      <c r="Z20" s="1570"/>
      <c r="AA20" s="1571">
        <v>1</v>
      </c>
      <c r="AB20" s="1571">
        <v>1</v>
      </c>
      <c r="AC20" s="1571">
        <v>1</v>
      </c>
    </row>
    <row r="21" spans="1:29" ht="28.5">
      <c r="A21" s="530"/>
      <c r="B21" s="2589" t="s">
        <v>2558</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5"/>
      <c r="L21" s="2138"/>
      <c r="M21" s="2130"/>
      <c r="N21" s="2130"/>
      <c r="O21" s="2137"/>
      <c r="P21" s="3682"/>
      <c r="Q21" s="2575" t="str">
        <f>B21</f>
        <v>基础设施水平</v>
      </c>
      <c r="R21" s="1568" t="s">
        <v>8</v>
      </c>
      <c r="S21" s="1569">
        <f>F21</f>
        <v>100</v>
      </c>
      <c r="T21" s="1568" t="s">
        <v>8</v>
      </c>
      <c r="U21" s="1569">
        <f>H21</f>
        <v>100</v>
      </c>
      <c r="V21" s="1568" t="s">
        <v>8</v>
      </c>
      <c r="W21" s="1569">
        <f>J21</f>
        <v>100</v>
      </c>
      <c r="X21" s="2577"/>
      <c r="Y21" s="3682"/>
      <c r="Z21" s="2576" t="str">
        <f>Q21</f>
        <v>基础设施水平</v>
      </c>
      <c r="AA21" s="1571">
        <f t="shared" ref="AA21" si="8">D21/F21</f>
        <v>1</v>
      </c>
      <c r="AB21" s="1571">
        <f t="shared" ref="AB21" si="9">D21/H21</f>
        <v>1</v>
      </c>
      <c r="AC21" s="1571">
        <f t="shared" ref="AC21" si="10">D21/J21</f>
        <v>1</v>
      </c>
    </row>
    <row r="22" spans="1:29" ht="15">
      <c r="A22" s="530"/>
      <c r="B22" s="919"/>
      <c r="C22" s="871"/>
      <c r="D22" s="553"/>
      <c r="E22" s="574"/>
      <c r="F22" s="555"/>
      <c r="G22" s="574"/>
      <c r="H22" s="553"/>
      <c r="I22" s="574"/>
      <c r="J22" s="553"/>
      <c r="K22" s="2598"/>
      <c r="L22" s="2138"/>
      <c r="M22" s="2130"/>
      <c r="N22" s="2130"/>
      <c r="O22" s="2137"/>
      <c r="P22" s="3682"/>
      <c r="Q22" s="2575"/>
      <c r="R22" s="1568"/>
      <c r="S22" s="1569"/>
      <c r="T22" s="1568"/>
      <c r="U22" s="1569"/>
      <c r="V22" s="1568"/>
      <c r="W22" s="1569"/>
      <c r="X22" s="2577"/>
      <c r="Y22" s="3682"/>
      <c r="Z22" s="2576"/>
      <c r="AA22" s="1571">
        <v>1</v>
      </c>
      <c r="AB22" s="1571">
        <v>1</v>
      </c>
      <c r="AC22" s="1571">
        <v>1</v>
      </c>
    </row>
    <row r="23" spans="1:29" ht="57">
      <c r="A23" s="530"/>
      <c r="B23" s="869" t="s">
        <v>297</v>
      </c>
      <c r="C23" s="897"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5"/>
      <c r="L23" s="2138"/>
      <c r="M23" s="2130"/>
      <c r="N23" s="2130"/>
      <c r="O23" s="2137"/>
      <c r="P23" s="3682"/>
      <c r="Q23" s="1567" t="str">
        <f>B23</f>
        <v>自然及人文环境</v>
      </c>
      <c r="R23" s="1568" t="s">
        <v>8</v>
      </c>
      <c r="S23" s="1569">
        <f>F23</f>
        <v>100</v>
      </c>
      <c r="T23" s="1568" t="s">
        <v>8</v>
      </c>
      <c r="U23" s="1569">
        <f>H23</f>
        <v>100</v>
      </c>
      <c r="V23" s="1568" t="s">
        <v>8</v>
      </c>
      <c r="W23" s="1569">
        <f>J23</f>
        <v>100</v>
      </c>
      <c r="X23" s="1562"/>
      <c r="Y23" s="3682"/>
      <c r="Z23" s="1570" t="str">
        <f>Q23</f>
        <v>自然及人文环境</v>
      </c>
      <c r="AA23" s="1571">
        <f t="shared" si="3"/>
        <v>1</v>
      </c>
      <c r="AB23" s="1571">
        <f t="shared" si="4"/>
        <v>1</v>
      </c>
      <c r="AC23" s="1571">
        <f t="shared" si="5"/>
        <v>1</v>
      </c>
    </row>
    <row r="24" spans="1:29" ht="15">
      <c r="A24" s="530"/>
      <c r="B24" s="593"/>
      <c r="C24" s="574"/>
      <c r="D24" s="553"/>
      <c r="E24" s="554"/>
      <c r="F24" s="555"/>
      <c r="G24" s="556"/>
      <c r="H24" s="553"/>
      <c r="I24" s="554"/>
      <c r="J24" s="553"/>
      <c r="K24" s="896"/>
      <c r="L24" s="2138"/>
      <c r="M24" s="2130"/>
      <c r="N24" s="2130"/>
      <c r="O24" s="2137"/>
      <c r="P24" s="3682"/>
      <c r="Q24" s="1567"/>
      <c r="R24" s="1568"/>
      <c r="S24" s="1569"/>
      <c r="T24" s="1568"/>
      <c r="U24" s="1569"/>
      <c r="V24" s="1568"/>
      <c r="W24" s="1569"/>
      <c r="X24" s="1562"/>
      <c r="Y24" s="3682"/>
      <c r="Z24" s="1570"/>
      <c r="AA24" s="1571">
        <v>1</v>
      </c>
      <c r="AB24" s="1571">
        <v>1</v>
      </c>
      <c r="AC24" s="1571">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38"/>
      <c r="M25" s="2130"/>
      <c r="N25" s="2130"/>
      <c r="O25" s="2137"/>
      <c r="P25" s="3682"/>
      <c r="Q25" s="1567" t="str">
        <f t="shared" ref="Q25:Q46" si="11">B25</f>
        <v>临街状况</v>
      </c>
      <c r="R25" s="1568" t="s">
        <v>8</v>
      </c>
      <c r="S25" s="1569">
        <f>F25</f>
        <v>100</v>
      </c>
      <c r="T25" s="1568" t="s">
        <v>8</v>
      </c>
      <c r="U25" s="1569">
        <f>H25</f>
        <v>100</v>
      </c>
      <c r="V25" s="1568" t="s">
        <v>8</v>
      </c>
      <c r="W25" s="1569">
        <f>J25</f>
        <v>100</v>
      </c>
      <c r="X25" s="1562"/>
      <c r="Y25" s="3682"/>
      <c r="Z25" s="1570" t="str">
        <f>Q25</f>
        <v>临街状况</v>
      </c>
      <c r="AA25" s="1571">
        <f t="shared" si="3"/>
        <v>1</v>
      </c>
      <c r="AB25" s="1571">
        <f t="shared" si="4"/>
        <v>1</v>
      </c>
      <c r="AC25" s="1571">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38"/>
      <c r="M26" s="2130"/>
      <c r="N26" s="2130"/>
      <c r="O26" s="2137"/>
      <c r="P26" s="3682"/>
      <c r="Q26" s="1567" t="str">
        <f t="shared" si="11"/>
        <v>平面位置/可视性</v>
      </c>
      <c r="R26" s="1568" t="s">
        <v>8</v>
      </c>
      <c r="S26" s="1569">
        <f>F26</f>
        <v>100</v>
      </c>
      <c r="T26" s="1568" t="s">
        <v>8</v>
      </c>
      <c r="U26" s="1569">
        <f>H26</f>
        <v>100</v>
      </c>
      <c r="V26" s="1568" t="s">
        <v>8</v>
      </c>
      <c r="W26" s="1569">
        <f>J26</f>
        <v>100</v>
      </c>
      <c r="X26" s="1562"/>
      <c r="Y26" s="3682"/>
      <c r="Z26" s="1570" t="str">
        <f>Q26</f>
        <v>平面位置/可视性</v>
      </c>
      <c r="AA26" s="1571">
        <f t="shared" si="3"/>
        <v>1</v>
      </c>
      <c r="AB26" s="1571">
        <f t="shared" si="4"/>
        <v>1</v>
      </c>
      <c r="AC26" s="1571">
        <f t="shared" si="5"/>
        <v>1</v>
      </c>
    </row>
    <row r="27" spans="1:29" s="1217" customFormat="1" ht="15">
      <c r="A27" s="534"/>
      <c r="B27" s="869" t="s">
        <v>759</v>
      </c>
      <c r="C27" s="898"/>
      <c r="D27" s="873">
        <v>100</v>
      </c>
      <c r="E27" s="898"/>
      <c r="F27" s="874">
        <f>SUMIF(90:90,E27,91:91)-SUMIF(90:90,C27,91:91)+100</f>
        <v>100</v>
      </c>
      <c r="G27" s="898"/>
      <c r="H27" s="873">
        <f>SUMIF(90:90,G27,91:91)-SUMIF(90:90,C27,91:91)+100</f>
        <v>100</v>
      </c>
      <c r="I27" s="898"/>
      <c r="J27" s="873">
        <f>SUMIF(90:90,I27,91:91)-SUMIF(90:90,C27,91:91)+100</f>
        <v>100</v>
      </c>
      <c r="K27" s="582"/>
      <c r="L27" s="2131"/>
      <c r="M27" s="2132"/>
      <c r="N27" s="2132"/>
      <c r="O27" s="2133"/>
      <c r="P27" s="3682"/>
      <c r="Q27" s="1148" t="str">
        <f t="shared" si="11"/>
        <v>人流量</v>
      </c>
      <c r="R27" s="1563" t="s">
        <v>8</v>
      </c>
      <c r="S27" s="1564">
        <f>F27</f>
        <v>100</v>
      </c>
      <c r="T27" s="1563" t="s">
        <v>8</v>
      </c>
      <c r="U27" s="1564">
        <f>H27</f>
        <v>100</v>
      </c>
      <c r="V27" s="1563" t="s">
        <v>8</v>
      </c>
      <c r="W27" s="1564">
        <f>J27</f>
        <v>100</v>
      </c>
      <c r="X27" s="1565"/>
      <c r="Y27" s="3682"/>
      <c r="Z27" s="1147" t="str">
        <f>Q27</f>
        <v>人流量</v>
      </c>
      <c r="AA27" s="1571">
        <f>D27/F27</f>
        <v>1</v>
      </c>
      <c r="AB27" s="1571">
        <f>D27/H27</f>
        <v>1</v>
      </c>
      <c r="AC27" s="1571">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38"/>
      <c r="M28" s="2130"/>
      <c r="N28" s="2130"/>
      <c r="O28" s="2137"/>
      <c r="P28" s="3682"/>
      <c r="Q28" s="1567" t="str">
        <f t="shared" si="11"/>
        <v>楼层</v>
      </c>
      <c r="R28" s="1568" t="s">
        <v>8</v>
      </c>
      <c r="S28" s="1569">
        <f t="shared" ref="S28:S46" si="12">F28</f>
        <v>100</v>
      </c>
      <c r="T28" s="1568" t="s">
        <v>8</v>
      </c>
      <c r="U28" s="1569">
        <f t="shared" ref="U28:U46" si="13">H28</f>
        <v>100</v>
      </c>
      <c r="V28" s="1568" t="s">
        <v>8</v>
      </c>
      <c r="W28" s="1569">
        <f t="shared" ref="W28:W46" si="14">J28</f>
        <v>100</v>
      </c>
      <c r="X28" s="1562"/>
      <c r="Y28" s="3682"/>
      <c r="Z28" s="1570" t="str">
        <f t="shared" ref="Z28:Z46" si="15">Q28</f>
        <v>楼层</v>
      </c>
      <c r="AA28" s="1571">
        <f t="shared" si="3"/>
        <v>1</v>
      </c>
      <c r="AB28" s="1571">
        <f t="shared" si="4"/>
        <v>1</v>
      </c>
      <c r="AC28" s="1571">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38"/>
      <c r="M29" s="2130"/>
      <c r="N29" s="2130"/>
      <c r="O29" s="2137"/>
      <c r="P29" s="3682"/>
      <c r="Q29" s="1567">
        <f t="shared" si="11"/>
        <v>111</v>
      </c>
      <c r="R29" s="1568" t="s">
        <v>8</v>
      </c>
      <c r="S29" s="1569">
        <f t="shared" si="12"/>
        <v>100</v>
      </c>
      <c r="T29" s="1568" t="s">
        <v>8</v>
      </c>
      <c r="U29" s="1569">
        <f t="shared" si="13"/>
        <v>100</v>
      </c>
      <c r="V29" s="1568" t="s">
        <v>8</v>
      </c>
      <c r="W29" s="1569">
        <f t="shared" si="14"/>
        <v>100</v>
      </c>
      <c r="X29" s="1562"/>
      <c r="Y29" s="3682"/>
      <c r="Z29" s="1570">
        <f t="shared" si="15"/>
        <v>111</v>
      </c>
      <c r="AA29" s="1571">
        <f t="shared" si="3"/>
        <v>1</v>
      </c>
      <c r="AB29" s="1571">
        <f t="shared" si="4"/>
        <v>1</v>
      </c>
      <c r="AC29" s="1571">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38"/>
      <c r="M30" s="2130"/>
      <c r="N30" s="2130"/>
      <c r="O30" s="2137"/>
      <c r="P30" s="3682"/>
      <c r="Q30" s="1567">
        <f t="shared" si="11"/>
        <v>111</v>
      </c>
      <c r="R30" s="1568" t="s">
        <v>8</v>
      </c>
      <c r="S30" s="1569">
        <f t="shared" si="12"/>
        <v>100</v>
      </c>
      <c r="T30" s="1568" t="s">
        <v>8</v>
      </c>
      <c r="U30" s="1569">
        <f t="shared" si="13"/>
        <v>100</v>
      </c>
      <c r="V30" s="1568" t="s">
        <v>8</v>
      </c>
      <c r="W30" s="1569">
        <f t="shared" si="14"/>
        <v>100</v>
      </c>
      <c r="X30" s="1562"/>
      <c r="Y30" s="3682"/>
      <c r="Z30" s="1570">
        <f t="shared" si="15"/>
        <v>111</v>
      </c>
      <c r="AA30" s="1571">
        <f t="shared" si="3"/>
        <v>1</v>
      </c>
      <c r="AB30" s="1571">
        <f t="shared" si="4"/>
        <v>1</v>
      </c>
      <c r="AC30" s="1571">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38"/>
      <c r="M31" s="2130"/>
      <c r="N31" s="2130"/>
      <c r="O31" s="2137"/>
      <c r="P31" s="3682"/>
      <c r="Q31" s="1567">
        <f t="shared" si="11"/>
        <v>111</v>
      </c>
      <c r="R31" s="1568" t="s">
        <v>8</v>
      </c>
      <c r="S31" s="1569">
        <f t="shared" si="12"/>
        <v>100</v>
      </c>
      <c r="T31" s="1568" t="s">
        <v>8</v>
      </c>
      <c r="U31" s="1569">
        <f t="shared" si="13"/>
        <v>100</v>
      </c>
      <c r="V31" s="1568" t="s">
        <v>8</v>
      </c>
      <c r="W31" s="1569">
        <f t="shared" si="14"/>
        <v>100</v>
      </c>
      <c r="X31" s="1562"/>
      <c r="Y31" s="3682"/>
      <c r="Z31" s="1570">
        <f t="shared" si="15"/>
        <v>111</v>
      </c>
      <c r="AA31" s="1571">
        <f t="shared" si="3"/>
        <v>1</v>
      </c>
      <c r="AB31" s="1571">
        <f t="shared" si="4"/>
        <v>1</v>
      </c>
      <c r="AC31" s="1571">
        <f t="shared" si="5"/>
        <v>1</v>
      </c>
    </row>
    <row r="32" spans="1:29" ht="15">
      <c r="A32" s="2903" t="s">
        <v>2754</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38"/>
      <c r="M32" s="2130"/>
      <c r="N32" s="2130"/>
      <c r="O32" s="2137"/>
      <c r="P32" s="3683" t="s">
        <v>550</v>
      </c>
      <c r="Q32" s="1567" t="str">
        <f t="shared" si="11"/>
        <v>商业类型</v>
      </c>
      <c r="R32" s="1568" t="s">
        <v>8</v>
      </c>
      <c r="S32" s="1569">
        <f t="shared" si="12"/>
        <v>100</v>
      </c>
      <c r="T32" s="1568" t="s">
        <v>8</v>
      </c>
      <c r="U32" s="1569">
        <f t="shared" si="13"/>
        <v>100</v>
      </c>
      <c r="V32" s="1568" t="s">
        <v>8</v>
      </c>
      <c r="W32" s="1569">
        <f t="shared" si="14"/>
        <v>100</v>
      </c>
      <c r="X32" s="1562"/>
      <c r="Y32" s="3684" t="s">
        <v>550</v>
      </c>
      <c r="Z32" s="1570" t="str">
        <f t="shared" si="15"/>
        <v>商业类型</v>
      </c>
      <c r="AA32" s="1571">
        <f t="shared" si="3"/>
        <v>1</v>
      </c>
      <c r="AB32" s="1571">
        <f t="shared" si="4"/>
        <v>1</v>
      </c>
      <c r="AC32" s="1571">
        <f t="shared" si="5"/>
        <v>1</v>
      </c>
    </row>
    <row r="33" spans="1:29" s="1336" customFormat="1" ht="15">
      <c r="A33" s="601"/>
      <c r="B33" s="525" t="s">
        <v>726</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6"/>
      <c r="M33" s="2167"/>
      <c r="N33" s="2167"/>
      <c r="O33" s="2139"/>
      <c r="P33" s="3684"/>
      <c r="Q33" s="1600" t="str">
        <f t="shared" si="11"/>
        <v>项目建筑规模</v>
      </c>
      <c r="R33" s="1572" t="s">
        <v>8</v>
      </c>
      <c r="S33" s="1573" t="e">
        <f t="shared" si="12"/>
        <v>#N/A</v>
      </c>
      <c r="T33" s="1572" t="s">
        <v>8</v>
      </c>
      <c r="U33" s="1573" t="e">
        <f t="shared" si="13"/>
        <v>#N/A</v>
      </c>
      <c r="V33" s="1572" t="s">
        <v>8</v>
      </c>
      <c r="W33" s="1573" t="e">
        <f t="shared" si="14"/>
        <v>#N/A</v>
      </c>
      <c r="X33" s="1574"/>
      <c r="Y33" s="3684"/>
      <c r="Z33" s="1575" t="str">
        <f t="shared" si="15"/>
        <v>项目建筑规模</v>
      </c>
      <c r="AA33" s="1571" t="e">
        <f t="shared" si="3"/>
        <v>#N/A</v>
      </c>
      <c r="AB33" s="1571" t="e">
        <f t="shared" si="4"/>
        <v>#N/A</v>
      </c>
      <c r="AC33" s="1571" t="e">
        <f t="shared" si="5"/>
        <v>#N/A</v>
      </c>
    </row>
    <row r="34" spans="1:29" ht="15">
      <c r="A34" s="592"/>
      <c r="B34" s="525" t="s">
        <v>727</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38"/>
      <c r="M34" s="2130"/>
      <c r="N34" s="2130"/>
      <c r="O34" s="2137"/>
      <c r="P34" s="3684"/>
      <c r="Q34" s="1567" t="str">
        <f t="shared" si="11"/>
        <v>建筑结构</v>
      </c>
      <c r="R34" s="1568" t="s">
        <v>8</v>
      </c>
      <c r="S34" s="1569">
        <f t="shared" si="12"/>
        <v>100</v>
      </c>
      <c r="T34" s="1568" t="s">
        <v>8</v>
      </c>
      <c r="U34" s="1569">
        <f t="shared" si="13"/>
        <v>100</v>
      </c>
      <c r="V34" s="1568" t="s">
        <v>8</v>
      </c>
      <c r="W34" s="1569">
        <f t="shared" si="14"/>
        <v>100</v>
      </c>
      <c r="X34" s="1562"/>
      <c r="Y34" s="3684"/>
      <c r="Z34" s="1570" t="str">
        <f t="shared" si="15"/>
        <v>建筑结构</v>
      </c>
      <c r="AA34" s="1571">
        <f t="shared" si="3"/>
        <v>1</v>
      </c>
      <c r="AB34" s="1571">
        <f t="shared" si="4"/>
        <v>1</v>
      </c>
      <c r="AC34" s="1571">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38"/>
      <c r="M35" s="2130"/>
      <c r="N35" s="2130"/>
      <c r="O35" s="2137"/>
      <c r="P35" s="3684"/>
      <c r="Q35" s="1567" t="str">
        <f t="shared" si="11"/>
        <v>公共部分装修</v>
      </c>
      <c r="R35" s="1568" t="s">
        <v>8</v>
      </c>
      <c r="S35" s="1569">
        <f t="shared" si="12"/>
        <v>100</v>
      </c>
      <c r="T35" s="1568" t="s">
        <v>8</v>
      </c>
      <c r="U35" s="1569">
        <f t="shared" si="13"/>
        <v>100</v>
      </c>
      <c r="V35" s="1568" t="s">
        <v>8</v>
      </c>
      <c r="W35" s="1569">
        <f t="shared" si="14"/>
        <v>100</v>
      </c>
      <c r="X35" s="1562"/>
      <c r="Y35" s="3684"/>
      <c r="Z35" s="1570" t="str">
        <f t="shared" si="15"/>
        <v>公共部分装修</v>
      </c>
      <c r="AA35" s="1571">
        <f t="shared" si="3"/>
        <v>1</v>
      </c>
      <c r="AB35" s="1571">
        <f t="shared" si="4"/>
        <v>1</v>
      </c>
      <c r="AC35" s="1571">
        <f t="shared" si="5"/>
        <v>1</v>
      </c>
    </row>
    <row r="36" spans="1:29" ht="15">
      <c r="A36" s="592"/>
      <c r="B36" s="525" t="s">
        <v>764</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38"/>
      <c r="M36" s="2130"/>
      <c r="N36" s="2130"/>
      <c r="O36" s="2137"/>
      <c r="P36" s="3684"/>
      <c r="Q36" s="1567" t="str">
        <f t="shared" si="11"/>
        <v>成新度</v>
      </c>
      <c r="R36" s="1568" t="s">
        <v>8</v>
      </c>
      <c r="S36" s="1569" t="e">
        <f t="shared" si="12"/>
        <v>#N/A</v>
      </c>
      <c r="T36" s="1568" t="s">
        <v>8</v>
      </c>
      <c r="U36" s="1569" t="e">
        <f t="shared" si="13"/>
        <v>#N/A</v>
      </c>
      <c r="V36" s="1568" t="s">
        <v>8</v>
      </c>
      <c r="W36" s="1569" t="e">
        <f t="shared" si="14"/>
        <v>#N/A</v>
      </c>
      <c r="X36" s="1562"/>
      <c r="Y36" s="3684"/>
      <c r="Z36" s="1570" t="str">
        <f t="shared" si="15"/>
        <v>成新度</v>
      </c>
      <c r="AA36" s="1571" t="e">
        <f t="shared" si="3"/>
        <v>#N/A</v>
      </c>
      <c r="AB36" s="1571" t="e">
        <f t="shared" si="4"/>
        <v>#N/A</v>
      </c>
      <c r="AC36" s="1571" t="e">
        <f t="shared" si="5"/>
        <v>#N/A</v>
      </c>
    </row>
    <row r="37" spans="1:29" s="1217" customFormat="1" ht="15">
      <c r="A37" s="598"/>
      <c r="B37" s="1891" t="s">
        <v>2565</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1"/>
      <c r="M37" s="2132"/>
      <c r="N37" s="2132"/>
      <c r="O37" s="2133"/>
      <c r="P37" s="3684"/>
      <c r="Q37" s="1148" t="str">
        <f t="shared" si="11"/>
        <v>市政基础设施</v>
      </c>
      <c r="R37" s="1563" t="s">
        <v>8</v>
      </c>
      <c r="S37" s="1564">
        <f t="shared" si="12"/>
        <v>100</v>
      </c>
      <c r="T37" s="1563" t="s">
        <v>8</v>
      </c>
      <c r="U37" s="1564">
        <f t="shared" si="13"/>
        <v>100</v>
      </c>
      <c r="V37" s="1563" t="s">
        <v>8</v>
      </c>
      <c r="W37" s="1564">
        <f t="shared" si="14"/>
        <v>100</v>
      </c>
      <c r="X37" s="1565"/>
      <c r="Y37" s="3684"/>
      <c r="Z37" s="1147" t="str">
        <f t="shared" si="15"/>
        <v>市政基础设施</v>
      </c>
      <c r="AA37" s="1566">
        <f t="shared" si="3"/>
        <v>1</v>
      </c>
      <c r="AB37" s="1566">
        <f t="shared" si="4"/>
        <v>1</v>
      </c>
      <c r="AC37" s="1566">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38"/>
      <c r="M38" s="2130"/>
      <c r="N38" s="2130"/>
      <c r="O38" s="2137"/>
      <c r="P38" s="3684" t="s">
        <v>766</v>
      </c>
      <c r="Q38" s="1567" t="str">
        <f t="shared" si="11"/>
        <v>业态</v>
      </c>
      <c r="R38" s="1568" t="s">
        <v>8</v>
      </c>
      <c r="S38" s="1569">
        <f t="shared" si="12"/>
        <v>100</v>
      </c>
      <c r="T38" s="1568" t="s">
        <v>8</v>
      </c>
      <c r="U38" s="1569">
        <f t="shared" si="13"/>
        <v>100</v>
      </c>
      <c r="V38" s="1568" t="s">
        <v>8</v>
      </c>
      <c r="W38" s="1569">
        <f t="shared" si="14"/>
        <v>100</v>
      </c>
      <c r="X38" s="1562"/>
      <c r="Y38" s="3684" t="s">
        <v>766</v>
      </c>
      <c r="Z38" s="1570" t="str">
        <f t="shared" si="15"/>
        <v>业态</v>
      </c>
      <c r="AA38" s="1571">
        <f t="shared" si="3"/>
        <v>1</v>
      </c>
      <c r="AB38" s="1571">
        <f t="shared" si="4"/>
        <v>1</v>
      </c>
      <c r="AC38" s="1571">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38"/>
      <c r="M39" s="2130"/>
      <c r="N39" s="2130"/>
      <c r="O39" s="2137"/>
      <c r="P39" s="3684"/>
      <c r="Q39" s="1567" t="str">
        <f t="shared" si="11"/>
        <v>层高</v>
      </c>
      <c r="R39" s="1568" t="s">
        <v>8</v>
      </c>
      <c r="S39" s="1569">
        <f t="shared" si="12"/>
        <v>100</v>
      </c>
      <c r="T39" s="1568" t="s">
        <v>8</v>
      </c>
      <c r="U39" s="1569">
        <f t="shared" si="13"/>
        <v>100</v>
      </c>
      <c r="V39" s="1568" t="s">
        <v>8</v>
      </c>
      <c r="W39" s="1569">
        <f t="shared" si="14"/>
        <v>100</v>
      </c>
      <c r="X39" s="1562"/>
      <c r="Y39" s="3684"/>
      <c r="Z39" s="1570" t="str">
        <f t="shared" si="15"/>
        <v>层高</v>
      </c>
      <c r="AA39" s="1571">
        <f t="shared" si="3"/>
        <v>1</v>
      </c>
      <c r="AB39" s="1571">
        <f t="shared" si="4"/>
        <v>1</v>
      </c>
      <c r="AC39" s="1571">
        <f t="shared" si="5"/>
        <v>1</v>
      </c>
    </row>
    <row r="40" spans="1:29" ht="15">
      <c r="A40" s="592"/>
      <c r="B40" s="525" t="s">
        <v>768</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38"/>
      <c r="M40" s="2130"/>
      <c r="N40" s="2130"/>
      <c r="O40" s="2137"/>
      <c r="P40" s="3684"/>
      <c r="Q40" s="1567" t="str">
        <f t="shared" si="11"/>
        <v>单套建筑面积</v>
      </c>
      <c r="R40" s="1568" t="s">
        <v>8</v>
      </c>
      <c r="S40" s="1569">
        <f t="shared" si="12"/>
        <v>100</v>
      </c>
      <c r="T40" s="1568" t="s">
        <v>8</v>
      </c>
      <c r="U40" s="1569">
        <f t="shared" si="13"/>
        <v>100</v>
      </c>
      <c r="V40" s="1568" t="s">
        <v>8</v>
      </c>
      <c r="W40" s="1569">
        <f t="shared" si="14"/>
        <v>100</v>
      </c>
      <c r="X40" s="1562"/>
      <c r="Y40" s="3684"/>
      <c r="Z40" s="1570" t="str">
        <f t="shared" si="15"/>
        <v>单套建筑面积</v>
      </c>
      <c r="AA40" s="1571">
        <f t="shared" si="3"/>
        <v>1</v>
      </c>
      <c r="AB40" s="1571">
        <f t="shared" si="4"/>
        <v>1</v>
      </c>
      <c r="AC40" s="1571">
        <f t="shared" si="5"/>
        <v>1</v>
      </c>
    </row>
    <row r="41" spans="1:29" s="1336" customFormat="1" ht="15">
      <c r="A41" s="601"/>
      <c r="B41" s="901"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6"/>
      <c r="M41" s="2167"/>
      <c r="N41" s="2167"/>
      <c r="O41" s="2139"/>
      <c r="P41" s="3684"/>
      <c r="Q41" s="1600" t="str">
        <f t="shared" si="11"/>
        <v>进深比</v>
      </c>
      <c r="R41" s="1572" t="s">
        <v>8</v>
      </c>
      <c r="S41" s="1573">
        <f t="shared" si="12"/>
        <v>100</v>
      </c>
      <c r="T41" s="1572" t="s">
        <v>8</v>
      </c>
      <c r="U41" s="1573">
        <f t="shared" si="13"/>
        <v>100</v>
      </c>
      <c r="V41" s="1572" t="s">
        <v>8</v>
      </c>
      <c r="W41" s="1573">
        <f t="shared" si="14"/>
        <v>100</v>
      </c>
      <c r="X41" s="1574"/>
      <c r="Y41" s="3684"/>
      <c r="Z41" s="1575" t="str">
        <f t="shared" si="15"/>
        <v>进深比</v>
      </c>
      <c r="AA41" s="1571">
        <f t="shared" si="3"/>
        <v>1</v>
      </c>
      <c r="AB41" s="1571">
        <f t="shared" si="4"/>
        <v>1</v>
      </c>
      <c r="AC41" s="1571">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38"/>
      <c r="M42" s="2130"/>
      <c r="N42" s="2130"/>
      <c r="O42" s="2137"/>
      <c r="P42" s="3684"/>
      <c r="Q42" s="1567" t="str">
        <f t="shared" si="11"/>
        <v>内部装修</v>
      </c>
      <c r="R42" s="1568" t="s">
        <v>8</v>
      </c>
      <c r="S42" s="1569">
        <f t="shared" si="12"/>
        <v>100</v>
      </c>
      <c r="T42" s="1568" t="s">
        <v>8</v>
      </c>
      <c r="U42" s="1569">
        <f t="shared" si="13"/>
        <v>100</v>
      </c>
      <c r="V42" s="1568" t="s">
        <v>8</v>
      </c>
      <c r="W42" s="1569">
        <f t="shared" si="14"/>
        <v>100</v>
      </c>
      <c r="X42" s="1562"/>
      <c r="Y42" s="3684"/>
      <c r="Z42" s="1570" t="str">
        <f t="shared" si="15"/>
        <v>内部装修</v>
      </c>
      <c r="AA42" s="1571">
        <f t="shared" si="3"/>
        <v>1</v>
      </c>
      <c r="AB42" s="1571">
        <f t="shared" si="4"/>
        <v>1</v>
      </c>
      <c r="AC42" s="1571">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38"/>
      <c r="M43" s="2130"/>
      <c r="N43" s="2130"/>
      <c r="O43" s="2137"/>
      <c r="P43" s="3684"/>
      <c r="Q43" s="1567" t="str">
        <f t="shared" si="11"/>
        <v>内部装修维护情况</v>
      </c>
      <c r="R43" s="1568" t="s">
        <v>8</v>
      </c>
      <c r="S43" s="1569">
        <f t="shared" si="12"/>
        <v>100</v>
      </c>
      <c r="T43" s="1568" t="s">
        <v>8</v>
      </c>
      <c r="U43" s="1569">
        <f t="shared" si="13"/>
        <v>100</v>
      </c>
      <c r="V43" s="1568" t="s">
        <v>8</v>
      </c>
      <c r="W43" s="1569">
        <f t="shared" si="14"/>
        <v>100</v>
      </c>
      <c r="X43" s="1562"/>
      <c r="Y43" s="3684"/>
      <c r="Z43" s="1570" t="str">
        <f t="shared" si="15"/>
        <v>内部装修维护情况</v>
      </c>
      <c r="AA43" s="1571">
        <f t="shared" si="3"/>
        <v>1</v>
      </c>
      <c r="AB43" s="1571">
        <f t="shared" si="4"/>
        <v>1</v>
      </c>
      <c r="AC43" s="1571">
        <f t="shared" si="5"/>
        <v>1</v>
      </c>
    </row>
    <row r="44" spans="1:29" s="1217"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31"/>
      <c r="M44" s="2132"/>
      <c r="N44" s="2132"/>
      <c r="O44" s="2133"/>
      <c r="P44" s="3684"/>
      <c r="Q44" s="1148">
        <f t="shared" si="11"/>
        <v>111</v>
      </c>
      <c r="R44" s="1563" t="s">
        <v>8</v>
      </c>
      <c r="S44" s="1564">
        <f t="shared" si="12"/>
        <v>100</v>
      </c>
      <c r="T44" s="1563" t="s">
        <v>8</v>
      </c>
      <c r="U44" s="1564">
        <f t="shared" si="13"/>
        <v>100</v>
      </c>
      <c r="V44" s="1563" t="s">
        <v>8</v>
      </c>
      <c r="W44" s="1564">
        <f t="shared" si="14"/>
        <v>100</v>
      </c>
      <c r="X44" s="1565"/>
      <c r="Y44" s="3684"/>
      <c r="Z44" s="1147">
        <f t="shared" si="15"/>
        <v>111</v>
      </c>
      <c r="AA44" s="1566">
        <f t="shared" si="3"/>
        <v>1</v>
      </c>
      <c r="AB44" s="1566">
        <f t="shared" si="4"/>
        <v>1</v>
      </c>
      <c r="AC44" s="1566">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38"/>
      <c r="M45" s="2130"/>
      <c r="N45" s="2130"/>
      <c r="O45" s="2137"/>
      <c r="P45" s="3684"/>
      <c r="Q45" s="1567">
        <f t="shared" si="11"/>
        <v>111</v>
      </c>
      <c r="R45" s="1568" t="s">
        <v>8</v>
      </c>
      <c r="S45" s="1569">
        <f t="shared" si="12"/>
        <v>100</v>
      </c>
      <c r="T45" s="1568" t="s">
        <v>8</v>
      </c>
      <c r="U45" s="1569">
        <f t="shared" si="13"/>
        <v>100</v>
      </c>
      <c r="V45" s="1568" t="s">
        <v>8</v>
      </c>
      <c r="W45" s="1569">
        <f t="shared" si="14"/>
        <v>100</v>
      </c>
      <c r="X45" s="1562"/>
      <c r="Y45" s="3684"/>
      <c r="Z45" s="1570">
        <f t="shared" si="15"/>
        <v>111</v>
      </c>
      <c r="AA45" s="1571">
        <f t="shared" si="3"/>
        <v>1</v>
      </c>
      <c r="AB45" s="1571">
        <f t="shared" si="4"/>
        <v>1</v>
      </c>
      <c r="AC45" s="1571">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38"/>
      <c r="M46" s="2130"/>
      <c r="N46" s="2130"/>
      <c r="O46" s="2137"/>
      <c r="P46" s="3764"/>
      <c r="Q46" s="1567">
        <f t="shared" si="11"/>
        <v>111</v>
      </c>
      <c r="R46" s="1568" t="s">
        <v>8</v>
      </c>
      <c r="S46" s="1569">
        <f t="shared" si="12"/>
        <v>100</v>
      </c>
      <c r="T46" s="1568" t="s">
        <v>8</v>
      </c>
      <c r="U46" s="1569">
        <f t="shared" si="13"/>
        <v>100</v>
      </c>
      <c r="V46" s="1568" t="s">
        <v>8</v>
      </c>
      <c r="W46" s="1569">
        <f t="shared" si="14"/>
        <v>100</v>
      </c>
      <c r="X46" s="1562"/>
      <c r="Y46" s="3764"/>
      <c r="Z46" s="1570">
        <f t="shared" si="15"/>
        <v>111</v>
      </c>
      <c r="AA46" s="1571">
        <f t="shared" si="3"/>
        <v>1</v>
      </c>
      <c r="AB46" s="1571">
        <f t="shared" si="4"/>
        <v>1</v>
      </c>
      <c r="AC46" s="1571">
        <f t="shared" si="5"/>
        <v>1</v>
      </c>
    </row>
    <row r="47" spans="1:29" ht="15">
      <c r="A47" s="605" t="s">
        <v>736</v>
      </c>
      <c r="B47" s="884"/>
      <c r="C47" s="2623" t="s">
        <v>1</v>
      </c>
      <c r="D47" s="2624"/>
      <c r="E47" s="2625"/>
      <c r="F47" s="2626"/>
      <c r="G47" s="2627"/>
      <c r="H47" s="2628"/>
      <c r="I47" s="2625"/>
      <c r="J47" s="2628"/>
      <c r="K47" s="1606"/>
      <c r="L47" s="2140"/>
      <c r="M47" s="2141"/>
      <c r="N47" s="2130"/>
      <c r="O47" s="2141"/>
      <c r="P47" s="3679" t="str">
        <f>A47</f>
        <v>成交单价（元/平方米）</v>
      </c>
      <c r="Q47" s="3679"/>
      <c r="R47" s="3763">
        <f>E47</f>
        <v>0</v>
      </c>
      <c r="S47" s="3763"/>
      <c r="T47" s="3763">
        <f>G47</f>
        <v>0</v>
      </c>
      <c r="U47" s="3763"/>
      <c r="V47" s="3763">
        <f>I47</f>
        <v>0</v>
      </c>
      <c r="W47" s="3763"/>
      <c r="X47" s="1554"/>
      <c r="Y47" s="1576"/>
      <c r="Z47" s="1554"/>
      <c r="AA47" s="1554"/>
      <c r="AB47" s="1554"/>
      <c r="AC47" s="1554"/>
    </row>
    <row r="48" spans="1:29" ht="15.75" thickBot="1">
      <c r="A48" s="613" t="s">
        <v>2759</v>
      </c>
      <c r="B48" s="885"/>
      <c r="C48" s="2629" t="e">
        <f>R49</f>
        <v>#DIV/0!</v>
      </c>
      <c r="D48" s="2630"/>
      <c r="E48" s="2631" t="e">
        <f>R48</f>
        <v>#DIV/0!</v>
      </c>
      <c r="F48" s="2631"/>
      <c r="G48" s="2629" t="e">
        <f>T48</f>
        <v>#DIV/0!</v>
      </c>
      <c r="H48" s="2630"/>
      <c r="I48" s="2631" t="e">
        <f>V48</f>
        <v>#DIV/0!</v>
      </c>
      <c r="J48" s="2630"/>
      <c r="K48" s="1607"/>
      <c r="L48" s="2140"/>
      <c r="M48" s="2141"/>
      <c r="N48" s="2130"/>
      <c r="O48" s="2141"/>
      <c r="P48" s="3679" t="str">
        <f>A48</f>
        <v>比较价格（元/平方米）</v>
      </c>
      <c r="Q48" s="3679"/>
      <c r="R48" s="3763" t="e">
        <f>IF(F1="售价",ROUND(PRODUCT(R47,AA7:AA46),0),ROUND(PRODUCT(R47,AA7:AA46),1))</f>
        <v>#DIV/0!</v>
      </c>
      <c r="S48" s="3763"/>
      <c r="T48" s="3763" t="e">
        <f>IF(F1="售价",ROUND(PRODUCT(T47,AB7:AB46),0),ROUND(PRODUCT(T47,AB7:AB46),1))</f>
        <v>#DIV/0!</v>
      </c>
      <c r="U48" s="3763"/>
      <c r="V48" s="3763" t="e">
        <f>IF(F1="售价",ROUND(PRODUCT(V47,AC7:AC46),0),ROUND(PRODUCT(V47,AC7:AC46),1))</f>
        <v>#DIV/0!</v>
      </c>
      <c r="W48" s="3763"/>
      <c r="X48" s="1554"/>
      <c r="Y48" s="1554"/>
      <c r="Z48" s="1554"/>
      <c r="AA48" s="1554"/>
      <c r="AB48" s="1554"/>
      <c r="AC48" s="1554"/>
    </row>
    <row r="49" spans="1:29" ht="15.75" thickBot="1">
      <c r="A49" s="619" t="s">
        <v>2934</v>
      </c>
      <c r="B49" s="620"/>
      <c r="C49" s="2632" t="e">
        <f>R49</f>
        <v>#DIV/0!</v>
      </c>
      <c r="D49" s="2632"/>
      <c r="E49" s="2632"/>
      <c r="F49" s="2632"/>
      <c r="G49" s="2632"/>
      <c r="H49" s="2632"/>
      <c r="I49" s="2632"/>
      <c r="J49" s="2632"/>
      <c r="K49" s="1608"/>
      <c r="L49" s="2140"/>
      <c r="M49" s="2141"/>
      <c r="N49" s="2130"/>
      <c r="O49" s="2141"/>
      <c r="P49" s="3700" t="str">
        <f>A49</f>
        <v>估价对象XX用房的比较价格（楼面单价，元/平方米）</v>
      </c>
      <c r="Q49" s="3701"/>
      <c r="R49" s="3762" t="e">
        <f>IF(F1="售价",ROUND(AVERAGE(R48:V48),0),ROUND(AVERAGE(R48:V48),1))</f>
        <v>#DIV/0!</v>
      </c>
      <c r="S49" s="3762"/>
      <c r="T49" s="3762"/>
      <c r="U49" s="3762"/>
      <c r="V49" s="3762"/>
      <c r="W49" s="3762"/>
      <c r="X49" s="1554"/>
      <c r="Y49" s="1554"/>
      <c r="Z49" s="1554"/>
      <c r="AA49" s="1554"/>
      <c r="AB49" s="1554"/>
      <c r="AC49" s="1554"/>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2" customFormat="1" ht="13.5" customHeight="1">
      <c r="A54" s="2142"/>
      <c r="B54" s="2142"/>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2"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79" t="s">
        <v>574</v>
      </c>
      <c r="B57" s="1554"/>
      <c r="C57" s="1578"/>
      <c r="D57" s="1578"/>
      <c r="E57" s="1578"/>
      <c r="F57" s="1580"/>
      <c r="G57" s="1580"/>
      <c r="H57" s="1578"/>
      <c r="I57" s="1578"/>
      <c r="J57" s="1578"/>
      <c r="K57" s="1581"/>
      <c r="L57" s="1577"/>
      <c r="M57" s="1578"/>
      <c r="N57" s="1578"/>
      <c r="O57" s="1578"/>
      <c r="P57" s="2153"/>
      <c r="Q57" s="2154"/>
      <c r="R57" s="2141"/>
      <c r="S57" s="2141"/>
      <c r="T57" s="2141"/>
      <c r="U57" s="2141"/>
      <c r="V57" s="2141"/>
      <c r="W57" s="2141"/>
      <c r="X57" s="2141"/>
      <c r="Y57" s="2141"/>
      <c r="Z57" s="2141"/>
      <c r="AA57" s="2141"/>
      <c r="AB57" s="2141"/>
      <c r="AC57" s="2141"/>
    </row>
    <row r="58" spans="1:29" s="1344" customFormat="1" ht="15">
      <c r="A58" s="643" t="s">
        <v>529</v>
      </c>
      <c r="B58" s="644"/>
      <c r="C58" s="2798" t="str">
        <f>YEAR(C7)&amp;"-"&amp;MONTH(C7)</f>
        <v>2018-9</v>
      </c>
      <c r="D58" s="2800">
        <f>EDATE(C58,-1)</f>
        <v>43313</v>
      </c>
      <c r="E58" s="2800">
        <f t="shared" ref="E58:O58" si="16">EDATE(D58,-1)</f>
        <v>43282</v>
      </c>
      <c r="F58" s="2800">
        <f t="shared" si="16"/>
        <v>43252</v>
      </c>
      <c r="G58" s="2800">
        <f t="shared" si="16"/>
        <v>43221</v>
      </c>
      <c r="H58" s="2800">
        <f t="shared" si="16"/>
        <v>43191</v>
      </c>
      <c r="I58" s="2800">
        <f t="shared" si="16"/>
        <v>43160</v>
      </c>
      <c r="J58" s="2800">
        <f t="shared" si="16"/>
        <v>43132</v>
      </c>
      <c r="K58" s="2800">
        <f t="shared" si="16"/>
        <v>43101</v>
      </c>
      <c r="L58" s="2800">
        <f t="shared" si="16"/>
        <v>43070</v>
      </c>
      <c r="M58" s="2800">
        <f t="shared" si="16"/>
        <v>43040</v>
      </c>
      <c r="N58" s="2800">
        <f t="shared" si="16"/>
        <v>43009</v>
      </c>
      <c r="O58" s="2800">
        <f t="shared" si="16"/>
        <v>42979</v>
      </c>
      <c r="P58" s="2156"/>
      <c r="Q58" s="2157"/>
      <c r="R58" s="2157"/>
      <c r="S58" s="2157"/>
      <c r="T58" s="2157"/>
      <c r="U58" s="2157"/>
      <c r="V58" s="2157"/>
      <c r="W58" s="2157"/>
      <c r="X58" s="2157"/>
      <c r="Y58" s="2157"/>
      <c r="Z58" s="2157"/>
      <c r="AA58" s="2157"/>
      <c r="AB58" s="2157"/>
      <c r="AC58" s="2157"/>
    </row>
    <row r="59" spans="1:29" s="1217" customFormat="1" ht="15">
      <c r="A59" s="645"/>
      <c r="B59" s="646"/>
      <c r="C59" s="647">
        <v>100</v>
      </c>
      <c r="D59" s="648"/>
      <c r="E59" s="648"/>
      <c r="F59" s="648"/>
      <c r="G59" s="648"/>
      <c r="H59" s="648"/>
      <c r="I59" s="648"/>
      <c r="J59" s="648"/>
      <c r="K59" s="648"/>
      <c r="L59" s="648"/>
      <c r="M59" s="649"/>
      <c r="N59" s="648"/>
      <c r="O59" s="650"/>
      <c r="P59" s="2154"/>
      <c r="Q59" s="1989"/>
      <c r="R59" s="1989"/>
      <c r="S59" s="1989"/>
      <c r="T59" s="1989"/>
      <c r="U59" s="1989"/>
      <c r="V59" s="1989"/>
      <c r="W59" s="1989"/>
      <c r="X59" s="1989"/>
      <c r="Y59" s="1989"/>
      <c r="Z59" s="1989"/>
      <c r="AA59" s="1989"/>
      <c r="AB59" s="1989"/>
      <c r="AC59" s="1989"/>
    </row>
    <row r="60" spans="1:29" s="1217" customFormat="1" ht="15.75" thickBot="1">
      <c r="A60" s="651" t="s">
        <v>575</v>
      </c>
      <c r="B60" s="652"/>
      <c r="C60" s="653"/>
      <c r="D60" s="654"/>
      <c r="E60" s="654"/>
      <c r="F60" s="654"/>
      <c r="G60" s="654"/>
      <c r="H60" s="654"/>
      <c r="I60" s="654"/>
      <c r="J60" s="654"/>
      <c r="K60" s="654"/>
      <c r="L60" s="654"/>
      <c r="M60" s="655"/>
      <c r="N60" s="654"/>
      <c r="O60" s="656"/>
      <c r="P60" s="2154"/>
      <c r="Q60" s="2154"/>
      <c r="R60" s="1989"/>
      <c r="S60" s="1989"/>
      <c r="T60" s="1989"/>
      <c r="U60" s="1989"/>
      <c r="V60" s="1989"/>
      <c r="W60" s="1989"/>
      <c r="X60" s="1989"/>
      <c r="Y60" s="1989"/>
      <c r="Z60" s="1989"/>
      <c r="AA60" s="1989"/>
      <c r="AB60" s="1989"/>
      <c r="AC60" s="1989"/>
    </row>
    <row r="61" spans="1:29" s="1217" customFormat="1" ht="15">
      <c r="A61" s="657" t="s">
        <v>531</v>
      </c>
      <c r="B61" s="646"/>
      <c r="C61" s="658" t="s">
        <v>576</v>
      </c>
      <c r="D61" s="659"/>
      <c r="E61" s="659"/>
      <c r="F61" s="659"/>
      <c r="G61" s="659"/>
      <c r="H61" s="659"/>
      <c r="I61" s="659"/>
      <c r="J61" s="659"/>
      <c r="K61" s="659"/>
      <c r="L61" s="660"/>
      <c r="M61" s="661"/>
      <c r="N61" s="2158"/>
      <c r="O61" s="2158"/>
      <c r="P61" s="2159"/>
      <c r="Q61" s="2154"/>
      <c r="R61" s="1989"/>
      <c r="S61" s="1989"/>
      <c r="T61" s="1989"/>
      <c r="U61" s="1989"/>
      <c r="V61" s="1989"/>
      <c r="W61" s="1989"/>
      <c r="X61" s="1989"/>
      <c r="Y61" s="1989"/>
      <c r="Z61" s="1989"/>
      <c r="AA61" s="1989"/>
      <c r="AB61" s="1989"/>
      <c r="AC61" s="1989"/>
    </row>
    <row r="62" spans="1:29" s="1217" customFormat="1" ht="15.75" thickBot="1">
      <c r="A62" s="657"/>
      <c r="B62" s="646"/>
      <c r="C62" s="886">
        <v>100</v>
      </c>
      <c r="D62" s="648"/>
      <c r="E62" s="648"/>
      <c r="F62" s="648"/>
      <c r="G62" s="648"/>
      <c r="H62" s="648"/>
      <c r="I62" s="648"/>
      <c r="J62" s="648"/>
      <c r="K62" s="648"/>
      <c r="L62" s="648"/>
      <c r="M62" s="650"/>
      <c r="N62" s="2158"/>
      <c r="O62" s="2158"/>
      <c r="P62" s="2154"/>
      <c r="Q62" s="2154"/>
      <c r="R62" s="1989"/>
      <c r="S62" s="1989"/>
      <c r="T62" s="1989"/>
      <c r="U62" s="1989"/>
      <c r="V62" s="1989"/>
      <c r="W62" s="1989"/>
      <c r="X62" s="1989"/>
      <c r="Y62" s="1989"/>
      <c r="Z62" s="1989"/>
      <c r="AA62" s="1989"/>
      <c r="AB62" s="1989"/>
      <c r="AC62" s="1202"/>
    </row>
    <row r="63" spans="1:29">
      <c r="A63" s="662" t="s">
        <v>577</v>
      </c>
      <c r="B63" s="663" t="s">
        <v>534</v>
      </c>
      <c r="C63" s="702">
        <f>C9</f>
        <v>0</v>
      </c>
      <c r="D63" s="596"/>
      <c r="E63" s="596"/>
      <c r="F63" s="596"/>
      <c r="G63" s="596"/>
      <c r="H63" s="596"/>
      <c r="I63" s="596"/>
      <c r="J63" s="596"/>
      <c r="K63" s="664"/>
      <c r="L63" s="665"/>
      <c r="M63" s="666"/>
      <c r="N63" s="2160"/>
      <c r="O63" s="2160"/>
      <c r="P63" s="2161"/>
      <c r="Q63" s="2154"/>
      <c r="R63" s="2141"/>
      <c r="S63" s="2141"/>
      <c r="T63" s="2141"/>
      <c r="U63" s="2141"/>
      <c r="V63" s="2141"/>
      <c r="W63" s="2141"/>
      <c r="X63" s="2141"/>
      <c r="Y63" s="2141"/>
      <c r="Z63" s="2141"/>
      <c r="AA63" s="2141"/>
      <c r="AB63" s="2141"/>
      <c r="AC63" s="2141"/>
    </row>
    <row r="64" spans="1:29" ht="15.75" thickBot="1">
      <c r="A64" s="667"/>
      <c r="B64" s="668"/>
      <c r="C64" s="669"/>
      <c r="D64" s="669"/>
      <c r="E64" s="669"/>
      <c r="F64" s="669"/>
      <c r="G64" s="669"/>
      <c r="H64" s="669"/>
      <c r="I64" s="669"/>
      <c r="J64" s="669"/>
      <c r="K64" s="669"/>
      <c r="L64" s="669"/>
      <c r="M64" s="670"/>
      <c r="N64" s="2162"/>
      <c r="O64" s="2162"/>
      <c r="P64" s="2161"/>
      <c r="Q64" s="2154"/>
      <c r="R64" s="2141"/>
      <c r="S64" s="2141"/>
      <c r="T64" s="2141"/>
      <c r="U64" s="2141"/>
      <c r="V64" s="2141"/>
      <c r="W64" s="2141"/>
      <c r="X64" s="2141"/>
      <c r="Y64" s="2141"/>
      <c r="Z64" s="2141"/>
      <c r="AA64" s="2141"/>
      <c r="AB64" s="2141"/>
      <c r="AC64" s="2141"/>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0"/>
      <c r="O65" s="2160"/>
      <c r="P65" s="2161"/>
      <c r="Q65" s="2154"/>
      <c r="R65" s="2141"/>
      <c r="S65" s="2141"/>
      <c r="T65" s="2141"/>
      <c r="U65" s="2141"/>
      <c r="V65" s="2141"/>
      <c r="W65" s="2141"/>
      <c r="X65" s="2141"/>
      <c r="Y65" s="2141"/>
      <c r="Z65" s="2141"/>
      <c r="AA65" s="2141"/>
      <c r="AB65" s="2141"/>
      <c r="AC65" s="2141"/>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2"/>
      <c r="O66" s="2162"/>
      <c r="P66" s="2161"/>
      <c r="Q66" s="2154"/>
      <c r="R66" s="2141"/>
      <c r="S66" s="2141"/>
      <c r="T66" s="2141"/>
      <c r="U66" s="2141"/>
      <c r="V66" s="2141"/>
      <c r="W66" s="2141"/>
      <c r="X66" s="2141"/>
      <c r="Y66" s="2141"/>
      <c r="Z66" s="2141"/>
      <c r="AA66" s="2141"/>
      <c r="AB66" s="2141"/>
      <c r="AC66" s="2141"/>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7"/>
      <c r="B68" s="681"/>
      <c r="C68" s="539"/>
      <c r="D68" s="539"/>
      <c r="E68" s="539"/>
      <c r="F68" s="539"/>
      <c r="G68" s="539"/>
      <c r="H68" s="539"/>
      <c r="I68" s="539"/>
      <c r="J68" s="539"/>
      <c r="K68" s="682"/>
      <c r="L68" s="683"/>
      <c r="M68" s="684"/>
      <c r="N68" s="2160"/>
      <c r="O68" s="2160"/>
      <c r="P68" s="2161"/>
      <c r="Q68" s="2154"/>
      <c r="R68" s="2141"/>
      <c r="S68" s="2141"/>
      <c r="T68" s="2141"/>
      <c r="U68" s="2141"/>
      <c r="V68" s="2141"/>
      <c r="W68" s="2141"/>
      <c r="X68" s="2141"/>
      <c r="Y68" s="2141"/>
      <c r="Z68" s="2141"/>
      <c r="AA68" s="2141"/>
      <c r="AB68" s="2141"/>
      <c r="AC68" s="2141"/>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2"/>
      <c r="O69" s="2162"/>
      <c r="P69" s="2161"/>
      <c r="Q69" s="2154"/>
      <c r="R69" s="2141"/>
      <c r="S69" s="2141"/>
      <c r="T69" s="2141"/>
      <c r="U69" s="2141"/>
      <c r="V69" s="2141"/>
      <c r="W69" s="2141"/>
      <c r="X69" s="2141"/>
      <c r="Y69" s="2141"/>
      <c r="Z69" s="2141"/>
      <c r="AA69" s="2141"/>
      <c r="AB69" s="2141"/>
      <c r="AC69" s="2141"/>
    </row>
    <row r="70" spans="1:29" s="1336" customFormat="1" ht="15.75" thickTop="1">
      <c r="A70" s="685"/>
      <c r="B70" s="671">
        <f>B12</f>
        <v>111</v>
      </c>
      <c r="C70" s="686"/>
      <c r="D70" s="686"/>
      <c r="E70" s="686"/>
      <c r="F70" s="686"/>
      <c r="G70" s="686"/>
      <c r="H70" s="687"/>
      <c r="I70" s="687"/>
      <c r="J70" s="687"/>
      <c r="K70" s="687"/>
      <c r="L70" s="688"/>
      <c r="M70" s="689"/>
      <c r="N70" s="2163"/>
      <c r="O70" s="2163"/>
      <c r="P70" s="2164"/>
      <c r="Q70" s="2165"/>
      <c r="R70" s="2166"/>
      <c r="S70" s="2166"/>
      <c r="T70" s="2166"/>
      <c r="U70" s="2166"/>
      <c r="V70" s="2166"/>
      <c r="W70" s="2166"/>
      <c r="X70" s="2166"/>
      <c r="Y70" s="2166"/>
      <c r="Z70" s="2166"/>
      <c r="AA70" s="2166"/>
      <c r="AB70" s="2166"/>
      <c r="AC70" s="2166"/>
    </row>
    <row r="71" spans="1:29" s="1336" customFormat="1" ht="15.75" thickBot="1">
      <c r="A71" s="685"/>
      <c r="B71" s="676"/>
      <c r="C71" s="690"/>
      <c r="D71" s="669"/>
      <c r="E71" s="669"/>
      <c r="F71" s="669"/>
      <c r="G71" s="669"/>
      <c r="H71" s="669"/>
      <c r="I71" s="669"/>
      <c r="J71" s="669"/>
      <c r="K71" s="669"/>
      <c r="L71" s="669"/>
      <c r="M71" s="670"/>
      <c r="N71" s="2162"/>
      <c r="O71" s="2162"/>
      <c r="P71" s="2164"/>
      <c r="Q71" s="2165"/>
      <c r="R71" s="2166"/>
      <c r="S71" s="2166"/>
      <c r="T71" s="2166"/>
      <c r="U71" s="2166"/>
      <c r="V71" s="2166"/>
      <c r="W71" s="2166"/>
      <c r="X71" s="2166"/>
      <c r="Y71" s="2166"/>
      <c r="Z71" s="2166"/>
      <c r="AA71" s="2166"/>
      <c r="AB71" s="2166"/>
      <c r="AC71" s="2166"/>
    </row>
    <row r="72" spans="1:29" s="1336" customFormat="1" ht="15.75" thickTop="1">
      <c r="A72" s="685"/>
      <c r="B72" s="671">
        <f>B13</f>
        <v>111</v>
      </c>
      <c r="C72" s="686"/>
      <c r="D72" s="686"/>
      <c r="E72" s="686"/>
      <c r="F72" s="686"/>
      <c r="G72" s="686"/>
      <c r="H72" s="687"/>
      <c r="I72" s="687"/>
      <c r="J72" s="687"/>
      <c r="K72" s="687"/>
      <c r="L72" s="688"/>
      <c r="M72" s="689"/>
      <c r="N72" s="2163"/>
      <c r="O72" s="2163"/>
      <c r="P72" s="2167"/>
      <c r="Q72" s="2168"/>
      <c r="R72" s="2166"/>
      <c r="S72" s="2166"/>
      <c r="T72" s="2166"/>
      <c r="U72" s="2166"/>
      <c r="V72" s="2166"/>
      <c r="W72" s="2166"/>
      <c r="X72" s="2166"/>
      <c r="Y72" s="2166"/>
      <c r="Z72" s="2166"/>
      <c r="AA72" s="2166"/>
      <c r="AB72" s="2166"/>
      <c r="AC72" s="2166"/>
    </row>
    <row r="73" spans="1:29" s="1336" customFormat="1" ht="15.75" thickBot="1">
      <c r="A73" s="685"/>
      <c r="B73" s="676"/>
      <c r="C73" s="690"/>
      <c r="D73" s="669"/>
      <c r="E73" s="669"/>
      <c r="F73" s="669"/>
      <c r="G73" s="690"/>
      <c r="H73" s="691"/>
      <c r="I73" s="691"/>
      <c r="J73" s="691"/>
      <c r="K73" s="691"/>
      <c r="L73" s="691"/>
      <c r="M73" s="692"/>
      <c r="N73" s="2163"/>
      <c r="O73" s="2163"/>
      <c r="P73" s="2164"/>
      <c r="Q73" s="2165"/>
      <c r="R73" s="2166"/>
      <c r="S73" s="2166"/>
      <c r="T73" s="2166"/>
      <c r="U73" s="2166"/>
      <c r="V73" s="2166"/>
      <c r="W73" s="2166"/>
      <c r="X73" s="2166"/>
      <c r="Y73" s="2166"/>
      <c r="Z73" s="2166"/>
      <c r="AA73" s="2166"/>
      <c r="AB73" s="2166"/>
      <c r="AC73" s="2166"/>
    </row>
    <row r="74" spans="1:29" s="1336" customFormat="1" ht="15.75" thickTop="1">
      <c r="A74" s="685"/>
      <c r="B74" s="679">
        <f>B14</f>
        <v>111</v>
      </c>
      <c r="C74" s="686"/>
      <c r="D74" s="686"/>
      <c r="E74" s="686"/>
      <c r="F74" s="686"/>
      <c r="G74" s="659"/>
      <c r="H74" s="693"/>
      <c r="I74" s="693"/>
      <c r="J74" s="693"/>
      <c r="K74" s="693"/>
      <c r="L74" s="694"/>
      <c r="M74" s="695"/>
      <c r="N74" s="2163"/>
      <c r="O74" s="2163"/>
      <c r="P74" s="2169"/>
      <c r="Q74" s="2165"/>
      <c r="R74" s="2166"/>
      <c r="S74" s="2166"/>
      <c r="T74" s="2166"/>
      <c r="U74" s="2166"/>
      <c r="V74" s="2166"/>
      <c r="W74" s="2166"/>
      <c r="X74" s="2166"/>
      <c r="Y74" s="2166"/>
      <c r="Z74" s="2166"/>
      <c r="AA74" s="2166"/>
      <c r="AB74" s="2166"/>
      <c r="AC74" s="2166"/>
    </row>
    <row r="75" spans="1:29" s="1336" customFormat="1" ht="15.75" thickBot="1">
      <c r="A75" s="696"/>
      <c r="B75" s="697"/>
      <c r="C75" s="698"/>
      <c r="D75" s="698"/>
      <c r="E75" s="698"/>
      <c r="F75" s="698"/>
      <c r="G75" s="698"/>
      <c r="H75" s="699"/>
      <c r="I75" s="699"/>
      <c r="J75" s="699"/>
      <c r="K75" s="699"/>
      <c r="L75" s="699"/>
      <c r="M75" s="700"/>
      <c r="N75" s="2163"/>
      <c r="O75" s="2163"/>
      <c r="P75" s="2164"/>
      <c r="Q75" s="2165"/>
      <c r="R75" s="2166"/>
      <c r="S75" s="2166"/>
      <c r="T75" s="2166"/>
      <c r="U75" s="2166"/>
      <c r="V75" s="2166"/>
      <c r="W75" s="2166"/>
      <c r="X75" s="2166"/>
      <c r="Y75" s="2166"/>
      <c r="Z75" s="2166"/>
      <c r="AA75" s="2166"/>
      <c r="AB75" s="2166"/>
      <c r="AC75" s="2166"/>
    </row>
    <row r="76" spans="1:29">
      <c r="A76" s="662" t="s">
        <v>539</v>
      </c>
      <c r="B76" s="663" t="s">
        <v>578</v>
      </c>
      <c r="C76" s="701" t="s">
        <v>579</v>
      </c>
      <c r="D76" s="701" t="s">
        <v>580</v>
      </c>
      <c r="E76" s="701" t="s">
        <v>581</v>
      </c>
      <c r="F76" s="701" t="s">
        <v>582</v>
      </c>
      <c r="G76" s="701" t="s">
        <v>583</v>
      </c>
      <c r="H76" s="702"/>
      <c r="I76" s="702"/>
      <c r="J76" s="702"/>
      <c r="K76" s="703"/>
      <c r="L76" s="704"/>
      <c r="M76" s="705"/>
      <c r="N76" s="2160"/>
      <c r="O76" s="2160"/>
      <c r="P76" s="2170"/>
      <c r="Q76" s="2154"/>
      <c r="R76" s="2141"/>
      <c r="S76" s="2141"/>
      <c r="T76" s="2141"/>
      <c r="U76" s="2141"/>
      <c r="V76" s="2141"/>
      <c r="W76" s="2141"/>
      <c r="X76" s="2141"/>
      <c r="Y76" s="2141"/>
      <c r="Z76" s="2141"/>
      <c r="AA76" s="2141"/>
      <c r="AB76" s="2141"/>
      <c r="AC76" s="2141"/>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2"/>
      <c r="O77" s="2162"/>
      <c r="P77" s="2161"/>
      <c r="Q77" s="2154"/>
      <c r="R77" s="2141"/>
      <c r="S77" s="2141"/>
      <c r="T77" s="2141"/>
      <c r="U77" s="2141"/>
      <c r="V77" s="2141"/>
      <c r="W77" s="2141"/>
      <c r="X77" s="2141"/>
      <c r="Y77" s="2141"/>
      <c r="Z77" s="2141"/>
      <c r="AA77" s="2141"/>
      <c r="AB77" s="2141"/>
      <c r="AC77" s="2141"/>
    </row>
    <row r="78" spans="1:29" ht="15.75" thickTop="1">
      <c r="A78" s="667"/>
      <c r="B78" s="671" t="s">
        <v>586</v>
      </c>
      <c r="C78" s="706" t="s">
        <v>579</v>
      </c>
      <c r="D78" s="706" t="s">
        <v>580</v>
      </c>
      <c r="E78" s="706" t="s">
        <v>581</v>
      </c>
      <c r="F78" s="706" t="s">
        <v>582</v>
      </c>
      <c r="G78" s="706" t="s">
        <v>583</v>
      </c>
      <c r="H78" s="672"/>
      <c r="I78" s="672"/>
      <c r="J78" s="672"/>
      <c r="K78" s="673"/>
      <c r="L78" s="674"/>
      <c r="M78" s="675"/>
      <c r="N78" s="2160"/>
      <c r="O78" s="2160"/>
      <c r="P78" s="2161"/>
      <c r="Q78" s="2154"/>
      <c r="R78" s="2141"/>
      <c r="S78" s="2141"/>
      <c r="T78" s="2141"/>
      <c r="U78" s="2141"/>
      <c r="V78" s="2141"/>
      <c r="W78" s="2141"/>
      <c r="X78" s="2141"/>
      <c r="Y78" s="2141"/>
      <c r="Z78" s="2141"/>
      <c r="AA78" s="2141"/>
      <c r="AB78" s="2141"/>
      <c r="AC78" s="2141"/>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2"/>
      <c r="O79" s="2162"/>
      <c r="P79" s="2161"/>
      <c r="Q79" s="2154"/>
      <c r="R79" s="2141"/>
      <c r="S79" s="2141"/>
      <c r="T79" s="2141"/>
      <c r="U79" s="2141"/>
      <c r="V79" s="2141"/>
      <c r="W79" s="2141"/>
      <c r="X79" s="2141"/>
      <c r="Y79" s="2141"/>
      <c r="Z79" s="2141"/>
      <c r="AA79" s="2141"/>
      <c r="AB79" s="2141"/>
      <c r="AC79" s="2141"/>
    </row>
    <row r="80" spans="1:29" ht="15.75" thickTop="1">
      <c r="A80" s="667"/>
      <c r="B80" s="1892" t="s">
        <v>2557</v>
      </c>
      <c r="C80" s="706" t="s">
        <v>579</v>
      </c>
      <c r="D80" s="706" t="s">
        <v>580</v>
      </c>
      <c r="E80" s="706" t="s">
        <v>581</v>
      </c>
      <c r="F80" s="706" t="s">
        <v>582</v>
      </c>
      <c r="G80" s="706" t="s">
        <v>583</v>
      </c>
      <c r="H80" s="672"/>
      <c r="I80" s="672"/>
      <c r="J80" s="672"/>
      <c r="K80" s="673"/>
      <c r="L80" s="674"/>
      <c r="M80" s="675"/>
      <c r="N80" s="2160"/>
      <c r="O80" s="2160"/>
      <c r="P80" s="2161"/>
      <c r="Q80" s="2154"/>
      <c r="R80" s="2141"/>
      <c r="S80" s="2141"/>
      <c r="T80" s="2141"/>
      <c r="U80" s="2141"/>
      <c r="V80" s="2141"/>
      <c r="W80" s="2141"/>
      <c r="X80" s="2141"/>
      <c r="Y80" s="2141"/>
      <c r="Z80" s="2141"/>
      <c r="AA80" s="2141"/>
      <c r="AB80" s="2141"/>
      <c r="AC80" s="2141"/>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2"/>
      <c r="O81" s="2162"/>
      <c r="P81" s="2161"/>
      <c r="Q81" s="2154"/>
      <c r="R81" s="2141"/>
      <c r="S81" s="2141"/>
      <c r="T81" s="2141"/>
      <c r="U81" s="2141"/>
      <c r="V81" s="2141"/>
      <c r="W81" s="2141"/>
      <c r="X81" s="2141"/>
      <c r="Y81" s="2141"/>
      <c r="Z81" s="2141"/>
      <c r="AA81" s="2141"/>
      <c r="AB81" s="2141"/>
      <c r="AC81" s="2141"/>
    </row>
    <row r="82" spans="1:29" ht="15.75" thickTop="1">
      <c r="A82" s="667"/>
      <c r="B82" s="2593" t="s">
        <v>2558</v>
      </c>
      <c r="C82" s="2594" t="s">
        <v>2559</v>
      </c>
      <c r="D82" s="2594" t="s">
        <v>2560</v>
      </c>
      <c r="E82" s="2594" t="s">
        <v>2561</v>
      </c>
      <c r="F82" s="2594" t="s">
        <v>2562</v>
      </c>
      <c r="G82" s="2594" t="s">
        <v>2563</v>
      </c>
      <c r="H82" s="672"/>
      <c r="I82" s="672"/>
      <c r="J82" s="672"/>
      <c r="K82" s="672"/>
      <c r="L82" s="672"/>
      <c r="M82" s="2597"/>
      <c r="N82" s="2162"/>
      <c r="O82" s="2162"/>
      <c r="P82" s="2161"/>
      <c r="Q82" s="2154"/>
      <c r="R82" s="2141"/>
      <c r="S82" s="2141"/>
      <c r="T82" s="2141"/>
      <c r="U82" s="2141"/>
      <c r="V82" s="2141"/>
      <c r="W82" s="2141"/>
      <c r="X82" s="2141"/>
      <c r="Y82" s="2141"/>
      <c r="Z82" s="2141"/>
      <c r="AA82" s="2141"/>
      <c r="AB82" s="2141"/>
      <c r="AC82" s="2141"/>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62"/>
      <c r="O83" s="2162"/>
      <c r="P83" s="2161"/>
      <c r="Q83" s="2154"/>
      <c r="R83" s="2141"/>
      <c r="S83" s="2141"/>
      <c r="T83" s="2141"/>
      <c r="U83" s="2141"/>
      <c r="V83" s="2141"/>
      <c r="W83" s="2141"/>
      <c r="X83" s="2141"/>
      <c r="Y83" s="2141"/>
      <c r="Z83" s="2141"/>
      <c r="AA83" s="2141"/>
      <c r="AB83" s="2141"/>
      <c r="AC83" s="2141"/>
    </row>
    <row r="84" spans="1:29" ht="15.75" thickTop="1">
      <c r="A84" s="667"/>
      <c r="B84" s="671" t="s">
        <v>744</v>
      </c>
      <c r="C84" s="706" t="s">
        <v>579</v>
      </c>
      <c r="D84" s="706" t="s">
        <v>580</v>
      </c>
      <c r="E84" s="706" t="s">
        <v>581</v>
      </c>
      <c r="F84" s="706" t="s">
        <v>582</v>
      </c>
      <c r="G84" s="706" t="s">
        <v>583</v>
      </c>
      <c r="H84" s="672"/>
      <c r="I84" s="672"/>
      <c r="J84" s="672"/>
      <c r="K84" s="673"/>
      <c r="L84" s="674"/>
      <c r="M84" s="675"/>
      <c r="N84" s="2160"/>
      <c r="O84" s="2160"/>
      <c r="P84" s="2161"/>
      <c r="Q84" s="2154"/>
      <c r="R84" s="2141"/>
      <c r="S84" s="2141"/>
      <c r="T84" s="2141"/>
      <c r="U84" s="2141"/>
      <c r="V84" s="2141"/>
      <c r="W84" s="2141"/>
      <c r="X84" s="2141"/>
      <c r="Y84" s="2141"/>
      <c r="Z84" s="2141"/>
      <c r="AA84" s="2141"/>
      <c r="AB84" s="2141"/>
      <c r="AC84" s="2141"/>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2"/>
      <c r="O85" s="2162"/>
      <c r="P85" s="2161"/>
      <c r="Q85" s="2154"/>
      <c r="R85" s="2141"/>
      <c r="S85" s="2141"/>
      <c r="T85" s="2141"/>
      <c r="U85" s="2141"/>
      <c r="V85" s="2141"/>
      <c r="W85" s="2141"/>
      <c r="X85" s="2141"/>
      <c r="Y85" s="2141"/>
      <c r="Z85" s="2141"/>
      <c r="AA85" s="2141"/>
      <c r="AB85" s="2141"/>
      <c r="AC85" s="2141"/>
    </row>
    <row r="86" spans="1:29" s="1217" customFormat="1" ht="15.75" thickTop="1">
      <c r="A86" s="707"/>
      <c r="B86" s="671" t="s">
        <v>771</v>
      </c>
      <c r="C86" s="686"/>
      <c r="D86" s="686"/>
      <c r="E86" s="686"/>
      <c r="F86" s="686"/>
      <c r="G86" s="686"/>
      <c r="H86" s="686"/>
      <c r="I86" s="686"/>
      <c r="J86" s="686"/>
      <c r="K86" s="686"/>
      <c r="L86" s="887"/>
      <c r="M86" s="888"/>
      <c r="N86" s="2158"/>
      <c r="O86" s="2158"/>
      <c r="P86" s="2161"/>
      <c r="Q86" s="2154"/>
      <c r="R86" s="1989"/>
      <c r="S86" s="1989"/>
      <c r="T86" s="1989"/>
      <c r="U86" s="1989"/>
      <c r="V86" s="1989"/>
      <c r="W86" s="1989"/>
      <c r="X86" s="1989"/>
      <c r="Y86" s="1989"/>
      <c r="Z86" s="1989"/>
      <c r="AA86" s="1989"/>
      <c r="AB86" s="1989"/>
      <c r="AC86" s="1989"/>
    </row>
    <row r="87" spans="1:29" s="1217"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2"/>
      <c r="O87" s="2162"/>
      <c r="P87" s="2161"/>
      <c r="Q87" s="2154"/>
      <c r="R87" s="1989"/>
      <c r="S87" s="1989"/>
      <c r="T87" s="1989"/>
      <c r="U87" s="1989"/>
      <c r="V87" s="1989"/>
      <c r="W87" s="1989"/>
      <c r="X87" s="1989"/>
      <c r="Y87" s="1989"/>
      <c r="Z87" s="1989"/>
      <c r="AA87" s="1989"/>
      <c r="AB87" s="1989"/>
      <c r="AC87" s="1989"/>
    </row>
    <row r="88" spans="1:29" s="1217" customFormat="1" ht="15.75" thickTop="1">
      <c r="A88" s="707"/>
      <c r="B88" s="671" t="str">
        <f>B26</f>
        <v>平面位置/可视性</v>
      </c>
      <c r="C88" s="686"/>
      <c r="D88" s="686"/>
      <c r="E88" s="686"/>
      <c r="F88" s="889"/>
      <c r="G88" s="686"/>
      <c r="H88" s="686"/>
      <c r="I88" s="686"/>
      <c r="J88" s="686"/>
      <c r="K88" s="686"/>
      <c r="L88" s="686"/>
      <c r="M88" s="888"/>
      <c r="N88" s="2158"/>
      <c r="O88" s="2158"/>
      <c r="P88" s="2161"/>
      <c r="Q88" s="2154"/>
      <c r="R88" s="1989"/>
      <c r="S88" s="1989"/>
      <c r="T88" s="1989"/>
      <c r="U88" s="1989"/>
      <c r="V88" s="1989"/>
      <c r="W88" s="1989"/>
      <c r="X88" s="1989"/>
      <c r="Y88" s="1989"/>
      <c r="Z88" s="1989"/>
      <c r="AA88" s="1989"/>
      <c r="AB88" s="1989"/>
      <c r="AC88" s="1989"/>
    </row>
    <row r="89" spans="1:29" s="1217" customFormat="1" ht="15.75" thickBot="1">
      <c r="A89" s="707"/>
      <c r="B89" s="676"/>
      <c r="C89" s="690"/>
      <c r="D89" s="669"/>
      <c r="E89" s="669"/>
      <c r="F89" s="669"/>
      <c r="G89" s="669"/>
      <c r="H89" s="669"/>
      <c r="I89" s="669"/>
      <c r="J89" s="669"/>
      <c r="K89" s="669"/>
      <c r="L89" s="669"/>
      <c r="M89" s="669"/>
      <c r="N89" s="2162"/>
      <c r="O89" s="2162"/>
      <c r="P89" s="2161"/>
      <c r="Q89" s="2154"/>
      <c r="R89" s="1989"/>
      <c r="S89" s="1989"/>
      <c r="T89" s="1989"/>
      <c r="U89" s="1989"/>
      <c r="V89" s="1989"/>
      <c r="W89" s="1989"/>
      <c r="X89" s="1989"/>
      <c r="Y89" s="1989"/>
      <c r="Z89" s="1989"/>
      <c r="AA89" s="1989"/>
      <c r="AB89" s="1989"/>
      <c r="AC89" s="1989"/>
    </row>
    <row r="90" spans="1:29" s="1336" customFormat="1" ht="15.75" thickTop="1">
      <c r="A90" s="685"/>
      <c r="B90" s="671" t="str">
        <f>B27</f>
        <v>人流量</v>
      </c>
      <c r="C90" s="686"/>
      <c r="D90" s="686"/>
      <c r="E90" s="686"/>
      <c r="F90" s="686"/>
      <c r="G90" s="686"/>
      <c r="H90" s="687"/>
      <c r="I90" s="687"/>
      <c r="J90" s="687"/>
      <c r="K90" s="687"/>
      <c r="L90" s="688"/>
      <c r="M90" s="689"/>
      <c r="N90" s="2163"/>
      <c r="O90" s="2163"/>
      <c r="P90" s="2164"/>
      <c r="Q90" s="2165"/>
      <c r="R90" s="2166"/>
      <c r="S90" s="2166"/>
      <c r="T90" s="2166"/>
      <c r="U90" s="2166"/>
      <c r="V90" s="2166"/>
      <c r="W90" s="2166"/>
      <c r="X90" s="2166"/>
      <c r="Y90" s="2166"/>
      <c r="Z90" s="2166"/>
      <c r="AA90" s="2166"/>
      <c r="AB90" s="2166"/>
      <c r="AC90" s="2166"/>
    </row>
    <row r="91" spans="1:29" s="1336"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3"/>
      <c r="O91" s="2163"/>
      <c r="P91" s="2164"/>
      <c r="Q91" s="2165"/>
      <c r="R91" s="2166"/>
      <c r="S91" s="2166"/>
      <c r="T91" s="2166"/>
      <c r="U91" s="2166"/>
      <c r="V91" s="2166"/>
      <c r="W91" s="2166"/>
      <c r="X91" s="2166"/>
      <c r="Y91" s="2166"/>
      <c r="Z91" s="2166"/>
      <c r="AA91" s="2166"/>
      <c r="AB91" s="2166"/>
      <c r="AC91" s="2166"/>
    </row>
    <row r="92" spans="1:29" ht="15.75" thickTop="1">
      <c r="A92" s="667"/>
      <c r="B92" s="671" t="str">
        <f>B28</f>
        <v>楼层</v>
      </c>
      <c r="C92" s="686"/>
      <c r="D92" s="686"/>
      <c r="E92" s="686"/>
      <c r="F92" s="686"/>
      <c r="G92" s="686"/>
      <c r="H92" s="686"/>
      <c r="I92" s="686"/>
      <c r="J92" s="686"/>
      <c r="K92" s="686"/>
      <c r="L92" s="887"/>
      <c r="M92" s="888"/>
      <c r="N92" s="2160"/>
      <c r="O92" s="2160"/>
      <c r="P92" s="2161"/>
      <c r="Q92" s="2154"/>
      <c r="R92" s="2141"/>
      <c r="S92" s="2141"/>
      <c r="T92" s="2141"/>
      <c r="U92" s="2141"/>
      <c r="V92" s="2141"/>
      <c r="W92" s="2141"/>
      <c r="X92" s="2141"/>
      <c r="Y92" s="2141"/>
      <c r="Z92" s="2141"/>
      <c r="AA92" s="2141"/>
      <c r="AB92" s="2141"/>
      <c r="AC92" s="2141"/>
    </row>
    <row r="93" spans="1:29" ht="15.75" thickBot="1">
      <c r="A93" s="667"/>
      <c r="B93" s="676"/>
      <c r="C93" s="669"/>
      <c r="D93" s="669"/>
      <c r="E93" s="669"/>
      <c r="F93" s="669"/>
      <c r="G93" s="669"/>
      <c r="H93" s="669"/>
      <c r="I93" s="669"/>
      <c r="J93" s="669"/>
      <c r="K93" s="669"/>
      <c r="L93" s="669"/>
      <c r="M93" s="670"/>
      <c r="N93" s="2162"/>
      <c r="O93" s="2162"/>
      <c r="P93" s="2161"/>
      <c r="Q93" s="2154"/>
      <c r="R93" s="2141"/>
      <c r="S93" s="2141"/>
      <c r="T93" s="2141"/>
      <c r="U93" s="2141"/>
      <c r="V93" s="2141"/>
      <c r="W93" s="2141"/>
      <c r="X93" s="2141"/>
      <c r="Y93" s="2141"/>
      <c r="Z93" s="2141"/>
      <c r="AA93" s="2141"/>
      <c r="AB93" s="2141"/>
      <c r="AC93" s="2141"/>
    </row>
    <row r="94" spans="1:29" ht="15.75" thickTop="1">
      <c r="A94" s="667"/>
      <c r="B94" s="671">
        <f>B29</f>
        <v>111</v>
      </c>
      <c r="C94" s="686"/>
      <c r="D94" s="686"/>
      <c r="E94" s="686"/>
      <c r="F94" s="686"/>
      <c r="G94" s="716"/>
      <c r="H94" s="716"/>
      <c r="I94" s="716"/>
      <c r="J94" s="716"/>
      <c r="K94" s="717"/>
      <c r="L94" s="718"/>
      <c r="M94" s="719"/>
      <c r="N94" s="2160"/>
      <c r="O94" s="2160"/>
      <c r="P94" s="2161"/>
      <c r="Q94" s="2154"/>
      <c r="R94" s="2141"/>
      <c r="S94" s="2141"/>
      <c r="T94" s="2141"/>
      <c r="U94" s="2141"/>
      <c r="V94" s="2141"/>
      <c r="W94" s="2141"/>
      <c r="X94" s="2141"/>
      <c r="Y94" s="2141"/>
      <c r="Z94" s="2141"/>
      <c r="AA94" s="2141"/>
      <c r="AB94" s="2141"/>
      <c r="AC94" s="2141"/>
    </row>
    <row r="95" spans="1:29" ht="15.75" thickBot="1">
      <c r="A95" s="667"/>
      <c r="B95" s="676"/>
      <c r="C95" s="690"/>
      <c r="D95" s="669"/>
      <c r="E95" s="669"/>
      <c r="F95" s="669"/>
      <c r="G95" s="669"/>
      <c r="H95" s="669"/>
      <c r="I95" s="669"/>
      <c r="J95" s="669"/>
      <c r="K95" s="669"/>
      <c r="L95" s="669"/>
      <c r="M95" s="670"/>
      <c r="N95" s="2162"/>
      <c r="O95" s="2162"/>
      <c r="P95" s="2161"/>
      <c r="Q95" s="2154"/>
      <c r="R95" s="2141"/>
      <c r="S95" s="2141"/>
      <c r="T95" s="2141"/>
      <c r="U95" s="2141"/>
      <c r="V95" s="2141"/>
      <c r="W95" s="2141"/>
      <c r="X95" s="2141"/>
      <c r="Y95" s="2141"/>
      <c r="Z95" s="2141"/>
      <c r="AA95" s="2141"/>
      <c r="AB95" s="2141"/>
      <c r="AC95" s="2141"/>
    </row>
    <row r="96" spans="1:29" ht="15.75" thickTop="1">
      <c r="A96" s="667"/>
      <c r="B96" s="671">
        <f>B30</f>
        <v>111</v>
      </c>
      <c r="C96" s="686"/>
      <c r="D96" s="686"/>
      <c r="E96" s="686"/>
      <c r="F96" s="686"/>
      <c r="G96" s="716"/>
      <c r="H96" s="716"/>
      <c r="I96" s="716"/>
      <c r="J96" s="716"/>
      <c r="K96" s="717"/>
      <c r="L96" s="718"/>
      <c r="M96" s="719"/>
      <c r="N96" s="2160"/>
      <c r="O96" s="2160"/>
      <c r="P96" s="2161"/>
      <c r="Q96" s="2154"/>
      <c r="R96" s="2141"/>
      <c r="S96" s="2141"/>
      <c r="T96" s="2141"/>
      <c r="U96" s="2141"/>
      <c r="V96" s="2141"/>
      <c r="W96" s="2141"/>
      <c r="X96" s="2141"/>
      <c r="Y96" s="2141"/>
      <c r="Z96" s="2141"/>
      <c r="AA96" s="2141"/>
      <c r="AB96" s="2141"/>
      <c r="AC96" s="2141"/>
    </row>
    <row r="97" spans="1:29" ht="15.75" thickBot="1">
      <c r="A97" s="667"/>
      <c r="B97" s="676"/>
      <c r="C97" s="690"/>
      <c r="D97" s="669"/>
      <c r="E97" s="669"/>
      <c r="F97" s="669"/>
      <c r="G97" s="669"/>
      <c r="H97" s="669"/>
      <c r="I97" s="669"/>
      <c r="J97" s="669"/>
      <c r="K97" s="669"/>
      <c r="L97" s="669"/>
      <c r="M97" s="670"/>
      <c r="N97" s="2162"/>
      <c r="O97" s="2162"/>
      <c r="P97" s="2161"/>
      <c r="Q97" s="2154"/>
      <c r="R97" s="2141"/>
      <c r="S97" s="2141"/>
      <c r="T97" s="2141"/>
      <c r="U97" s="2141"/>
      <c r="V97" s="2141"/>
      <c r="W97" s="2141"/>
      <c r="X97" s="2141"/>
      <c r="Y97" s="2141"/>
      <c r="Z97" s="2141"/>
      <c r="AA97" s="2141"/>
      <c r="AB97" s="2141"/>
      <c r="AC97" s="2141"/>
    </row>
    <row r="98" spans="1:29" ht="15.75" thickTop="1">
      <c r="A98" s="667"/>
      <c r="B98" s="679">
        <f>B31</f>
        <v>111</v>
      </c>
      <c r="C98" s="686"/>
      <c r="D98" s="686"/>
      <c r="E98" s="686"/>
      <c r="F98" s="686"/>
      <c r="G98" s="720"/>
      <c r="H98" s="720"/>
      <c r="I98" s="720"/>
      <c r="J98" s="720"/>
      <c r="K98" s="721"/>
      <c r="L98" s="722"/>
      <c r="M98" s="723"/>
      <c r="N98" s="2160"/>
      <c r="O98" s="2160"/>
      <c r="P98" s="2161"/>
      <c r="Q98" s="2154"/>
      <c r="R98" s="2141"/>
      <c r="S98" s="2141"/>
      <c r="T98" s="2141"/>
      <c r="U98" s="2141"/>
      <c r="V98" s="2141"/>
      <c r="W98" s="2141"/>
      <c r="X98" s="2141"/>
      <c r="Y98" s="2141"/>
      <c r="Z98" s="2141"/>
      <c r="AA98" s="2141"/>
      <c r="AB98" s="2141"/>
      <c r="AC98" s="2141"/>
    </row>
    <row r="99" spans="1:29" ht="15.75" thickBot="1">
      <c r="A99" s="890"/>
      <c r="B99" s="697"/>
      <c r="C99" s="698"/>
      <c r="D99" s="698"/>
      <c r="E99" s="698"/>
      <c r="F99" s="698"/>
      <c r="G99" s="724"/>
      <c r="H99" s="724"/>
      <c r="I99" s="724"/>
      <c r="J99" s="724"/>
      <c r="K99" s="724"/>
      <c r="L99" s="724"/>
      <c r="M99" s="725"/>
      <c r="N99" s="2162"/>
      <c r="O99" s="2162"/>
      <c r="P99" s="2161"/>
      <c r="Q99" s="2154"/>
      <c r="R99" s="2141"/>
      <c r="S99" s="2141"/>
      <c r="T99" s="2141"/>
      <c r="U99" s="2141"/>
      <c r="V99" s="2141"/>
      <c r="W99" s="2141"/>
      <c r="X99" s="2141"/>
      <c r="Y99" s="2141"/>
      <c r="Z99" s="2141"/>
      <c r="AA99" s="2141"/>
      <c r="AB99" s="2141"/>
      <c r="AC99" s="2141"/>
    </row>
    <row r="100" spans="1:29">
      <c r="A100" s="662" t="s">
        <v>551</v>
      </c>
      <c r="B100" s="663" t="s">
        <v>772</v>
      </c>
      <c r="C100" s="596"/>
      <c r="D100" s="596"/>
      <c r="E100" s="596"/>
      <c r="F100" s="596"/>
      <c r="G100" s="596"/>
      <c r="H100" s="596"/>
      <c r="I100" s="596"/>
      <c r="J100" s="596"/>
      <c r="K100" s="664"/>
      <c r="L100" s="665"/>
      <c r="M100" s="666"/>
      <c r="N100" s="2160"/>
      <c r="O100" s="2160"/>
      <c r="P100" s="2161"/>
      <c r="Q100" s="2154"/>
      <c r="R100" s="2141"/>
      <c r="S100" s="2141"/>
      <c r="T100" s="2141"/>
      <c r="U100" s="2141"/>
      <c r="V100" s="2141"/>
      <c r="W100" s="2141"/>
      <c r="X100" s="2141"/>
      <c r="Y100" s="2141"/>
      <c r="Z100" s="2141"/>
      <c r="AA100" s="2141"/>
      <c r="AB100" s="2141"/>
      <c r="AC100" s="2141"/>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6" customFormat="1">
      <c r="A103" s="726"/>
      <c r="B103" s="727"/>
      <c r="C103" s="728"/>
      <c r="D103" s="728"/>
      <c r="E103" s="728"/>
      <c r="F103" s="728"/>
      <c r="G103" s="728"/>
      <c r="H103" s="728"/>
      <c r="I103" s="728"/>
      <c r="J103" s="729"/>
      <c r="K103" s="729"/>
      <c r="L103" s="730"/>
      <c r="M103" s="731"/>
      <c r="N103" s="2163"/>
      <c r="O103" s="2163"/>
      <c r="P103" s="2164"/>
      <c r="Q103" s="2165"/>
      <c r="R103" s="2166"/>
      <c r="S103" s="2166"/>
      <c r="T103" s="2166"/>
      <c r="U103" s="2166"/>
      <c r="V103" s="2166"/>
      <c r="W103" s="2166"/>
      <c r="X103" s="2166"/>
      <c r="Y103" s="2166"/>
      <c r="Z103" s="2166"/>
      <c r="AA103" s="2166"/>
      <c r="AB103" s="2166"/>
      <c r="AC103" s="2166"/>
    </row>
    <row r="104" spans="1:29" s="1336" customFormat="1" ht="15.75" thickBot="1">
      <c r="A104" s="685"/>
      <c r="B104" s="676"/>
      <c r="C104" s="690"/>
      <c r="D104" s="669"/>
      <c r="E104" s="669"/>
      <c r="F104" s="669"/>
      <c r="G104" s="669"/>
      <c r="H104" s="669"/>
      <c r="I104" s="669"/>
      <c r="J104" s="669"/>
      <c r="K104" s="669"/>
      <c r="L104" s="669"/>
      <c r="M104" s="670"/>
      <c r="N104" s="2162"/>
      <c r="O104" s="2162"/>
      <c r="P104" s="2164"/>
      <c r="Q104" s="2165"/>
      <c r="R104" s="2166"/>
      <c r="S104" s="2166"/>
      <c r="T104" s="2166"/>
      <c r="U104" s="2166"/>
      <c r="V104" s="2166"/>
      <c r="W104" s="2166"/>
      <c r="X104" s="2166"/>
      <c r="Y104" s="2166"/>
      <c r="Z104" s="2166"/>
      <c r="AA104" s="2166"/>
      <c r="AB104" s="2166"/>
      <c r="AC104" s="2166"/>
    </row>
    <row r="105" spans="1:29" ht="15" thickTop="1">
      <c r="A105" s="733"/>
      <c r="B105" s="671" t="s">
        <v>749</v>
      </c>
      <c r="C105" s="686"/>
      <c r="D105" s="686"/>
      <c r="E105" s="716"/>
      <c r="F105" s="716"/>
      <c r="G105" s="716"/>
      <c r="H105" s="716"/>
      <c r="I105" s="716"/>
      <c r="J105" s="716"/>
      <c r="K105" s="717"/>
      <c r="L105" s="718"/>
      <c r="M105" s="719"/>
      <c r="N105" s="2160"/>
      <c r="O105" s="2160"/>
      <c r="P105" s="2161"/>
      <c r="Q105" s="2154"/>
      <c r="R105" s="2141"/>
      <c r="S105" s="2141"/>
      <c r="T105" s="2141"/>
      <c r="U105" s="2141"/>
      <c r="V105" s="2141"/>
      <c r="W105" s="2141"/>
      <c r="X105" s="2141"/>
      <c r="Y105" s="2141"/>
      <c r="Z105" s="2141"/>
      <c r="AA105" s="2141"/>
      <c r="AB105" s="2141"/>
      <c r="AC105" s="2141"/>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3"/>
      <c r="B107" s="671" t="s">
        <v>751</v>
      </c>
      <c r="C107" s="686"/>
      <c r="D107" s="686"/>
      <c r="E107" s="686"/>
      <c r="F107" s="716"/>
      <c r="G107" s="716"/>
      <c r="H107" s="716"/>
      <c r="I107" s="716"/>
      <c r="J107" s="716"/>
      <c r="K107" s="717"/>
      <c r="L107" s="718"/>
      <c r="M107" s="719"/>
      <c r="N107" s="2160"/>
      <c r="O107" s="2160"/>
      <c r="P107" s="2161"/>
      <c r="Q107" s="2154"/>
      <c r="R107" s="2141"/>
      <c r="S107" s="2141"/>
      <c r="T107" s="2141"/>
      <c r="U107" s="2141"/>
      <c r="V107" s="2141"/>
      <c r="W107" s="2141"/>
      <c r="X107" s="2141"/>
      <c r="Y107" s="2141"/>
      <c r="Z107" s="2141"/>
      <c r="AA107" s="2141"/>
      <c r="AB107" s="2141"/>
      <c r="AC107" s="2141"/>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0"/>
      <c r="O109" s="2160"/>
      <c r="P109" s="2161"/>
      <c r="Q109" s="2154"/>
      <c r="R109" s="2141"/>
      <c r="S109" s="2141"/>
      <c r="T109" s="2141"/>
      <c r="U109" s="2141"/>
      <c r="V109" s="2141"/>
      <c r="W109" s="2141"/>
      <c r="X109" s="2141"/>
      <c r="Y109" s="2141"/>
      <c r="Z109" s="2141"/>
      <c r="AA109" s="2141"/>
      <c r="AB109" s="2141"/>
      <c r="AC109" s="2141"/>
    </row>
    <row r="110" spans="1:29">
      <c r="A110" s="733"/>
      <c r="B110" s="679"/>
      <c r="C110" s="891">
        <v>0.5</v>
      </c>
      <c r="D110" s="891">
        <v>0.6</v>
      </c>
      <c r="E110" s="891">
        <v>0.7</v>
      </c>
      <c r="F110" s="891">
        <v>0.8</v>
      </c>
      <c r="G110" s="891">
        <v>0.9</v>
      </c>
      <c r="H110" s="891">
        <v>1.0001</v>
      </c>
      <c r="I110" s="902"/>
      <c r="J110" s="902"/>
      <c r="K110" s="903"/>
      <c r="L110" s="904"/>
      <c r="M110" s="905"/>
      <c r="N110" s="2160"/>
      <c r="O110" s="2160"/>
      <c r="P110" s="2161"/>
      <c r="Q110" s="2154"/>
      <c r="R110" s="2141"/>
      <c r="S110" s="2141"/>
      <c r="T110" s="2141"/>
      <c r="U110" s="2141"/>
      <c r="V110" s="2141"/>
      <c r="W110" s="2141"/>
      <c r="X110" s="2141"/>
      <c r="Y110" s="2141"/>
      <c r="Z110" s="2141"/>
      <c r="AA110" s="2141"/>
      <c r="AB110" s="2141"/>
      <c r="AC110" s="2141"/>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2"/>
      <c r="O111" s="2162"/>
      <c r="P111" s="2161"/>
      <c r="Q111" s="2154"/>
      <c r="R111" s="2141"/>
      <c r="S111" s="2141"/>
      <c r="T111" s="2141"/>
      <c r="U111" s="2141"/>
      <c r="V111" s="2141"/>
      <c r="W111" s="2141"/>
      <c r="X111" s="2141"/>
      <c r="Y111" s="2141"/>
      <c r="Z111" s="2141"/>
      <c r="AA111" s="2141"/>
      <c r="AB111" s="2141"/>
      <c r="AC111" s="2141"/>
    </row>
    <row r="112" spans="1:29" s="1336" customFormat="1" ht="15" thickTop="1">
      <c r="A112" s="726"/>
      <c r="B112" s="1892" t="s">
        <v>2556</v>
      </c>
      <c r="C112" s="686"/>
      <c r="D112" s="686"/>
      <c r="E112" s="686"/>
      <c r="F112" s="686"/>
      <c r="G112" s="686"/>
      <c r="H112" s="716"/>
      <c r="I112" s="716"/>
      <c r="J112" s="716"/>
      <c r="K112" s="717"/>
      <c r="L112" s="718"/>
      <c r="M112" s="719"/>
      <c r="N112" s="2163"/>
      <c r="O112" s="2163"/>
      <c r="P112" s="2164"/>
      <c r="Q112" s="2165"/>
      <c r="R112" s="2166"/>
      <c r="S112" s="2166"/>
      <c r="T112" s="2166"/>
      <c r="U112" s="2166"/>
      <c r="V112" s="2166"/>
      <c r="W112" s="2166"/>
      <c r="X112" s="2166"/>
      <c r="Y112" s="2166"/>
      <c r="Z112" s="2166"/>
      <c r="AA112" s="2166"/>
      <c r="AB112" s="2166"/>
      <c r="AC112" s="2166"/>
    </row>
    <row r="113" spans="1:29" s="1336"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3"/>
      <c r="B114" s="671" t="s">
        <v>773</v>
      </c>
      <c r="C114" s="686"/>
      <c r="D114" s="686"/>
      <c r="E114" s="716"/>
      <c r="F114" s="716"/>
      <c r="G114" s="716"/>
      <c r="H114" s="716"/>
      <c r="I114" s="716"/>
      <c r="J114" s="716"/>
      <c r="K114" s="717"/>
      <c r="L114" s="718"/>
      <c r="M114" s="719"/>
      <c r="N114" s="2160"/>
      <c r="O114" s="2160"/>
      <c r="P114" s="2161"/>
      <c r="Q114" s="2154"/>
      <c r="R114" s="2141"/>
      <c r="S114" s="2141"/>
      <c r="T114" s="2141"/>
      <c r="U114" s="2141"/>
      <c r="V114" s="2141"/>
      <c r="W114" s="2141"/>
      <c r="X114" s="2141"/>
      <c r="Y114" s="2141"/>
      <c r="Z114" s="2141"/>
      <c r="AA114" s="2141"/>
      <c r="AB114" s="2141"/>
      <c r="AC114" s="2141"/>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3"/>
      <c r="B116" s="671" t="s">
        <v>774</v>
      </c>
      <c r="C116" s="686"/>
      <c r="D116" s="686"/>
      <c r="E116" s="686"/>
      <c r="F116" s="686"/>
      <c r="G116" s="686"/>
      <c r="H116" s="716"/>
      <c r="I116" s="716"/>
      <c r="J116" s="716"/>
      <c r="K116" s="717"/>
      <c r="L116" s="718"/>
      <c r="M116" s="719"/>
      <c r="N116" s="2160"/>
      <c r="O116" s="2160"/>
      <c r="P116" s="2161"/>
      <c r="Q116" s="2154"/>
      <c r="R116" s="2141"/>
      <c r="S116" s="2141"/>
      <c r="T116" s="2141"/>
      <c r="U116" s="2141"/>
      <c r="V116" s="2141"/>
      <c r="W116" s="2141"/>
      <c r="X116" s="2141"/>
      <c r="Y116" s="2141"/>
      <c r="Z116" s="2141"/>
      <c r="AA116" s="2141"/>
      <c r="AB116" s="2141"/>
      <c r="AC116" s="2141"/>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2"/>
      <c r="O117" s="2162"/>
      <c r="P117" s="2161"/>
      <c r="Q117" s="2154"/>
      <c r="R117" s="2141"/>
      <c r="S117" s="2141"/>
      <c r="T117" s="2141"/>
      <c r="U117" s="2141"/>
      <c r="V117" s="2141"/>
      <c r="W117" s="2141"/>
      <c r="X117" s="2141"/>
      <c r="Y117" s="2141"/>
      <c r="Z117" s="2141"/>
      <c r="AA117" s="2141"/>
      <c r="AB117" s="2141"/>
      <c r="AC117" s="2141"/>
    </row>
    <row r="118" spans="1:29" ht="15" thickTop="1">
      <c r="A118" s="733"/>
      <c r="B118" s="671" t="s">
        <v>775</v>
      </c>
      <c r="C118" s="906"/>
      <c r="D118" s="906"/>
      <c r="E118" s="906"/>
      <c r="F118" s="906"/>
      <c r="G118" s="906"/>
      <c r="H118" s="687"/>
      <c r="I118" s="687"/>
      <c r="J118" s="687"/>
      <c r="K118" s="687"/>
      <c r="L118" s="688"/>
      <c r="M118" s="689"/>
      <c r="N118" s="2160"/>
      <c r="O118" s="2160"/>
      <c r="P118" s="2161"/>
      <c r="Q118" s="2154"/>
      <c r="R118" s="2141"/>
      <c r="S118" s="2141"/>
      <c r="T118" s="2141"/>
      <c r="U118" s="2141"/>
      <c r="V118" s="2141"/>
      <c r="W118" s="2141"/>
      <c r="X118" s="2141"/>
      <c r="Y118" s="2141"/>
      <c r="Z118" s="2141"/>
      <c r="AA118" s="2141"/>
      <c r="AB118" s="2141"/>
      <c r="AC118" s="2141"/>
    </row>
    <row r="119" spans="1:29" ht="15.75" thickBot="1">
      <c r="A119" s="667"/>
      <c r="B119" s="676"/>
      <c r="C119" s="690"/>
      <c r="D119" s="669"/>
      <c r="E119" s="669"/>
      <c r="F119" s="669"/>
      <c r="G119" s="669"/>
      <c r="H119" s="669"/>
      <c r="I119" s="669"/>
      <c r="J119" s="669"/>
      <c r="K119" s="669"/>
      <c r="L119" s="669"/>
      <c r="M119" s="670"/>
      <c r="N119" s="2162"/>
      <c r="O119" s="2162"/>
      <c r="P119" s="2161"/>
      <c r="Q119" s="2154"/>
      <c r="R119" s="2141"/>
      <c r="S119" s="2141"/>
      <c r="T119" s="2141"/>
      <c r="U119" s="2141"/>
      <c r="V119" s="2141"/>
      <c r="W119" s="2141"/>
      <c r="X119" s="2141"/>
      <c r="Y119" s="2141"/>
      <c r="Z119" s="2141"/>
      <c r="AA119" s="2141"/>
      <c r="AB119" s="2141"/>
      <c r="AC119" s="2141"/>
    </row>
    <row r="120" spans="1:29" s="1336" customFormat="1" ht="15" thickTop="1">
      <c r="A120" s="726"/>
      <c r="B120" s="671" t="s">
        <v>776</v>
      </c>
      <c r="C120" s="716"/>
      <c r="D120" s="716"/>
      <c r="E120" s="716"/>
      <c r="F120" s="716"/>
      <c r="G120" s="687"/>
      <c r="H120" s="687"/>
      <c r="I120" s="687"/>
      <c r="J120" s="687"/>
      <c r="K120" s="687"/>
      <c r="L120" s="688"/>
      <c r="M120" s="689"/>
      <c r="N120" s="2163"/>
      <c r="O120" s="2163"/>
      <c r="P120" s="2164"/>
      <c r="Q120" s="2165"/>
      <c r="R120" s="2166"/>
      <c r="S120" s="2166"/>
      <c r="T120" s="2166"/>
      <c r="U120" s="2166"/>
      <c r="V120" s="2166"/>
      <c r="W120" s="2166"/>
      <c r="X120" s="2166"/>
      <c r="Y120" s="2166"/>
      <c r="Z120" s="2166"/>
      <c r="AA120" s="2166"/>
      <c r="AB120" s="2166"/>
      <c r="AC120" s="2166"/>
    </row>
    <row r="121" spans="1:29" s="1336"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3"/>
      <c r="B122" s="671" t="s">
        <v>755</v>
      </c>
      <c r="C122" s="686"/>
      <c r="D122" s="686"/>
      <c r="E122" s="686"/>
      <c r="F122" s="716"/>
      <c r="G122" s="716"/>
      <c r="H122" s="716"/>
      <c r="I122" s="716"/>
      <c r="J122" s="716"/>
      <c r="K122" s="717"/>
      <c r="L122" s="718"/>
      <c r="M122" s="719"/>
      <c r="N122" s="2160"/>
      <c r="O122" s="2160"/>
      <c r="P122" s="2161"/>
      <c r="Q122" s="2154"/>
      <c r="R122" s="2141"/>
      <c r="S122" s="2141"/>
      <c r="T122" s="2141"/>
      <c r="U122" s="2141"/>
      <c r="V122" s="2141"/>
      <c r="W122" s="2141"/>
      <c r="X122" s="2141"/>
      <c r="Y122" s="2141"/>
      <c r="Z122" s="2141"/>
      <c r="AA122" s="2141"/>
      <c r="AB122" s="2141"/>
      <c r="AC122" s="2141"/>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0"/>
      <c r="O124" s="2160"/>
      <c r="P124" s="2164"/>
      <c r="Q124" s="2154"/>
      <c r="R124" s="2141"/>
      <c r="S124" s="2141"/>
      <c r="T124" s="2141"/>
      <c r="U124" s="2141"/>
      <c r="V124" s="2141"/>
      <c r="W124" s="2141"/>
      <c r="X124" s="2141"/>
      <c r="Y124" s="2141"/>
      <c r="Z124" s="2141"/>
      <c r="AA124" s="2141"/>
      <c r="AB124" s="2141"/>
      <c r="AC124" s="2141"/>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2"/>
      <c r="O125" s="2162"/>
      <c r="P125" s="2161"/>
      <c r="Q125" s="2154"/>
      <c r="R125" s="2141"/>
      <c r="S125" s="2141"/>
      <c r="T125" s="2141"/>
      <c r="U125" s="2141"/>
      <c r="V125" s="2141"/>
      <c r="W125" s="2141"/>
      <c r="X125" s="2141"/>
      <c r="Y125" s="2141"/>
      <c r="Z125" s="2141"/>
      <c r="AA125" s="2141"/>
      <c r="AB125" s="2141"/>
      <c r="AC125" s="2141"/>
    </row>
    <row r="126" spans="1:29" s="1336" customFormat="1" ht="15" thickTop="1">
      <c r="A126" s="726"/>
      <c r="B126" s="671">
        <f>B44</f>
        <v>111</v>
      </c>
      <c r="C126" s="686"/>
      <c r="D126" s="686"/>
      <c r="E126" s="686"/>
      <c r="F126" s="686"/>
      <c r="G126" s="686"/>
      <c r="H126" s="687"/>
      <c r="I126" s="687"/>
      <c r="J126" s="687"/>
      <c r="K126" s="687"/>
      <c r="L126" s="688"/>
      <c r="M126" s="689"/>
      <c r="N126" s="2163"/>
      <c r="O126" s="2163"/>
      <c r="P126" s="2164"/>
      <c r="Q126" s="2165"/>
      <c r="R126" s="2166"/>
      <c r="S126" s="2166"/>
      <c r="T126" s="2166"/>
      <c r="U126" s="2166"/>
      <c r="V126" s="2166"/>
      <c r="W126" s="2166"/>
      <c r="X126" s="2166"/>
      <c r="Y126" s="2166"/>
      <c r="Z126" s="2166"/>
      <c r="AA126" s="2166"/>
      <c r="AB126" s="2166"/>
      <c r="AC126" s="2166"/>
    </row>
    <row r="127" spans="1:29" s="1336" customFormat="1" ht="15.75" thickBot="1">
      <c r="A127" s="685"/>
      <c r="B127" s="676"/>
      <c r="C127" s="690"/>
      <c r="D127" s="669"/>
      <c r="E127" s="669"/>
      <c r="F127" s="669"/>
      <c r="G127" s="690"/>
      <c r="H127" s="691"/>
      <c r="I127" s="691"/>
      <c r="J127" s="691"/>
      <c r="K127" s="691"/>
      <c r="L127" s="691"/>
      <c r="M127" s="692"/>
      <c r="N127" s="2163"/>
      <c r="O127" s="2163"/>
      <c r="P127" s="2164"/>
      <c r="Q127" s="2165"/>
      <c r="R127" s="2166"/>
      <c r="S127" s="2166"/>
      <c r="T127" s="2166"/>
      <c r="U127" s="2166"/>
      <c r="V127" s="2166"/>
      <c r="W127" s="2166"/>
      <c r="X127" s="2166"/>
      <c r="Y127" s="2166"/>
      <c r="Z127" s="2166"/>
      <c r="AA127" s="2166"/>
      <c r="AB127" s="2166"/>
      <c r="AC127" s="2166"/>
    </row>
    <row r="128" spans="1:29" ht="15" thickTop="1">
      <c r="A128" s="733"/>
      <c r="B128" s="671">
        <f>B45</f>
        <v>111</v>
      </c>
      <c r="C128" s="686"/>
      <c r="D128" s="686"/>
      <c r="E128" s="686"/>
      <c r="F128" s="686"/>
      <c r="G128" s="716"/>
      <c r="H128" s="716"/>
      <c r="I128" s="716"/>
      <c r="J128" s="716"/>
      <c r="K128" s="717"/>
      <c r="L128" s="718"/>
      <c r="M128" s="719"/>
      <c r="N128" s="2160"/>
      <c r="O128" s="2160"/>
      <c r="P128" s="2161"/>
      <c r="Q128" s="2154"/>
      <c r="R128" s="2141"/>
      <c r="S128" s="2141"/>
      <c r="T128" s="2141"/>
      <c r="U128" s="2141"/>
      <c r="V128" s="2141"/>
      <c r="W128" s="2141"/>
      <c r="X128" s="2141"/>
      <c r="Y128" s="2141"/>
      <c r="Z128" s="2141"/>
      <c r="AA128" s="2141"/>
      <c r="AB128" s="2141"/>
      <c r="AC128" s="2141"/>
    </row>
    <row r="129" spans="1:29" ht="15.75" thickBot="1">
      <c r="A129" s="667"/>
      <c r="B129" s="676"/>
      <c r="C129" s="690"/>
      <c r="D129" s="669"/>
      <c r="E129" s="669"/>
      <c r="F129" s="669"/>
      <c r="G129" s="669"/>
      <c r="H129" s="669"/>
      <c r="I129" s="669"/>
      <c r="J129" s="669"/>
      <c r="K129" s="669"/>
      <c r="L129" s="669"/>
      <c r="M129" s="670"/>
      <c r="N129" s="2162"/>
      <c r="O129" s="2162"/>
      <c r="P129" s="2161"/>
      <c r="Q129" s="2154"/>
      <c r="R129" s="2141"/>
      <c r="S129" s="2141"/>
      <c r="T129" s="2141"/>
      <c r="U129" s="2141"/>
      <c r="V129" s="2141"/>
      <c r="W129" s="2141"/>
      <c r="X129" s="2141"/>
      <c r="Y129" s="2141"/>
      <c r="Z129" s="2141"/>
      <c r="AA129" s="2141"/>
      <c r="AB129" s="2141"/>
      <c r="AC129" s="2141"/>
    </row>
    <row r="130" spans="1:29" ht="15" thickTop="1">
      <c r="A130" s="733"/>
      <c r="B130" s="679">
        <f>B46</f>
        <v>111</v>
      </c>
      <c r="C130" s="686"/>
      <c r="D130" s="686"/>
      <c r="E130" s="686"/>
      <c r="F130" s="686"/>
      <c r="G130" s="720"/>
      <c r="H130" s="720"/>
      <c r="I130" s="720"/>
      <c r="J130" s="720"/>
      <c r="K130" s="659"/>
      <c r="L130" s="660"/>
      <c r="M130" s="723"/>
      <c r="N130" s="2160"/>
      <c r="O130" s="2160"/>
      <c r="P130" s="2161"/>
      <c r="Q130" s="2154"/>
      <c r="R130" s="2141"/>
      <c r="S130" s="2141"/>
      <c r="T130" s="2141"/>
      <c r="U130" s="2141"/>
      <c r="V130" s="2141"/>
      <c r="W130" s="2141"/>
      <c r="X130" s="2141"/>
      <c r="Y130" s="2141"/>
      <c r="Z130" s="2141"/>
      <c r="AA130" s="2141"/>
      <c r="AB130" s="2141"/>
      <c r="AC130" s="2141"/>
    </row>
    <row r="131" spans="1:29" ht="15.75" thickBot="1">
      <c r="A131" s="890"/>
      <c r="B131" s="697"/>
      <c r="C131" s="698"/>
      <c r="D131" s="698"/>
      <c r="E131" s="698"/>
      <c r="F131" s="698"/>
      <c r="G131" s="724"/>
      <c r="H131" s="724"/>
      <c r="I131" s="724"/>
      <c r="J131" s="724"/>
      <c r="K131" s="724"/>
      <c r="L131" s="724"/>
      <c r="M131" s="725"/>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7"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501" t="s">
        <v>777</v>
      </c>
      <c r="C1" s="502" t="s">
        <v>720</v>
      </c>
      <c r="D1" s="847"/>
      <c r="E1" s="504"/>
      <c r="F1" s="2803"/>
      <c r="G1" s="1596" t="s">
        <v>721</v>
      </c>
      <c r="H1" s="504"/>
      <c r="I1" s="504"/>
      <c r="J1" s="504"/>
      <c r="K1" s="505"/>
      <c r="L1" s="1557"/>
      <c r="M1" s="1558"/>
      <c r="N1" s="1558"/>
      <c r="O1" s="1558"/>
      <c r="P1" s="2203"/>
      <c r="Q1" s="1559"/>
      <c r="R1" s="1559"/>
      <c r="S1" s="1559"/>
      <c r="T1" s="1559"/>
      <c r="U1" s="1559"/>
      <c r="V1" s="1559"/>
      <c r="W1" s="1559"/>
      <c r="X1" s="1559"/>
      <c r="Y1" s="1559"/>
      <c r="Z1" s="1559"/>
      <c r="AA1" s="1559"/>
      <c r="AB1" s="1559"/>
      <c r="AC1" s="1560"/>
    </row>
    <row r="2" spans="1:29" s="1333" customFormat="1" ht="28.5" customHeight="1">
      <c r="A2" s="421" t="s">
        <v>467</v>
      </c>
      <c r="B2" s="848" t="e">
        <f>ROUND(B3*D3/10000,0)</f>
        <v>#DIV/0!</v>
      </c>
      <c r="C2" s="2123"/>
      <c r="D2" s="2123"/>
      <c r="E2" s="2057"/>
      <c r="F2" s="2125"/>
      <c r="G2" s="2124"/>
      <c r="H2" s="2124"/>
      <c r="I2" s="2124"/>
      <c r="J2" s="2124"/>
      <c r="K2" s="2124"/>
      <c r="L2" s="2127"/>
      <c r="M2" s="2128"/>
      <c r="N2" s="2128"/>
      <c r="O2" s="2128"/>
      <c r="P2" s="2203"/>
      <c r="Q2" s="1559"/>
      <c r="R2" s="1559"/>
      <c r="S2" s="1559"/>
      <c r="T2" s="1559"/>
      <c r="U2" s="1559"/>
      <c r="V2" s="1559"/>
      <c r="W2" s="1559"/>
      <c r="X2" s="1559"/>
      <c r="Y2" s="1559"/>
      <c r="Z2" s="1559"/>
      <c r="AA2" s="1559"/>
      <c r="AB2" s="1559"/>
      <c r="AC2" s="1560"/>
    </row>
    <row r="3" spans="1:29" s="1333" customFormat="1" ht="28.5" customHeight="1" thickBot="1">
      <c r="A3" s="507" t="s">
        <v>519</v>
      </c>
      <c r="B3" s="508" t="e">
        <f>C50</f>
        <v>#DIV/0!</v>
      </c>
      <c r="C3" s="850" t="s">
        <v>722</v>
      </c>
      <c r="D3" s="849">
        <f>SUMIF('数据-汇总表'!$C19:$C33,D1,'数据-汇总表'!$E19:$E33)</f>
        <v>0</v>
      </c>
      <c r="E3" s="2057"/>
      <c r="F3" s="2125"/>
      <c r="G3" s="2124"/>
      <c r="H3" s="2124"/>
      <c r="I3" s="2124"/>
      <c r="J3" s="2124"/>
      <c r="K3" s="2126"/>
      <c r="L3" s="2127"/>
      <c r="M3" s="2128"/>
      <c r="N3" s="2128"/>
      <c r="O3" s="2128"/>
      <c r="P3" s="2203"/>
      <c r="Q3" s="1559"/>
      <c r="R3" s="1559"/>
      <c r="S3" s="1559"/>
      <c r="T3" s="1559"/>
      <c r="U3" s="1559"/>
      <c r="V3" s="1559"/>
      <c r="W3" s="1559"/>
      <c r="X3" s="1559"/>
      <c r="Y3" s="1559"/>
      <c r="Z3" s="1559"/>
      <c r="AA3" s="1559"/>
      <c r="AB3" s="1559"/>
      <c r="AC3" s="1560"/>
    </row>
    <row r="4" spans="1:29" ht="15">
      <c r="A4" s="510" t="s">
        <v>521</v>
      </c>
      <c r="B4" s="511"/>
      <c r="C4" s="3685" t="s">
        <v>522</v>
      </c>
      <c r="D4" s="3686"/>
      <c r="E4" s="3710" t="s">
        <v>523</v>
      </c>
      <c r="F4" s="3711"/>
      <c r="G4" s="3685" t="s">
        <v>524</v>
      </c>
      <c r="H4" s="3686"/>
      <c r="I4" s="3685" t="s">
        <v>525</v>
      </c>
      <c r="J4" s="3686"/>
      <c r="K4" s="512" t="s">
        <v>526</v>
      </c>
      <c r="L4" s="2129"/>
      <c r="M4" s="2130"/>
      <c r="N4" s="2130"/>
      <c r="O4" s="2130"/>
      <c r="P4" s="3797" t="s">
        <v>527</v>
      </c>
      <c r="Q4" s="3688"/>
      <c r="R4" s="3673" t="s">
        <v>523</v>
      </c>
      <c r="S4" s="3674"/>
      <c r="T4" s="3673" t="s">
        <v>524</v>
      </c>
      <c r="U4" s="3674"/>
      <c r="V4" s="3693" t="s">
        <v>525</v>
      </c>
      <c r="W4" s="3693"/>
      <c r="X4" s="1562"/>
      <c r="Y4" s="3673" t="s">
        <v>527</v>
      </c>
      <c r="Z4" s="3674"/>
      <c r="AA4" s="3668" t="s">
        <v>523</v>
      </c>
      <c r="AB4" s="3668" t="s">
        <v>524</v>
      </c>
      <c r="AC4" s="3668" t="s">
        <v>525</v>
      </c>
    </row>
    <row r="5" spans="1:29" ht="15">
      <c r="A5" s="513"/>
      <c r="B5" s="514"/>
      <c r="C5" s="3696" t="s">
        <v>2928</v>
      </c>
      <c r="D5" s="3697"/>
      <c r="E5" s="3712" t="s">
        <v>2929</v>
      </c>
      <c r="F5" s="3713"/>
      <c r="G5" s="3696" t="s">
        <v>2930</v>
      </c>
      <c r="H5" s="3697"/>
      <c r="I5" s="3696" t="s">
        <v>2931</v>
      </c>
      <c r="J5" s="3697"/>
      <c r="K5" s="512"/>
      <c r="L5" s="2129"/>
      <c r="M5" s="2130"/>
      <c r="N5" s="2130"/>
      <c r="O5" s="2130"/>
      <c r="P5" s="3798"/>
      <c r="Q5" s="3690"/>
      <c r="R5" s="3675"/>
      <c r="S5" s="3676"/>
      <c r="T5" s="3675"/>
      <c r="U5" s="3676"/>
      <c r="V5" s="3693"/>
      <c r="W5" s="3693"/>
      <c r="X5" s="1562"/>
      <c r="Y5" s="3675"/>
      <c r="Z5" s="3676"/>
      <c r="AA5" s="3669"/>
      <c r="AB5" s="3669"/>
      <c r="AC5" s="3669"/>
    </row>
    <row r="6" spans="1:29" ht="15.75" thickBot="1">
      <c r="A6" s="515"/>
      <c r="B6" s="516"/>
      <c r="C6" s="3694" t="s">
        <v>2932</v>
      </c>
      <c r="D6" s="3695"/>
      <c r="E6" s="3714" t="s">
        <v>2932</v>
      </c>
      <c r="F6" s="3715"/>
      <c r="G6" s="3694" t="s">
        <v>2932</v>
      </c>
      <c r="H6" s="3695"/>
      <c r="I6" s="3694" t="s">
        <v>2932</v>
      </c>
      <c r="J6" s="3695"/>
      <c r="K6" s="512" t="s">
        <v>528</v>
      </c>
      <c r="L6" s="2129"/>
      <c r="M6" s="2130"/>
      <c r="N6" s="2130"/>
      <c r="O6" s="2130"/>
      <c r="P6" s="3799"/>
      <c r="Q6" s="3692"/>
      <c r="R6" s="3675"/>
      <c r="S6" s="3676"/>
      <c r="T6" s="3677"/>
      <c r="U6" s="3678"/>
      <c r="V6" s="3693"/>
      <c r="W6" s="3693"/>
      <c r="X6" s="1562"/>
      <c r="Y6" s="3677"/>
      <c r="Z6" s="3678"/>
      <c r="AA6" s="3670"/>
      <c r="AB6" s="3670"/>
      <c r="AC6" s="3670"/>
    </row>
    <row r="7" spans="1:29" s="1217" customFormat="1" ht="15.75" thickBot="1">
      <c r="A7" s="2908"/>
      <c r="B7" s="2915" t="s">
        <v>529</v>
      </c>
      <c r="C7" s="517">
        <f>'数据-取费表'!B2</f>
        <v>43346</v>
      </c>
      <c r="D7" s="518">
        <v>100</v>
      </c>
      <c r="E7" s="519"/>
      <c r="F7" s="520">
        <f>SUMIF(59:59,YEAR(E7)&amp;"-"&amp;MONTH(E7),60:60)</f>
        <v>0</v>
      </c>
      <c r="G7" s="519"/>
      <c r="H7" s="518">
        <f>SUMIF(59:59,YEAR(G7)&amp;"-"&amp;MONTH(G7),60:60)</f>
        <v>0</v>
      </c>
      <c r="I7" s="519"/>
      <c r="J7" s="518">
        <f>SUMIF(59:59,YEAR(I7)&amp;"-"&amp;MONTH(I7),60:60)</f>
        <v>0</v>
      </c>
      <c r="K7" s="522"/>
      <c r="L7" s="2131"/>
      <c r="M7" s="2132"/>
      <c r="N7" s="2132"/>
      <c r="O7" s="2132"/>
      <c r="P7" s="3680" t="s">
        <v>530</v>
      </c>
      <c r="Q7" s="3680"/>
      <c r="R7" s="1563" t="s">
        <v>8</v>
      </c>
      <c r="S7" s="1564">
        <f t="shared" ref="S7:S15" si="0">F7</f>
        <v>0</v>
      </c>
      <c r="T7" s="1563" t="s">
        <v>8</v>
      </c>
      <c r="U7" s="1564">
        <f t="shared" ref="U7:U15" si="1">H7</f>
        <v>0</v>
      </c>
      <c r="V7" s="1563" t="s">
        <v>8</v>
      </c>
      <c r="W7" s="1564">
        <f t="shared" ref="W7:W15" si="2">J7</f>
        <v>0</v>
      </c>
      <c r="X7" s="1565"/>
      <c r="Y7" s="3671" t="s">
        <v>530</v>
      </c>
      <c r="Z7" s="3672"/>
      <c r="AA7" s="1566" t="e">
        <f>D7/F7</f>
        <v>#DIV/0!</v>
      </c>
      <c r="AB7" s="1566" t="e">
        <f>D7/H7</f>
        <v>#DIV/0!</v>
      </c>
      <c r="AC7" s="1566" t="e">
        <f>D7/J7</f>
        <v>#DIV/0!</v>
      </c>
    </row>
    <row r="8" spans="1:29" s="1217" customFormat="1" ht="15.75" thickBot="1">
      <c r="A8" s="2909"/>
      <c r="B8" s="2916" t="s">
        <v>531</v>
      </c>
      <c r="C8" s="523" t="s">
        <v>576</v>
      </c>
      <c r="D8" s="518">
        <v>100</v>
      </c>
      <c r="E8" s="523"/>
      <c r="F8" s="520">
        <f>SUMIF(62:62,E8,63:63)-SUMIF(62:62,C8,63:63)+100</f>
        <v>0</v>
      </c>
      <c r="G8" s="523"/>
      <c r="H8" s="518">
        <f>SUMIF(62:62,G8,63:63)-SUMIF(62:62,C8,63:63)+100</f>
        <v>0</v>
      </c>
      <c r="I8" s="523"/>
      <c r="J8" s="518">
        <f>SUMIF(62:62,I8,63:63)-SUMIF(62:62,C8,63:63)+100</f>
        <v>0</v>
      </c>
      <c r="K8" s="522"/>
      <c r="L8" s="2131"/>
      <c r="M8" s="2132"/>
      <c r="N8" s="2132"/>
      <c r="O8" s="2132"/>
      <c r="P8" s="3680" t="s">
        <v>533</v>
      </c>
      <c r="Q8" s="3672"/>
      <c r="R8" s="1563" t="s">
        <v>8</v>
      </c>
      <c r="S8" s="1564">
        <f t="shared" si="0"/>
        <v>0</v>
      </c>
      <c r="T8" s="1563" t="s">
        <v>8</v>
      </c>
      <c r="U8" s="1564">
        <f t="shared" si="1"/>
        <v>0</v>
      </c>
      <c r="V8" s="1563" t="s">
        <v>8</v>
      </c>
      <c r="W8" s="1564">
        <f t="shared" si="2"/>
        <v>0</v>
      </c>
      <c r="X8" s="1565"/>
      <c r="Y8" s="3671" t="s">
        <v>533</v>
      </c>
      <c r="Z8" s="3672"/>
      <c r="AA8" s="1566" t="e">
        <f t="shared" ref="AA8:AA47" si="3">D8/F8</f>
        <v>#DIV/0!</v>
      </c>
      <c r="AB8" s="1566" t="e">
        <f t="shared" ref="AB8:AB47" si="4">D8/H8</f>
        <v>#DIV/0!</v>
      </c>
      <c r="AC8" s="1566" t="e">
        <f t="shared" ref="AC8:AC47" si="5">D8/J8</f>
        <v>#DIV/0!</v>
      </c>
    </row>
    <row r="9" spans="1:29" s="1217" customFormat="1" ht="15">
      <c r="A9" s="2910"/>
      <c r="B9" s="2917" t="s">
        <v>2755</v>
      </c>
      <c r="C9" s="855"/>
      <c r="D9" s="252">
        <v>100</v>
      </c>
      <c r="E9" s="858"/>
      <c r="F9" s="252">
        <f>SUMIF(64:64,E9,65:65)-SUMIF(64:64,C9,65:65)+100</f>
        <v>100</v>
      </c>
      <c r="G9" s="856"/>
      <c r="H9" s="252">
        <f>SUMIF(64:64,G9,65:65)-SUMIF(64:64,C9,65:65)+100</f>
        <v>100</v>
      </c>
      <c r="I9" s="856"/>
      <c r="J9" s="252">
        <f>SUMIF(64:64,I9,65:65)-SUMIF(64:64,C9,65:65)+100</f>
        <v>100</v>
      </c>
      <c r="K9" s="522"/>
      <c r="L9" s="2131"/>
      <c r="M9" s="2132"/>
      <c r="N9" s="2132"/>
      <c r="O9" s="2132"/>
      <c r="P9" s="3679" t="s">
        <v>535</v>
      </c>
      <c r="Q9" s="1148" t="str">
        <f t="shared" ref="Q9:Q15" si="6">B9</f>
        <v>用途</v>
      </c>
      <c r="R9" s="1563" t="s">
        <v>8</v>
      </c>
      <c r="S9" s="1564">
        <f t="shared" si="0"/>
        <v>100</v>
      </c>
      <c r="T9" s="1563" t="s">
        <v>8</v>
      </c>
      <c r="U9" s="1564">
        <f t="shared" si="1"/>
        <v>100</v>
      </c>
      <c r="V9" s="1563" t="s">
        <v>8</v>
      </c>
      <c r="W9" s="1564">
        <f t="shared" si="2"/>
        <v>100</v>
      </c>
      <c r="X9" s="1565"/>
      <c r="Y9" s="3636" t="s">
        <v>536</v>
      </c>
      <c r="Z9" s="1147" t="str">
        <f t="shared" ref="Z9:Z15" si="7">Q9</f>
        <v>用途</v>
      </c>
      <c r="AA9" s="1566">
        <f t="shared" si="3"/>
        <v>1</v>
      </c>
      <c r="AB9" s="1566">
        <f t="shared" si="4"/>
        <v>1</v>
      </c>
      <c r="AC9" s="1566">
        <f t="shared" si="5"/>
        <v>1</v>
      </c>
    </row>
    <row r="10" spans="1:29" s="1335" customFormat="1" ht="27">
      <c r="A10" s="2911"/>
      <c r="B10" s="2916" t="s">
        <v>2756</v>
      </c>
      <c r="C10" s="859"/>
      <c r="D10" s="253">
        <v>100</v>
      </c>
      <c r="E10" s="859"/>
      <c r="F10" s="253">
        <f>SUMIF(66:66,E10,67:67)-SUMIF(66:66,C10,67:67)+100</f>
        <v>100</v>
      </c>
      <c r="G10" s="860"/>
      <c r="H10" s="253">
        <f>SUMIF(66:66,G10,67:67)-SUMIF(66:66,C10,67:67)+100</f>
        <v>100</v>
      </c>
      <c r="I10" s="859"/>
      <c r="J10" s="253">
        <f>SUMIF(66:66,I10,67:67)-SUMIF(66:66,C10,67:67)+100</f>
        <v>100</v>
      </c>
      <c r="K10" s="582"/>
      <c r="L10" s="2134"/>
      <c r="M10" s="2174"/>
      <c r="N10" s="2174"/>
      <c r="O10" s="2174"/>
      <c r="P10" s="3679"/>
      <c r="Q10" s="1148" t="str">
        <f t="shared" si="6"/>
        <v>土地使用年限（年）</v>
      </c>
      <c r="R10" s="1563" t="s">
        <v>8</v>
      </c>
      <c r="S10" s="1564">
        <f t="shared" si="0"/>
        <v>100</v>
      </c>
      <c r="T10" s="1563" t="s">
        <v>8</v>
      </c>
      <c r="U10" s="1564">
        <f t="shared" si="1"/>
        <v>100</v>
      </c>
      <c r="V10" s="1563" t="s">
        <v>8</v>
      </c>
      <c r="W10" s="1564">
        <f t="shared" si="2"/>
        <v>100</v>
      </c>
      <c r="X10" s="1565"/>
      <c r="Y10" s="3636"/>
      <c r="Z10" s="1147" t="str">
        <f t="shared" si="7"/>
        <v>土地使用年限（年）</v>
      </c>
      <c r="AA10" s="1566">
        <f t="shared" si="3"/>
        <v>1</v>
      </c>
      <c r="AB10" s="1566">
        <f t="shared" si="4"/>
        <v>1</v>
      </c>
      <c r="AC10" s="1566">
        <f t="shared" si="5"/>
        <v>1</v>
      </c>
    </row>
    <row r="11" spans="1:29" ht="15">
      <c r="A11" s="2912"/>
      <c r="B11" s="2916" t="s">
        <v>2757</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6"/>
      <c r="M11" s="2130"/>
      <c r="N11" s="2130"/>
      <c r="O11" s="2130"/>
      <c r="P11" s="3679"/>
      <c r="Q11" s="1148" t="str">
        <f t="shared" si="6"/>
        <v>容积率</v>
      </c>
      <c r="R11" s="1563" t="s">
        <v>8</v>
      </c>
      <c r="S11" s="1564" t="e">
        <f t="shared" si="0"/>
        <v>#N/A</v>
      </c>
      <c r="T11" s="1563" t="s">
        <v>8</v>
      </c>
      <c r="U11" s="1564" t="e">
        <f t="shared" si="1"/>
        <v>#N/A</v>
      </c>
      <c r="V11" s="1563" t="s">
        <v>8</v>
      </c>
      <c r="W11" s="1564" t="e">
        <f t="shared" si="2"/>
        <v>#N/A</v>
      </c>
      <c r="X11" s="1565"/>
      <c r="Y11" s="3636"/>
      <c r="Z11" s="1147" t="str">
        <f t="shared" si="7"/>
        <v>容积率</v>
      </c>
      <c r="AA11" s="1566" t="e">
        <f t="shared" si="3"/>
        <v>#N/A</v>
      </c>
      <c r="AB11" s="1566" t="e">
        <f t="shared" si="4"/>
        <v>#N/A</v>
      </c>
      <c r="AC11" s="1566" t="e">
        <f t="shared" si="5"/>
        <v>#N/A</v>
      </c>
    </row>
    <row r="12" spans="1:29" s="1217" customFormat="1" ht="15">
      <c r="A12" s="2913"/>
      <c r="B12" s="2919">
        <v>111</v>
      </c>
      <c r="C12" s="526"/>
      <c r="D12" s="536">
        <v>100</v>
      </c>
      <c r="E12" s="526"/>
      <c r="F12" s="253">
        <f>SUMIF(71:71,E12,72:72)-SUMIF(71:71,C12,72:72)+100</f>
        <v>100</v>
      </c>
      <c r="G12" s="907"/>
      <c r="H12" s="253">
        <f>SUMIF(71:71,G12,72:72)-SUMIF(71:71,C12,72:72)+100</f>
        <v>100</v>
      </c>
      <c r="I12" s="526"/>
      <c r="J12" s="253">
        <f>SUMIF(71:71,I12,72:72)-SUMIF(71:71,C12,72:72)+100</f>
        <v>100</v>
      </c>
      <c r="K12" s="579"/>
      <c r="L12" s="2131"/>
      <c r="M12" s="2132"/>
      <c r="N12" s="2132"/>
      <c r="O12" s="2132"/>
      <c r="P12" s="3679"/>
      <c r="Q12" s="1148">
        <f t="shared" si="6"/>
        <v>111</v>
      </c>
      <c r="R12" s="1563" t="s">
        <v>8</v>
      </c>
      <c r="S12" s="1564">
        <f t="shared" si="0"/>
        <v>100</v>
      </c>
      <c r="T12" s="1563" t="s">
        <v>8</v>
      </c>
      <c r="U12" s="1564">
        <f t="shared" si="1"/>
        <v>100</v>
      </c>
      <c r="V12" s="1563" t="s">
        <v>8</v>
      </c>
      <c r="W12" s="1564">
        <f t="shared" si="2"/>
        <v>100</v>
      </c>
      <c r="X12" s="1565"/>
      <c r="Y12" s="3636"/>
      <c r="Z12" s="1147">
        <f t="shared" si="7"/>
        <v>111</v>
      </c>
      <c r="AA12" s="1566">
        <f>D12/F12</f>
        <v>1</v>
      </c>
      <c r="AB12" s="1566">
        <f>D12/H12</f>
        <v>1</v>
      </c>
      <c r="AC12" s="1566">
        <f>D12/J12</f>
        <v>1</v>
      </c>
    </row>
    <row r="13" spans="1:29" ht="15">
      <c r="A13" s="2913"/>
      <c r="B13" s="2919">
        <v>111</v>
      </c>
      <c r="C13" s="537"/>
      <c r="D13" s="538">
        <v>100</v>
      </c>
      <c r="E13" s="526"/>
      <c r="F13" s="253">
        <f>SUMIF(73:73,E13,74:74)-SUMIF(73:73,C13,74:74)+100</f>
        <v>100</v>
      </c>
      <c r="G13" s="907"/>
      <c r="H13" s="538">
        <f>SUMIF(73:73,G13,74:74)-SUMIF(73:73,C13,74:74)+100</f>
        <v>100</v>
      </c>
      <c r="I13" s="526"/>
      <c r="J13" s="538">
        <f>SUMIF(73:73,I13,74:74)-SUMIF(73:73,C13,74:74)+100</f>
        <v>100</v>
      </c>
      <c r="K13" s="579"/>
      <c r="L13" s="2138"/>
      <c r="M13" s="2130"/>
      <c r="N13" s="2130"/>
      <c r="O13" s="2130"/>
      <c r="P13" s="3679"/>
      <c r="Q13" s="1148">
        <f t="shared" si="6"/>
        <v>111</v>
      </c>
      <c r="R13" s="1563" t="s">
        <v>8</v>
      </c>
      <c r="S13" s="1564">
        <f t="shared" si="0"/>
        <v>100</v>
      </c>
      <c r="T13" s="1563" t="s">
        <v>8</v>
      </c>
      <c r="U13" s="1564">
        <f t="shared" si="1"/>
        <v>100</v>
      </c>
      <c r="V13" s="1563" t="s">
        <v>8</v>
      </c>
      <c r="W13" s="1564">
        <f t="shared" si="2"/>
        <v>100</v>
      </c>
      <c r="X13" s="1565"/>
      <c r="Y13" s="3636"/>
      <c r="Z13" s="1147">
        <f t="shared" si="7"/>
        <v>111</v>
      </c>
      <c r="AA13" s="1566">
        <f t="shared" si="3"/>
        <v>1</v>
      </c>
      <c r="AB13" s="1566">
        <f t="shared" si="4"/>
        <v>1</v>
      </c>
      <c r="AC13" s="1566">
        <f t="shared" si="5"/>
        <v>1</v>
      </c>
    </row>
    <row r="14" spans="1:29" ht="15.75" thickBot="1">
      <c r="A14" s="2914"/>
      <c r="B14" s="2920">
        <v>111</v>
      </c>
      <c r="C14" s="543"/>
      <c r="D14" s="544">
        <v>100</v>
      </c>
      <c r="E14" s="908"/>
      <c r="F14" s="544">
        <f>SUMIF(75:75,E14,76:76)-SUMIF(75:75,C14,76:76)+100</f>
        <v>100</v>
      </c>
      <c r="G14" s="907"/>
      <c r="H14" s="544">
        <f>SUMIF(75:75,G14,76:76)-SUMIF(75:75,C14,76:76)+100</f>
        <v>100</v>
      </c>
      <c r="I14" s="526"/>
      <c r="J14" s="544">
        <f>SUMIF(75:75,I14,76:76)-SUMIF(75:75,C14,76:76)+100</f>
        <v>100</v>
      </c>
      <c r="K14" s="579"/>
      <c r="L14" s="2138"/>
      <c r="M14" s="2130"/>
      <c r="N14" s="2130"/>
      <c r="O14" s="2130"/>
      <c r="P14" s="3679"/>
      <c r="Q14" s="1148">
        <f t="shared" si="6"/>
        <v>111</v>
      </c>
      <c r="R14" s="1563" t="s">
        <v>8</v>
      </c>
      <c r="S14" s="1564">
        <f t="shared" si="0"/>
        <v>100</v>
      </c>
      <c r="T14" s="1563" t="s">
        <v>8</v>
      </c>
      <c r="U14" s="1564">
        <f t="shared" si="1"/>
        <v>100</v>
      </c>
      <c r="V14" s="1563" t="s">
        <v>8</v>
      </c>
      <c r="W14" s="1564">
        <f t="shared" si="2"/>
        <v>100</v>
      </c>
      <c r="X14" s="1565"/>
      <c r="Y14" s="3636"/>
      <c r="Z14" s="1147">
        <f t="shared" si="7"/>
        <v>111</v>
      </c>
      <c r="AA14" s="1566">
        <f t="shared" si="3"/>
        <v>1</v>
      </c>
      <c r="AB14" s="1566">
        <f t="shared" si="4"/>
        <v>1</v>
      </c>
      <c r="AC14" s="1566">
        <f t="shared" si="5"/>
        <v>1</v>
      </c>
    </row>
    <row r="15" spans="1:29" ht="71.25">
      <c r="A15" s="2906" t="s">
        <v>2753</v>
      </c>
      <c r="B15" s="545" t="s">
        <v>542</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5"/>
      <c r="L15" s="2138"/>
      <c r="M15" s="2130"/>
      <c r="N15" s="2130"/>
      <c r="O15" s="2130"/>
      <c r="P15" s="3681" t="s">
        <v>540</v>
      </c>
      <c r="Q15" s="1567" t="str">
        <f t="shared" si="6"/>
        <v>办公集聚程度</v>
      </c>
      <c r="R15" s="1568" t="s">
        <v>8</v>
      </c>
      <c r="S15" s="1569">
        <f t="shared" si="0"/>
        <v>100</v>
      </c>
      <c r="T15" s="1568" t="s">
        <v>8</v>
      </c>
      <c r="U15" s="1569">
        <f t="shared" si="1"/>
        <v>100</v>
      </c>
      <c r="V15" s="1568" t="s">
        <v>8</v>
      </c>
      <c r="W15" s="1569">
        <f t="shared" si="2"/>
        <v>100</v>
      </c>
      <c r="X15" s="1562"/>
      <c r="Y15" s="3681" t="s">
        <v>540</v>
      </c>
      <c r="Z15" s="1570" t="str">
        <f t="shared" si="7"/>
        <v>办公集聚程度</v>
      </c>
      <c r="AA15" s="1571">
        <f t="shared" si="3"/>
        <v>1</v>
      </c>
      <c r="AB15" s="1571">
        <f t="shared" si="4"/>
        <v>1</v>
      </c>
      <c r="AC15" s="1571">
        <f t="shared" si="5"/>
        <v>1</v>
      </c>
    </row>
    <row r="16" spans="1:29" ht="15">
      <c r="A16" s="530"/>
      <c r="B16" s="551"/>
      <c r="C16" s="552"/>
      <c r="D16" s="553"/>
      <c r="E16" s="574"/>
      <c r="F16" s="553"/>
      <c r="G16" s="552"/>
      <c r="H16" s="557"/>
      <c r="I16" s="574"/>
      <c r="J16" s="553"/>
      <c r="K16" s="896"/>
      <c r="L16" s="2138"/>
      <c r="M16" s="2130"/>
      <c r="N16" s="2130"/>
      <c r="O16" s="2130"/>
      <c r="P16" s="3682"/>
      <c r="Q16" s="1567"/>
      <c r="R16" s="1568"/>
      <c r="S16" s="1569"/>
      <c r="T16" s="1568"/>
      <c r="U16" s="1569"/>
      <c r="V16" s="1568"/>
      <c r="W16" s="1569"/>
      <c r="X16" s="1562"/>
      <c r="Y16" s="3682"/>
      <c r="Z16" s="1570"/>
      <c r="AA16" s="1571">
        <v>1</v>
      </c>
      <c r="AB16" s="1571">
        <v>1</v>
      </c>
      <c r="AC16" s="1571">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5"/>
      <c r="L17" s="2138"/>
      <c r="M17" s="2130"/>
      <c r="N17" s="2130"/>
      <c r="O17" s="2130"/>
      <c r="P17" s="3682"/>
      <c r="Q17" s="1567" t="str">
        <f>B17</f>
        <v>交通便捷度</v>
      </c>
      <c r="R17" s="1568" t="s">
        <v>8</v>
      </c>
      <c r="S17" s="1569">
        <f>F17</f>
        <v>100</v>
      </c>
      <c r="T17" s="1568" t="s">
        <v>8</v>
      </c>
      <c r="U17" s="1569">
        <f>H17</f>
        <v>100</v>
      </c>
      <c r="V17" s="1568" t="s">
        <v>8</v>
      </c>
      <c r="W17" s="1569">
        <f>J17</f>
        <v>100</v>
      </c>
      <c r="X17" s="1562"/>
      <c r="Y17" s="3682"/>
      <c r="Z17" s="1570" t="str">
        <f>Q17</f>
        <v>交通便捷度</v>
      </c>
      <c r="AA17" s="1571">
        <f t="shared" si="3"/>
        <v>1</v>
      </c>
      <c r="AB17" s="1571">
        <f t="shared" si="4"/>
        <v>1</v>
      </c>
      <c r="AC17" s="1571">
        <f t="shared" si="5"/>
        <v>1</v>
      </c>
    </row>
    <row r="18" spans="1:29" ht="15">
      <c r="A18" s="530"/>
      <c r="B18" s="564"/>
      <c r="C18" s="565"/>
      <c r="D18" s="557"/>
      <c r="E18" s="567"/>
      <c r="F18" s="557"/>
      <c r="G18" s="566"/>
      <c r="H18" s="553"/>
      <c r="I18" s="566"/>
      <c r="J18" s="553"/>
      <c r="K18" s="896"/>
      <c r="L18" s="2138"/>
      <c r="M18" s="2130"/>
      <c r="N18" s="2130"/>
      <c r="O18" s="2130"/>
      <c r="P18" s="3682"/>
      <c r="Q18" s="1567"/>
      <c r="R18" s="1568"/>
      <c r="S18" s="1569"/>
      <c r="T18" s="1568"/>
      <c r="U18" s="1569"/>
      <c r="V18" s="1568"/>
      <c r="W18" s="1569"/>
      <c r="X18" s="1562"/>
      <c r="Y18" s="3682"/>
      <c r="Z18" s="1570"/>
      <c r="AA18" s="1571">
        <v>1</v>
      </c>
      <c r="AB18" s="1571">
        <v>1</v>
      </c>
      <c r="AC18" s="1571">
        <v>1</v>
      </c>
    </row>
    <row r="19" spans="1:29" ht="42.75">
      <c r="A19" s="530"/>
      <c r="B19" s="2599" t="s">
        <v>2546</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5"/>
      <c r="L19" s="2138"/>
      <c r="M19" s="2130"/>
      <c r="N19" s="2130"/>
      <c r="O19" s="2130"/>
      <c r="P19" s="3682"/>
      <c r="Q19" s="1567" t="str">
        <f>B19</f>
        <v>公共配套设施</v>
      </c>
      <c r="R19" s="1568" t="s">
        <v>8</v>
      </c>
      <c r="S19" s="1569">
        <f>F19</f>
        <v>100</v>
      </c>
      <c r="T19" s="1568" t="s">
        <v>8</v>
      </c>
      <c r="U19" s="1569">
        <f>H19</f>
        <v>100</v>
      </c>
      <c r="V19" s="1568" t="s">
        <v>8</v>
      </c>
      <c r="W19" s="1569">
        <f>J19</f>
        <v>100</v>
      </c>
      <c r="X19" s="1562"/>
      <c r="Y19" s="3682"/>
      <c r="Z19" s="1570" t="str">
        <f>Q19</f>
        <v>公共配套设施</v>
      </c>
      <c r="AA19" s="1571">
        <f t="shared" si="3"/>
        <v>1</v>
      </c>
      <c r="AB19" s="1571">
        <f t="shared" si="4"/>
        <v>1</v>
      </c>
      <c r="AC19" s="1571">
        <f t="shared" si="5"/>
        <v>1</v>
      </c>
    </row>
    <row r="20" spans="1:29" ht="15">
      <c r="A20" s="530"/>
      <c r="B20" s="564"/>
      <c r="C20" s="552"/>
      <c r="D20" s="553"/>
      <c r="E20" s="556"/>
      <c r="F20" s="553"/>
      <c r="G20" s="554"/>
      <c r="H20" s="553"/>
      <c r="I20" s="554"/>
      <c r="J20" s="553"/>
      <c r="K20" s="896"/>
      <c r="L20" s="2138"/>
      <c r="M20" s="2130"/>
      <c r="N20" s="2130"/>
      <c r="O20" s="2130"/>
      <c r="P20" s="3682"/>
      <c r="Q20" s="1567"/>
      <c r="R20" s="1568"/>
      <c r="S20" s="1569"/>
      <c r="T20" s="1568"/>
      <c r="U20" s="1569"/>
      <c r="V20" s="1568"/>
      <c r="W20" s="1569"/>
      <c r="X20" s="1562"/>
      <c r="Y20" s="3682"/>
      <c r="Z20" s="1570"/>
      <c r="AA20" s="1571">
        <v>1</v>
      </c>
      <c r="AB20" s="1571">
        <v>1</v>
      </c>
      <c r="AC20" s="1571">
        <v>1</v>
      </c>
    </row>
    <row r="21" spans="1:29" ht="28.5">
      <c r="A21" s="530"/>
      <c r="B21" s="2587" t="s">
        <v>2558</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5"/>
      <c r="L21" s="2138"/>
      <c r="M21" s="2130"/>
      <c r="N21" s="2130"/>
      <c r="O21" s="2130"/>
      <c r="P21" s="3682"/>
      <c r="Q21" s="2575" t="str">
        <f>B21</f>
        <v>基础设施水平</v>
      </c>
      <c r="R21" s="1568" t="s">
        <v>8</v>
      </c>
      <c r="S21" s="1569">
        <f>F21</f>
        <v>100</v>
      </c>
      <c r="T21" s="1568" t="s">
        <v>8</v>
      </c>
      <c r="U21" s="1569">
        <f>H21</f>
        <v>100</v>
      </c>
      <c r="V21" s="1568" t="s">
        <v>8</v>
      </c>
      <c r="W21" s="1569">
        <f>J21</f>
        <v>100</v>
      </c>
      <c r="X21" s="2577"/>
      <c r="Y21" s="3682"/>
      <c r="Z21" s="2576" t="str">
        <f>Q21</f>
        <v>基础设施水平</v>
      </c>
      <c r="AA21" s="1571">
        <f t="shared" ref="AA21" si="8">D21/F21</f>
        <v>1</v>
      </c>
      <c r="AB21" s="1571">
        <f t="shared" ref="AB21" si="9">D21/H21</f>
        <v>1</v>
      </c>
      <c r="AC21" s="1571">
        <f t="shared" ref="AC21" si="10">D21/J21</f>
        <v>1</v>
      </c>
    </row>
    <row r="22" spans="1:29" ht="15">
      <c r="A22" s="530"/>
      <c r="B22" s="576"/>
      <c r="C22" s="565"/>
      <c r="D22" s="553"/>
      <c r="E22" s="574"/>
      <c r="F22" s="553"/>
      <c r="G22" s="552"/>
      <c r="H22" s="553"/>
      <c r="I22" s="552"/>
      <c r="J22" s="553"/>
      <c r="K22" s="2598"/>
      <c r="L22" s="2138"/>
      <c r="M22" s="2130"/>
      <c r="N22" s="2130"/>
      <c r="O22" s="2130"/>
      <c r="P22" s="3682"/>
      <c r="Q22" s="2575"/>
      <c r="R22" s="1568"/>
      <c r="S22" s="1569"/>
      <c r="T22" s="1568"/>
      <c r="U22" s="1569"/>
      <c r="V22" s="1568"/>
      <c r="W22" s="1569"/>
      <c r="X22" s="2577"/>
      <c r="Y22" s="3682"/>
      <c r="Z22" s="2576"/>
      <c r="AA22" s="1571">
        <v>1</v>
      </c>
      <c r="AB22" s="1571">
        <v>1</v>
      </c>
      <c r="AC22" s="1571">
        <v>1</v>
      </c>
    </row>
    <row r="23" spans="1:29" ht="57">
      <c r="A23" s="530"/>
      <c r="B23" s="558" t="s">
        <v>778</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5"/>
      <c r="L23" s="2138"/>
      <c r="M23" s="2130"/>
      <c r="N23" s="2130"/>
      <c r="O23" s="2130"/>
      <c r="P23" s="3682"/>
      <c r="Q23" s="1567" t="str">
        <f>B23</f>
        <v>环境质量</v>
      </c>
      <c r="R23" s="1568" t="s">
        <v>8</v>
      </c>
      <c r="S23" s="1569">
        <f>F23</f>
        <v>100</v>
      </c>
      <c r="T23" s="1568" t="s">
        <v>8</v>
      </c>
      <c r="U23" s="1569">
        <f>H23</f>
        <v>100</v>
      </c>
      <c r="V23" s="1568" t="s">
        <v>8</v>
      </c>
      <c r="W23" s="1569">
        <f>J23</f>
        <v>100</v>
      </c>
      <c r="X23" s="1562"/>
      <c r="Y23" s="3682"/>
      <c r="Z23" s="1570" t="str">
        <f>Q23</f>
        <v>环境质量</v>
      </c>
      <c r="AA23" s="1571">
        <f t="shared" si="3"/>
        <v>1</v>
      </c>
      <c r="AB23" s="1571">
        <f t="shared" si="4"/>
        <v>1</v>
      </c>
      <c r="AC23" s="1571">
        <f t="shared" si="5"/>
        <v>1</v>
      </c>
    </row>
    <row r="24" spans="1:29" ht="15">
      <c r="A24" s="530"/>
      <c r="B24" s="576"/>
      <c r="C24" s="552"/>
      <c r="D24" s="553"/>
      <c r="E24" s="556"/>
      <c r="F24" s="553"/>
      <c r="G24" s="554"/>
      <c r="H24" s="553"/>
      <c r="I24" s="554"/>
      <c r="J24" s="553"/>
      <c r="K24" s="896"/>
      <c r="L24" s="2138"/>
      <c r="M24" s="2130"/>
      <c r="N24" s="2130"/>
      <c r="O24" s="2130"/>
      <c r="P24" s="3682"/>
      <c r="Q24" s="1567"/>
      <c r="R24" s="1568"/>
      <c r="S24" s="1569"/>
      <c r="T24" s="1568"/>
      <c r="U24" s="1569"/>
      <c r="V24" s="1568"/>
      <c r="W24" s="1569"/>
      <c r="X24" s="1562"/>
      <c r="Y24" s="3682"/>
      <c r="Z24" s="1570"/>
      <c r="AA24" s="1571">
        <v>1</v>
      </c>
      <c r="AB24" s="1571">
        <v>1</v>
      </c>
      <c r="AC24" s="1571">
        <v>1</v>
      </c>
    </row>
    <row r="25" spans="1:29" ht="27">
      <c r="A25" s="513"/>
      <c r="B25" s="558" t="s">
        <v>548</v>
      </c>
      <c r="C25" s="909"/>
      <c r="D25" s="538">
        <v>100</v>
      </c>
      <c r="E25" s="537"/>
      <c r="F25" s="538">
        <f>SUMIF(87:87,E26,88:88)-SUMIF(87:87,C26,88:88)+100</f>
        <v>100</v>
      </c>
      <c r="G25" s="909"/>
      <c r="H25" s="538">
        <f>SUMIF(87:87,G26,88:88)-SUMIF(87:87,C26,88:88)+100</f>
        <v>100</v>
      </c>
      <c r="I25" s="537"/>
      <c r="J25" s="538">
        <f>SUMIF(87:87,I26,88:88)-SUMIF(87:87,C26,88:88)+100</f>
        <v>100</v>
      </c>
      <c r="K25" s="895"/>
      <c r="L25" s="2138"/>
      <c r="M25" s="2130"/>
      <c r="N25" s="2130"/>
      <c r="O25" s="2130"/>
      <c r="P25" s="3682"/>
      <c r="Q25" s="1567" t="str">
        <f>B25</f>
        <v>毗邻道路的类型与等级</v>
      </c>
      <c r="R25" s="1568" t="s">
        <v>8</v>
      </c>
      <c r="S25" s="1569">
        <f>F25</f>
        <v>100</v>
      </c>
      <c r="T25" s="1568" t="s">
        <v>8</v>
      </c>
      <c r="U25" s="1569">
        <f>H25</f>
        <v>100</v>
      </c>
      <c r="V25" s="1568" t="s">
        <v>8</v>
      </c>
      <c r="W25" s="1569">
        <f>J25</f>
        <v>100</v>
      </c>
      <c r="X25" s="1562"/>
      <c r="Y25" s="3682"/>
      <c r="Z25" s="1570" t="str">
        <f>Q25</f>
        <v>毗邻道路的类型与等级</v>
      </c>
      <c r="AA25" s="1571">
        <f t="shared" si="3"/>
        <v>1</v>
      </c>
      <c r="AB25" s="1571">
        <f t="shared" si="4"/>
        <v>1</v>
      </c>
      <c r="AC25" s="1571">
        <f t="shared" si="5"/>
        <v>1</v>
      </c>
    </row>
    <row r="26" spans="1:29" ht="15">
      <c r="A26" s="513"/>
      <c r="B26" s="564"/>
      <c r="C26" s="578"/>
      <c r="D26" s="538"/>
      <c r="E26" s="581"/>
      <c r="F26" s="538"/>
      <c r="G26" s="578"/>
      <c r="H26" s="538"/>
      <c r="I26" s="581"/>
      <c r="J26" s="538"/>
      <c r="K26" s="896"/>
      <c r="L26" s="2138"/>
      <c r="M26" s="2130"/>
      <c r="N26" s="2130"/>
      <c r="O26" s="2130"/>
      <c r="P26" s="3682"/>
      <c r="Q26" s="1567"/>
      <c r="R26" s="1568"/>
      <c r="S26" s="1569"/>
      <c r="T26" s="1568"/>
      <c r="U26" s="1569"/>
      <c r="V26" s="1568"/>
      <c r="W26" s="1569"/>
      <c r="X26" s="1562"/>
      <c r="Y26" s="3682"/>
      <c r="Z26" s="1570"/>
      <c r="AA26" s="1571">
        <v>1</v>
      </c>
      <c r="AB26" s="1571">
        <v>1</v>
      </c>
      <c r="AC26" s="1571">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38"/>
      <c r="M27" s="2130"/>
      <c r="N27" s="2130"/>
      <c r="O27" s="2130"/>
      <c r="P27" s="3682"/>
      <c r="Q27" s="1567" t="str">
        <f t="shared" ref="Q27:Q47" si="11">B27</f>
        <v>楼层</v>
      </c>
      <c r="R27" s="1568" t="s">
        <v>8</v>
      </c>
      <c r="S27" s="1569">
        <f>F27</f>
        <v>100</v>
      </c>
      <c r="T27" s="1568" t="s">
        <v>8</v>
      </c>
      <c r="U27" s="1569">
        <f>H27</f>
        <v>100</v>
      </c>
      <c r="V27" s="1568" t="s">
        <v>8</v>
      </c>
      <c r="W27" s="1569">
        <f>J27</f>
        <v>100</v>
      </c>
      <c r="X27" s="1562"/>
      <c r="Y27" s="3682"/>
      <c r="Z27" s="1570" t="str">
        <f>Q27</f>
        <v>楼层</v>
      </c>
      <c r="AA27" s="1571">
        <f t="shared" si="3"/>
        <v>1</v>
      </c>
      <c r="AB27" s="1571">
        <f t="shared" si="4"/>
        <v>1</v>
      </c>
      <c r="AC27" s="1571">
        <f t="shared" si="5"/>
        <v>1</v>
      </c>
    </row>
    <row r="28" spans="1:29" s="1217" customFormat="1" ht="15">
      <c r="A28" s="534"/>
      <c r="B28" s="558" t="s">
        <v>779</v>
      </c>
      <c r="C28" s="910"/>
      <c r="D28" s="873">
        <v>100</v>
      </c>
      <c r="E28" s="898"/>
      <c r="F28" s="873">
        <f>SUMIF(91:91,E28,92:92)-SUMIF(91:91,C28,92:92)+100</f>
        <v>100</v>
      </c>
      <c r="G28" s="910"/>
      <c r="H28" s="873">
        <f>SUMIF(91:91,G28,92:92)-SUMIF(91:91,C28,92:92)+100</f>
        <v>100</v>
      </c>
      <c r="I28" s="898"/>
      <c r="J28" s="873">
        <f>SUMIF(91:91,I28,92:92)-SUMIF(91:91,C28,92:92)+100</f>
        <v>100</v>
      </c>
      <c r="K28" s="582"/>
      <c r="L28" s="2131"/>
      <c r="M28" s="2132"/>
      <c r="N28" s="2132"/>
      <c r="O28" s="2132"/>
      <c r="P28" s="3682"/>
      <c r="Q28" s="1148" t="str">
        <f t="shared" si="11"/>
        <v>朝向</v>
      </c>
      <c r="R28" s="1563" t="s">
        <v>8</v>
      </c>
      <c r="S28" s="1564">
        <f>F28</f>
        <v>100</v>
      </c>
      <c r="T28" s="1563" t="s">
        <v>8</v>
      </c>
      <c r="U28" s="1564">
        <f>H28</f>
        <v>100</v>
      </c>
      <c r="V28" s="1563" t="s">
        <v>8</v>
      </c>
      <c r="W28" s="1564">
        <f>J28</f>
        <v>100</v>
      </c>
      <c r="X28" s="1565"/>
      <c r="Y28" s="3682"/>
      <c r="Z28" s="1147" t="str">
        <f>Q28</f>
        <v>朝向</v>
      </c>
      <c r="AA28" s="1571">
        <f>D28/F28</f>
        <v>1</v>
      </c>
      <c r="AB28" s="1571">
        <f>D28/H28</f>
        <v>1</v>
      </c>
      <c r="AC28" s="1571">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38"/>
      <c r="M29" s="2130"/>
      <c r="N29" s="2130"/>
      <c r="O29" s="2130"/>
      <c r="P29" s="3682"/>
      <c r="Q29" s="1567">
        <f t="shared" si="11"/>
        <v>111</v>
      </c>
      <c r="R29" s="1568" t="s">
        <v>8</v>
      </c>
      <c r="S29" s="1569">
        <f t="shared" ref="S29:S47" si="12">F29</f>
        <v>100</v>
      </c>
      <c r="T29" s="1568" t="s">
        <v>8</v>
      </c>
      <c r="U29" s="1569">
        <f t="shared" ref="U29:U47" si="13">H29</f>
        <v>100</v>
      </c>
      <c r="V29" s="1568" t="s">
        <v>8</v>
      </c>
      <c r="W29" s="1569">
        <f t="shared" ref="W29:W47" si="14">J29</f>
        <v>100</v>
      </c>
      <c r="X29" s="1562"/>
      <c r="Y29" s="3682"/>
      <c r="Z29" s="1570">
        <f t="shared" ref="Z29:Z47" si="15">Q29</f>
        <v>111</v>
      </c>
      <c r="AA29" s="1571">
        <f t="shared" si="3"/>
        <v>1</v>
      </c>
      <c r="AB29" s="1571">
        <f t="shared" si="4"/>
        <v>1</v>
      </c>
      <c r="AC29" s="1571">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38"/>
      <c r="M30" s="2130"/>
      <c r="N30" s="2130"/>
      <c r="O30" s="2130"/>
      <c r="P30" s="3682"/>
      <c r="Q30" s="1567">
        <f t="shared" si="11"/>
        <v>111</v>
      </c>
      <c r="R30" s="1568" t="s">
        <v>8</v>
      </c>
      <c r="S30" s="1569">
        <f t="shared" si="12"/>
        <v>100</v>
      </c>
      <c r="T30" s="1568" t="s">
        <v>8</v>
      </c>
      <c r="U30" s="1569">
        <f t="shared" si="13"/>
        <v>100</v>
      </c>
      <c r="V30" s="1568" t="s">
        <v>8</v>
      </c>
      <c r="W30" s="1569">
        <f t="shared" si="14"/>
        <v>100</v>
      </c>
      <c r="X30" s="1562"/>
      <c r="Y30" s="3682"/>
      <c r="Z30" s="1570">
        <f t="shared" si="15"/>
        <v>111</v>
      </c>
      <c r="AA30" s="1571">
        <f t="shared" si="3"/>
        <v>1</v>
      </c>
      <c r="AB30" s="1571">
        <f t="shared" si="4"/>
        <v>1</v>
      </c>
      <c r="AC30" s="1571">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38"/>
      <c r="M31" s="2130"/>
      <c r="N31" s="2130"/>
      <c r="O31" s="2130"/>
      <c r="P31" s="3682"/>
      <c r="Q31" s="1567">
        <f t="shared" si="11"/>
        <v>111</v>
      </c>
      <c r="R31" s="1568" t="s">
        <v>8</v>
      </c>
      <c r="S31" s="1569">
        <f t="shared" si="12"/>
        <v>100</v>
      </c>
      <c r="T31" s="1568" t="s">
        <v>8</v>
      </c>
      <c r="U31" s="1569">
        <f t="shared" si="13"/>
        <v>100</v>
      </c>
      <c r="V31" s="1568" t="s">
        <v>8</v>
      </c>
      <c r="W31" s="1569">
        <f t="shared" si="14"/>
        <v>100</v>
      </c>
      <c r="X31" s="1562"/>
      <c r="Y31" s="3682"/>
      <c r="Z31" s="1570">
        <f t="shared" si="15"/>
        <v>111</v>
      </c>
      <c r="AA31" s="1571">
        <f t="shared" si="3"/>
        <v>1</v>
      </c>
      <c r="AB31" s="1571">
        <f t="shared" si="4"/>
        <v>1</v>
      </c>
      <c r="AC31" s="1571">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38"/>
      <c r="M32" s="2130"/>
      <c r="N32" s="2130"/>
      <c r="O32" s="2130"/>
      <c r="P32" s="3682"/>
      <c r="Q32" s="1567">
        <f t="shared" si="11"/>
        <v>111</v>
      </c>
      <c r="R32" s="1568" t="s">
        <v>8</v>
      </c>
      <c r="S32" s="1569">
        <f t="shared" si="12"/>
        <v>100</v>
      </c>
      <c r="T32" s="1568" t="s">
        <v>8</v>
      </c>
      <c r="U32" s="1569">
        <f t="shared" si="13"/>
        <v>100</v>
      </c>
      <c r="V32" s="1568" t="s">
        <v>8</v>
      </c>
      <c r="W32" s="1569">
        <f t="shared" si="14"/>
        <v>100</v>
      </c>
      <c r="X32" s="1562"/>
      <c r="Y32" s="3682"/>
      <c r="Z32" s="1570">
        <f t="shared" si="15"/>
        <v>111</v>
      </c>
      <c r="AA32" s="1571">
        <f t="shared" si="3"/>
        <v>1</v>
      </c>
      <c r="AB32" s="1571">
        <f t="shared" si="4"/>
        <v>1</v>
      </c>
      <c r="AC32" s="1571">
        <f t="shared" si="5"/>
        <v>1</v>
      </c>
    </row>
    <row r="33" spans="1:29" ht="15">
      <c r="A33" s="2903" t="s">
        <v>2754</v>
      </c>
      <c r="B33" s="172" t="s">
        <v>780</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38"/>
      <c r="M33" s="2130"/>
      <c r="N33" s="2130"/>
      <c r="O33" s="2130"/>
      <c r="P33" s="3683" t="s">
        <v>550</v>
      </c>
      <c r="Q33" s="1567" t="str">
        <f t="shared" si="11"/>
        <v>建筑类型</v>
      </c>
      <c r="R33" s="1568" t="s">
        <v>8</v>
      </c>
      <c r="S33" s="1569">
        <f t="shared" si="12"/>
        <v>100</v>
      </c>
      <c r="T33" s="1568" t="s">
        <v>8</v>
      </c>
      <c r="U33" s="1569">
        <f t="shared" si="13"/>
        <v>100</v>
      </c>
      <c r="V33" s="1568" t="s">
        <v>8</v>
      </c>
      <c r="W33" s="1569">
        <f t="shared" si="14"/>
        <v>100</v>
      </c>
      <c r="X33" s="1562"/>
      <c r="Y33" s="3684" t="s">
        <v>550</v>
      </c>
      <c r="Z33" s="1570" t="str">
        <f t="shared" si="15"/>
        <v>建筑类型</v>
      </c>
      <c r="AA33" s="1571">
        <f t="shared" si="3"/>
        <v>1</v>
      </c>
      <c r="AB33" s="1571">
        <f t="shared" si="4"/>
        <v>1</v>
      </c>
      <c r="AC33" s="1571">
        <f t="shared" si="5"/>
        <v>1</v>
      </c>
    </row>
    <row r="34" spans="1:29" s="1336" customFormat="1" ht="15">
      <c r="A34" s="601"/>
      <c r="B34" s="525" t="s">
        <v>726</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6"/>
      <c r="M34" s="2167"/>
      <c r="N34" s="2167"/>
      <c r="O34" s="2167"/>
      <c r="P34" s="3684"/>
      <c r="Q34" s="1600" t="str">
        <f t="shared" si="11"/>
        <v>项目建筑规模</v>
      </c>
      <c r="R34" s="1572" t="s">
        <v>8</v>
      </c>
      <c r="S34" s="1573" t="e">
        <f t="shared" si="12"/>
        <v>#N/A</v>
      </c>
      <c r="T34" s="1572" t="s">
        <v>8</v>
      </c>
      <c r="U34" s="1573" t="e">
        <f t="shared" si="13"/>
        <v>#N/A</v>
      </c>
      <c r="V34" s="1572" t="s">
        <v>8</v>
      </c>
      <c r="W34" s="1573" t="e">
        <f t="shared" si="14"/>
        <v>#N/A</v>
      </c>
      <c r="X34" s="1574"/>
      <c r="Y34" s="3684"/>
      <c r="Z34" s="1575" t="str">
        <f t="shared" si="15"/>
        <v>项目建筑规模</v>
      </c>
      <c r="AA34" s="1571" t="e">
        <f t="shared" si="3"/>
        <v>#N/A</v>
      </c>
      <c r="AB34" s="1571" t="e">
        <f t="shared" si="4"/>
        <v>#N/A</v>
      </c>
      <c r="AC34" s="1571"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38"/>
      <c r="M35" s="2130"/>
      <c r="N35" s="2130"/>
      <c r="O35" s="2130"/>
      <c r="P35" s="3684"/>
      <c r="Q35" s="1567" t="str">
        <f t="shared" si="11"/>
        <v>建筑结构</v>
      </c>
      <c r="R35" s="1568" t="s">
        <v>8</v>
      </c>
      <c r="S35" s="1569">
        <f t="shared" si="12"/>
        <v>100</v>
      </c>
      <c r="T35" s="1568" t="s">
        <v>8</v>
      </c>
      <c r="U35" s="1569">
        <f t="shared" si="13"/>
        <v>100</v>
      </c>
      <c r="V35" s="1568" t="s">
        <v>8</v>
      </c>
      <c r="W35" s="1569">
        <f t="shared" si="14"/>
        <v>100</v>
      </c>
      <c r="X35" s="1562"/>
      <c r="Y35" s="3684"/>
      <c r="Z35" s="1570" t="str">
        <f t="shared" si="15"/>
        <v>建筑结构</v>
      </c>
      <c r="AA35" s="1571">
        <f t="shared" si="3"/>
        <v>1</v>
      </c>
      <c r="AB35" s="1571">
        <f t="shared" si="4"/>
        <v>1</v>
      </c>
      <c r="AC35" s="1571">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38"/>
      <c r="M36" s="2130"/>
      <c r="N36" s="2130"/>
      <c r="O36" s="2130"/>
      <c r="P36" s="3684"/>
      <c r="Q36" s="1567" t="str">
        <f t="shared" si="11"/>
        <v>公共部分装修</v>
      </c>
      <c r="R36" s="1568" t="s">
        <v>8</v>
      </c>
      <c r="S36" s="1569">
        <f t="shared" si="12"/>
        <v>100</v>
      </c>
      <c r="T36" s="1568" t="s">
        <v>8</v>
      </c>
      <c r="U36" s="1569">
        <f t="shared" si="13"/>
        <v>100</v>
      </c>
      <c r="V36" s="1568" t="s">
        <v>8</v>
      </c>
      <c r="W36" s="1569">
        <f t="shared" si="14"/>
        <v>100</v>
      </c>
      <c r="X36" s="1562"/>
      <c r="Y36" s="3684"/>
      <c r="Z36" s="1570" t="str">
        <f t="shared" si="15"/>
        <v>公共部分装修</v>
      </c>
      <c r="AA36" s="1571">
        <f t="shared" si="3"/>
        <v>1</v>
      </c>
      <c r="AB36" s="1571">
        <f t="shared" si="4"/>
        <v>1</v>
      </c>
      <c r="AC36" s="1571">
        <f t="shared" si="5"/>
        <v>1</v>
      </c>
    </row>
    <row r="37" spans="1:29" ht="15">
      <c r="A37" s="592"/>
      <c r="B37" s="525" t="s">
        <v>764</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38"/>
      <c r="M37" s="2130"/>
      <c r="N37" s="2130"/>
      <c r="O37" s="2130"/>
      <c r="P37" s="3684"/>
      <c r="Q37" s="1567" t="str">
        <f t="shared" si="11"/>
        <v>成新度</v>
      </c>
      <c r="R37" s="1568" t="s">
        <v>8</v>
      </c>
      <c r="S37" s="1569" t="e">
        <f t="shared" si="12"/>
        <v>#N/A</v>
      </c>
      <c r="T37" s="1568" t="s">
        <v>8</v>
      </c>
      <c r="U37" s="1569" t="e">
        <f t="shared" si="13"/>
        <v>#N/A</v>
      </c>
      <c r="V37" s="1568" t="s">
        <v>8</v>
      </c>
      <c r="W37" s="1569" t="e">
        <f t="shared" si="14"/>
        <v>#N/A</v>
      </c>
      <c r="X37" s="1562"/>
      <c r="Y37" s="3684"/>
      <c r="Z37" s="1570" t="str">
        <f t="shared" si="15"/>
        <v>成新度</v>
      </c>
      <c r="AA37" s="1571" t="e">
        <f t="shared" si="3"/>
        <v>#N/A</v>
      </c>
      <c r="AB37" s="1571" t="e">
        <f t="shared" si="4"/>
        <v>#N/A</v>
      </c>
      <c r="AC37" s="1571" t="e">
        <f t="shared" si="5"/>
        <v>#N/A</v>
      </c>
    </row>
    <row r="38" spans="1:29" s="1217"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1"/>
      <c r="M38" s="2132"/>
      <c r="N38" s="2132"/>
      <c r="O38" s="2132"/>
      <c r="P38" s="3684"/>
      <c r="Q38" s="1148" t="str">
        <f t="shared" si="11"/>
        <v>写字楼等级</v>
      </c>
      <c r="R38" s="1563" t="s">
        <v>8</v>
      </c>
      <c r="S38" s="1564">
        <f t="shared" si="12"/>
        <v>100</v>
      </c>
      <c r="T38" s="1563" t="s">
        <v>8</v>
      </c>
      <c r="U38" s="1564">
        <f t="shared" si="13"/>
        <v>100</v>
      </c>
      <c r="V38" s="1563" t="s">
        <v>8</v>
      </c>
      <c r="W38" s="1564">
        <f t="shared" si="14"/>
        <v>100</v>
      </c>
      <c r="X38" s="1565"/>
      <c r="Y38" s="3684"/>
      <c r="Z38" s="1147" t="str">
        <f t="shared" si="15"/>
        <v>写字楼等级</v>
      </c>
      <c r="AA38" s="1566">
        <f t="shared" si="3"/>
        <v>1</v>
      </c>
      <c r="AB38" s="1566">
        <f t="shared" si="4"/>
        <v>1</v>
      </c>
      <c r="AC38" s="1566">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38"/>
      <c r="M39" s="2130"/>
      <c r="N39" s="2130"/>
      <c r="O39" s="2130"/>
      <c r="P39" s="3684" t="s">
        <v>550</v>
      </c>
      <c r="Q39" s="1567" t="str">
        <f t="shared" si="11"/>
        <v>物业管理</v>
      </c>
      <c r="R39" s="1568" t="s">
        <v>8</v>
      </c>
      <c r="S39" s="1569">
        <f t="shared" si="12"/>
        <v>100</v>
      </c>
      <c r="T39" s="1568" t="s">
        <v>8</v>
      </c>
      <c r="U39" s="1569">
        <f t="shared" si="13"/>
        <v>100</v>
      </c>
      <c r="V39" s="1568" t="s">
        <v>8</v>
      </c>
      <c r="W39" s="1569">
        <f t="shared" si="14"/>
        <v>100</v>
      </c>
      <c r="X39" s="1562"/>
      <c r="Y39" s="3684" t="s">
        <v>550</v>
      </c>
      <c r="Z39" s="1570" t="str">
        <f t="shared" si="15"/>
        <v>物业管理</v>
      </c>
      <c r="AA39" s="1571">
        <f t="shared" si="3"/>
        <v>1</v>
      </c>
      <c r="AB39" s="1571">
        <f t="shared" si="4"/>
        <v>1</v>
      </c>
      <c r="AC39" s="1571">
        <f t="shared" si="5"/>
        <v>1</v>
      </c>
    </row>
    <row r="40" spans="1:29" ht="15">
      <c r="A40" s="592"/>
      <c r="B40" s="1891" t="s">
        <v>2565</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38"/>
      <c r="M40" s="2130"/>
      <c r="N40" s="2130"/>
      <c r="O40" s="2130"/>
      <c r="P40" s="3684"/>
      <c r="Q40" s="1567" t="str">
        <f t="shared" si="11"/>
        <v>市政基础设施</v>
      </c>
      <c r="R40" s="1568" t="s">
        <v>8</v>
      </c>
      <c r="S40" s="1569">
        <f t="shared" si="12"/>
        <v>100</v>
      </c>
      <c r="T40" s="1568" t="s">
        <v>8</v>
      </c>
      <c r="U40" s="1569">
        <f t="shared" si="13"/>
        <v>100</v>
      </c>
      <c r="V40" s="1568" t="s">
        <v>8</v>
      </c>
      <c r="W40" s="1569">
        <f t="shared" si="14"/>
        <v>100</v>
      </c>
      <c r="X40" s="1562"/>
      <c r="Y40" s="3684"/>
      <c r="Z40" s="1570" t="str">
        <f t="shared" si="15"/>
        <v>市政基础设施</v>
      </c>
      <c r="AA40" s="1571">
        <f t="shared" si="3"/>
        <v>1</v>
      </c>
      <c r="AB40" s="1571">
        <f t="shared" si="4"/>
        <v>1</v>
      </c>
      <c r="AC40" s="1571">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38"/>
      <c r="M41" s="2130"/>
      <c r="N41" s="2130"/>
      <c r="O41" s="2130"/>
      <c r="P41" s="3684"/>
      <c r="Q41" s="1567" t="str">
        <f t="shared" si="11"/>
        <v>层高</v>
      </c>
      <c r="R41" s="1568" t="s">
        <v>8</v>
      </c>
      <c r="S41" s="1569">
        <f t="shared" si="12"/>
        <v>100</v>
      </c>
      <c r="T41" s="1568" t="s">
        <v>8</v>
      </c>
      <c r="U41" s="1569">
        <f t="shared" si="13"/>
        <v>100</v>
      </c>
      <c r="V41" s="1568" t="s">
        <v>8</v>
      </c>
      <c r="W41" s="1569">
        <f t="shared" si="14"/>
        <v>100</v>
      </c>
      <c r="X41" s="1562"/>
      <c r="Y41" s="3684"/>
      <c r="Z41" s="1570" t="str">
        <f t="shared" si="15"/>
        <v>层高</v>
      </c>
      <c r="AA41" s="1571">
        <f t="shared" si="3"/>
        <v>1</v>
      </c>
      <c r="AB41" s="1571">
        <f t="shared" si="4"/>
        <v>1</v>
      </c>
      <c r="AC41" s="1571">
        <f t="shared" si="5"/>
        <v>1</v>
      </c>
    </row>
    <row r="42" spans="1:29" s="1336" customFormat="1" ht="15">
      <c r="A42" s="601"/>
      <c r="B42" s="901"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6"/>
      <c r="M42" s="2167"/>
      <c r="N42" s="2167"/>
      <c r="O42" s="2167"/>
      <c r="P42" s="3684"/>
      <c r="Q42" s="1600" t="str">
        <f t="shared" si="11"/>
        <v>单套建筑面积</v>
      </c>
      <c r="R42" s="1572" t="s">
        <v>8</v>
      </c>
      <c r="S42" s="1573">
        <f t="shared" si="12"/>
        <v>100</v>
      </c>
      <c r="T42" s="1572" t="s">
        <v>8</v>
      </c>
      <c r="U42" s="1573">
        <f t="shared" si="13"/>
        <v>100</v>
      </c>
      <c r="V42" s="1572" t="s">
        <v>8</v>
      </c>
      <c r="W42" s="1573">
        <f t="shared" si="14"/>
        <v>100</v>
      </c>
      <c r="X42" s="1574"/>
      <c r="Y42" s="3684"/>
      <c r="Z42" s="1575" t="str">
        <f t="shared" si="15"/>
        <v>单套建筑面积</v>
      </c>
      <c r="AA42" s="1571">
        <f t="shared" si="3"/>
        <v>1</v>
      </c>
      <c r="AB42" s="1571">
        <f t="shared" si="4"/>
        <v>1</v>
      </c>
      <c r="AC42" s="1571">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38"/>
      <c r="M43" s="2130"/>
      <c r="N43" s="2130"/>
      <c r="O43" s="2130"/>
      <c r="P43" s="3684"/>
      <c r="Q43" s="1567" t="str">
        <f t="shared" si="11"/>
        <v>内部装修</v>
      </c>
      <c r="R43" s="1568" t="s">
        <v>8</v>
      </c>
      <c r="S43" s="1569">
        <f t="shared" si="12"/>
        <v>100</v>
      </c>
      <c r="T43" s="1568" t="s">
        <v>8</v>
      </c>
      <c r="U43" s="1569">
        <f t="shared" si="13"/>
        <v>100</v>
      </c>
      <c r="V43" s="1568" t="s">
        <v>8</v>
      </c>
      <c r="W43" s="1569">
        <f t="shared" si="14"/>
        <v>100</v>
      </c>
      <c r="X43" s="1562"/>
      <c r="Y43" s="3684"/>
      <c r="Z43" s="1570" t="str">
        <f t="shared" si="15"/>
        <v>内部装修</v>
      </c>
      <c r="AA43" s="1571">
        <f t="shared" si="3"/>
        <v>1</v>
      </c>
      <c r="AB43" s="1571">
        <f t="shared" si="4"/>
        <v>1</v>
      </c>
      <c r="AC43" s="1571">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38"/>
      <c r="M44" s="2130"/>
      <c r="N44" s="2130"/>
      <c r="O44" s="2130"/>
      <c r="P44" s="3684"/>
      <c r="Q44" s="1567" t="str">
        <f t="shared" si="11"/>
        <v>内部装修维护情况</v>
      </c>
      <c r="R44" s="1568" t="s">
        <v>8</v>
      </c>
      <c r="S44" s="1569">
        <f t="shared" si="12"/>
        <v>100</v>
      </c>
      <c r="T44" s="1568" t="s">
        <v>8</v>
      </c>
      <c r="U44" s="1569">
        <f t="shared" si="13"/>
        <v>100</v>
      </c>
      <c r="V44" s="1568" t="s">
        <v>8</v>
      </c>
      <c r="W44" s="1569">
        <f t="shared" si="14"/>
        <v>100</v>
      </c>
      <c r="X44" s="1562"/>
      <c r="Y44" s="3684"/>
      <c r="Z44" s="1570" t="str">
        <f t="shared" si="15"/>
        <v>内部装修维护情况</v>
      </c>
      <c r="AA44" s="1571">
        <f t="shared" si="3"/>
        <v>1</v>
      </c>
      <c r="AB44" s="1571">
        <f t="shared" si="4"/>
        <v>1</v>
      </c>
      <c r="AC44" s="1571">
        <f t="shared" si="5"/>
        <v>1</v>
      </c>
    </row>
    <row r="45" spans="1:29" s="1217"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31"/>
      <c r="M45" s="2132"/>
      <c r="N45" s="2132"/>
      <c r="O45" s="2132"/>
      <c r="P45" s="3684"/>
      <c r="Q45" s="1148">
        <f t="shared" si="11"/>
        <v>111</v>
      </c>
      <c r="R45" s="1563" t="s">
        <v>8</v>
      </c>
      <c r="S45" s="1564">
        <f t="shared" si="12"/>
        <v>100</v>
      </c>
      <c r="T45" s="1563" t="s">
        <v>8</v>
      </c>
      <c r="U45" s="1564">
        <f t="shared" si="13"/>
        <v>100</v>
      </c>
      <c r="V45" s="1563" t="s">
        <v>8</v>
      </c>
      <c r="W45" s="1564">
        <f t="shared" si="14"/>
        <v>100</v>
      </c>
      <c r="X45" s="1565"/>
      <c r="Y45" s="3684"/>
      <c r="Z45" s="1147">
        <f t="shared" si="15"/>
        <v>111</v>
      </c>
      <c r="AA45" s="1566">
        <f t="shared" si="3"/>
        <v>1</v>
      </c>
      <c r="AB45" s="1566">
        <f t="shared" si="4"/>
        <v>1</v>
      </c>
      <c r="AC45" s="1566">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38"/>
      <c r="M46" s="2130"/>
      <c r="N46" s="2130"/>
      <c r="O46" s="2130"/>
      <c r="P46" s="3684"/>
      <c r="Q46" s="1567">
        <f t="shared" si="11"/>
        <v>111</v>
      </c>
      <c r="R46" s="1568" t="s">
        <v>8</v>
      </c>
      <c r="S46" s="1569">
        <f t="shared" si="12"/>
        <v>100</v>
      </c>
      <c r="T46" s="1568" t="s">
        <v>8</v>
      </c>
      <c r="U46" s="1569">
        <f t="shared" si="13"/>
        <v>100</v>
      </c>
      <c r="V46" s="1568" t="s">
        <v>8</v>
      </c>
      <c r="W46" s="1569">
        <f t="shared" si="14"/>
        <v>100</v>
      </c>
      <c r="X46" s="1562"/>
      <c r="Y46" s="3684"/>
      <c r="Z46" s="1570">
        <f t="shared" si="15"/>
        <v>111</v>
      </c>
      <c r="AA46" s="1571">
        <f t="shared" si="3"/>
        <v>1</v>
      </c>
      <c r="AB46" s="1571">
        <f t="shared" si="4"/>
        <v>1</v>
      </c>
      <c r="AC46" s="1571">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38"/>
      <c r="M47" s="2130"/>
      <c r="N47" s="2130"/>
      <c r="O47" s="2130"/>
      <c r="P47" s="3764"/>
      <c r="Q47" s="1567">
        <f t="shared" si="11"/>
        <v>111</v>
      </c>
      <c r="R47" s="1568" t="s">
        <v>8</v>
      </c>
      <c r="S47" s="1569">
        <f t="shared" si="12"/>
        <v>100</v>
      </c>
      <c r="T47" s="1568" t="s">
        <v>8</v>
      </c>
      <c r="U47" s="1569">
        <f t="shared" si="13"/>
        <v>100</v>
      </c>
      <c r="V47" s="1568" t="s">
        <v>8</v>
      </c>
      <c r="W47" s="1569">
        <f t="shared" si="14"/>
        <v>100</v>
      </c>
      <c r="X47" s="1562"/>
      <c r="Y47" s="3764"/>
      <c r="Z47" s="1570">
        <f t="shared" si="15"/>
        <v>111</v>
      </c>
      <c r="AA47" s="1571">
        <f t="shared" si="3"/>
        <v>1</v>
      </c>
      <c r="AB47" s="1571">
        <f t="shared" si="4"/>
        <v>1</v>
      </c>
      <c r="AC47" s="1571">
        <f t="shared" si="5"/>
        <v>1</v>
      </c>
    </row>
    <row r="48" spans="1:29" ht="15">
      <c r="A48" s="605" t="s">
        <v>736</v>
      </c>
      <c r="B48" s="884"/>
      <c r="C48" s="2623" t="s">
        <v>1</v>
      </c>
      <c r="D48" s="2624"/>
      <c r="E48" s="2625"/>
      <c r="F48" s="2626"/>
      <c r="G48" s="2627"/>
      <c r="H48" s="2628"/>
      <c r="I48" s="2625"/>
      <c r="J48" s="2628"/>
      <c r="K48" s="1606"/>
      <c r="L48" s="2140"/>
      <c r="M48" s="2130"/>
      <c r="N48" s="2130"/>
      <c r="O48" s="2130"/>
      <c r="P48" s="3701" t="str">
        <f>A48</f>
        <v>成交单价（元/平方米）</v>
      </c>
      <c r="Q48" s="3679"/>
      <c r="R48" s="3763">
        <f>E48</f>
        <v>0</v>
      </c>
      <c r="S48" s="3763"/>
      <c r="T48" s="3763">
        <f>G48</f>
        <v>0</v>
      </c>
      <c r="U48" s="3763"/>
      <c r="V48" s="3763">
        <f>I48</f>
        <v>0</v>
      </c>
      <c r="W48" s="3763"/>
      <c r="X48" s="1554"/>
      <c r="Y48" s="1576"/>
      <c r="Z48" s="1554"/>
      <c r="AA48" s="1554"/>
      <c r="AB48" s="1554"/>
      <c r="AC48" s="1554"/>
    </row>
    <row r="49" spans="1:29" ht="15.75" thickBot="1">
      <c r="A49" s="613" t="s">
        <v>2759</v>
      </c>
      <c r="B49" s="885"/>
      <c r="C49" s="2629" t="e">
        <f>R50</f>
        <v>#DIV/0!</v>
      </c>
      <c r="D49" s="2630"/>
      <c r="E49" s="2631" t="e">
        <f>R49</f>
        <v>#DIV/0!</v>
      </c>
      <c r="F49" s="2631"/>
      <c r="G49" s="2629" t="e">
        <f>T49</f>
        <v>#DIV/0!</v>
      </c>
      <c r="H49" s="2630"/>
      <c r="I49" s="2631" t="e">
        <f>V49</f>
        <v>#DIV/0!</v>
      </c>
      <c r="J49" s="2630"/>
      <c r="K49" s="1607"/>
      <c r="L49" s="2140"/>
      <c r="M49" s="2130"/>
      <c r="N49" s="2130"/>
      <c r="O49" s="2130"/>
      <c r="P49" s="3701" t="str">
        <f>A49</f>
        <v>比较价格（元/平方米）</v>
      </c>
      <c r="Q49" s="3679"/>
      <c r="R49" s="3763" t="e">
        <f>IF(F1="售价",ROUND(PRODUCT(R48,AA7:AA47),0),ROUND(PRODUCT(R48,AA7:AA47),1))</f>
        <v>#DIV/0!</v>
      </c>
      <c r="S49" s="3763"/>
      <c r="T49" s="3763" t="e">
        <f>IF(F1="售价",ROUND(PRODUCT(T48,AB7:AB47),0),ROUND(PRODUCT(T48,AB7:AB47),1))</f>
        <v>#DIV/0!</v>
      </c>
      <c r="U49" s="3763"/>
      <c r="V49" s="3763" t="e">
        <f>IF(F1="售价",ROUND(PRODUCT(V48,AC7:AC47),0),ROUND(PRODUCT(V48,AC7:AC47),1))</f>
        <v>#DIV/0!</v>
      </c>
      <c r="W49" s="3763"/>
      <c r="X49" s="1554"/>
      <c r="Y49" s="1554"/>
      <c r="Z49" s="1554"/>
      <c r="AA49" s="1554"/>
      <c r="AB49" s="1554"/>
      <c r="AC49" s="1554"/>
    </row>
    <row r="50" spans="1:29" ht="15.75" thickBot="1">
      <c r="A50" s="619" t="s">
        <v>2934</v>
      </c>
      <c r="B50" s="620"/>
      <c r="C50" s="2632" t="e">
        <f>R50</f>
        <v>#DIV/0!</v>
      </c>
      <c r="D50" s="2632"/>
      <c r="E50" s="2632"/>
      <c r="F50" s="2632"/>
      <c r="G50" s="2632"/>
      <c r="H50" s="2632"/>
      <c r="I50" s="2632"/>
      <c r="J50" s="2632"/>
      <c r="K50" s="1608"/>
      <c r="L50" s="2140"/>
      <c r="M50" s="2130"/>
      <c r="N50" s="2130"/>
      <c r="O50" s="2130"/>
      <c r="P50" s="3800" t="str">
        <f>A50</f>
        <v>估价对象XX用房的比较价格（楼面单价，元/平方米）</v>
      </c>
      <c r="Q50" s="3701"/>
      <c r="R50" s="3762" t="e">
        <f>IF(F1="售价",ROUND(AVERAGE(R49:V49),0),ROUND(AVERAGE(R49:V49),1))</f>
        <v>#DIV/0!</v>
      </c>
      <c r="S50" s="3762"/>
      <c r="T50" s="3762"/>
      <c r="U50" s="3762"/>
      <c r="V50" s="3762"/>
      <c r="W50" s="3762"/>
      <c r="X50" s="1554"/>
      <c r="Y50" s="1554"/>
      <c r="Z50" s="1554"/>
      <c r="AA50" s="1554"/>
      <c r="AB50" s="1554"/>
      <c r="AC50" s="1554"/>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5"/>
      <c r="L54" s="2146"/>
      <c r="M54" s="2141"/>
      <c r="N54" s="2141"/>
      <c r="O54" s="2141"/>
      <c r="P54" s="2204"/>
      <c r="Q54" s="2141"/>
      <c r="R54" s="2141"/>
      <c r="S54" s="2141"/>
      <c r="T54" s="2141"/>
      <c r="U54" s="2141"/>
      <c r="V54" s="2141"/>
      <c r="W54" s="2141"/>
      <c r="X54" s="2141"/>
      <c r="Y54" s="2141"/>
      <c r="Z54" s="2141"/>
      <c r="AA54" s="2141"/>
      <c r="AB54" s="2141"/>
      <c r="AC54" s="2141"/>
    </row>
    <row r="55" spans="1:29" s="1342" customFormat="1" ht="13.5" customHeight="1">
      <c r="A55" s="2142"/>
      <c r="B55" s="2142"/>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48"/>
      <c r="L55" s="2149"/>
      <c r="M55" s="2142"/>
      <c r="N55" s="2142"/>
      <c r="O55" s="2142"/>
      <c r="P55" s="2205"/>
      <c r="Q55" s="2142"/>
      <c r="R55" s="2142"/>
      <c r="S55" s="2142"/>
      <c r="T55" s="2142"/>
      <c r="U55" s="2142"/>
      <c r="V55" s="2142"/>
      <c r="W55" s="2142"/>
      <c r="X55" s="2142"/>
      <c r="Y55" s="2142"/>
      <c r="Z55" s="2142"/>
      <c r="AA55" s="2142"/>
      <c r="AB55" s="2142"/>
      <c r="AC55" s="2142"/>
    </row>
    <row r="56" spans="1:29" s="1342"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79" t="s">
        <v>574</v>
      </c>
      <c r="B58" s="1554"/>
      <c r="C58" s="1578"/>
      <c r="D58" s="1578"/>
      <c r="E58" s="1578"/>
      <c r="F58" s="1580"/>
      <c r="G58" s="1580"/>
      <c r="H58" s="1578"/>
      <c r="I58" s="1578"/>
      <c r="J58" s="1578"/>
      <c r="K58" s="1581"/>
      <c r="L58" s="1577"/>
      <c r="M58" s="1578"/>
      <c r="N58" s="1578"/>
      <c r="O58" s="1578"/>
      <c r="P58" s="2206"/>
      <c r="Q58" s="2154"/>
      <c r="R58" s="2141"/>
      <c r="S58" s="2141"/>
      <c r="T58" s="2141"/>
      <c r="U58" s="2141"/>
      <c r="V58" s="2141"/>
      <c r="W58" s="2141"/>
      <c r="X58" s="2141"/>
      <c r="Y58" s="2141"/>
      <c r="Z58" s="2141"/>
      <c r="AA58" s="2141"/>
      <c r="AB58" s="2141"/>
      <c r="AC58" s="2141"/>
    </row>
    <row r="59" spans="1:29" s="1344" customFormat="1" ht="15">
      <c r="A59" s="643" t="s">
        <v>529</v>
      </c>
      <c r="B59" s="644"/>
      <c r="C59" s="2798" t="str">
        <f>YEAR(C7)&amp;"-"&amp;MONTH(C7)</f>
        <v>2018-9</v>
      </c>
      <c r="D59" s="2800">
        <f>EDATE(C59,-1)</f>
        <v>43313</v>
      </c>
      <c r="E59" s="2800">
        <f t="shared" ref="E59:O59" si="16">EDATE(D59,-1)</f>
        <v>43282</v>
      </c>
      <c r="F59" s="2800">
        <f t="shared" si="16"/>
        <v>43252</v>
      </c>
      <c r="G59" s="2800">
        <f t="shared" si="16"/>
        <v>43221</v>
      </c>
      <c r="H59" s="2800">
        <f t="shared" si="16"/>
        <v>43191</v>
      </c>
      <c r="I59" s="2800">
        <f t="shared" si="16"/>
        <v>43160</v>
      </c>
      <c r="J59" s="2800">
        <f t="shared" si="16"/>
        <v>43132</v>
      </c>
      <c r="K59" s="2800">
        <f t="shared" si="16"/>
        <v>43101</v>
      </c>
      <c r="L59" s="2800">
        <f t="shared" si="16"/>
        <v>43070</v>
      </c>
      <c r="M59" s="2800">
        <f t="shared" si="16"/>
        <v>43040</v>
      </c>
      <c r="N59" s="2800">
        <f t="shared" si="16"/>
        <v>43009</v>
      </c>
      <c r="O59" s="2800">
        <f t="shared" si="16"/>
        <v>42979</v>
      </c>
      <c r="P59" s="2207"/>
      <c r="Q59" s="2157"/>
      <c r="R59" s="2157"/>
      <c r="S59" s="2157"/>
      <c r="T59" s="2157"/>
      <c r="U59" s="2157"/>
      <c r="V59" s="2157"/>
      <c r="W59" s="2157"/>
      <c r="X59" s="2157"/>
      <c r="Y59" s="2157"/>
      <c r="Z59" s="2157"/>
      <c r="AA59" s="2157"/>
      <c r="AB59" s="2157"/>
      <c r="AC59" s="2157"/>
    </row>
    <row r="60" spans="1:29" s="1217" customFormat="1" ht="15">
      <c r="A60" s="645"/>
      <c r="B60" s="646"/>
      <c r="C60" s="647">
        <v>100</v>
      </c>
      <c r="D60" s="648"/>
      <c r="E60" s="648"/>
      <c r="F60" s="648"/>
      <c r="G60" s="648"/>
      <c r="H60" s="648"/>
      <c r="I60" s="648"/>
      <c r="J60" s="648"/>
      <c r="K60" s="648"/>
      <c r="L60" s="648"/>
      <c r="M60" s="649"/>
      <c r="N60" s="648"/>
      <c r="O60" s="649"/>
      <c r="P60" s="2208"/>
      <c r="Q60" s="1989"/>
      <c r="R60" s="1989"/>
      <c r="S60" s="1989"/>
      <c r="T60" s="1989"/>
      <c r="U60" s="1989"/>
      <c r="V60" s="1989"/>
      <c r="W60" s="1989"/>
      <c r="X60" s="1989"/>
      <c r="Y60" s="1989"/>
      <c r="Z60" s="1989"/>
      <c r="AA60" s="1989"/>
      <c r="AB60" s="1989"/>
      <c r="AC60" s="1989"/>
    </row>
    <row r="61" spans="1:29" s="1217" customFormat="1" ht="15.75" thickBot="1">
      <c r="A61" s="651" t="s">
        <v>575</v>
      </c>
      <c r="B61" s="652"/>
      <c r="C61" s="653"/>
      <c r="D61" s="654"/>
      <c r="E61" s="654"/>
      <c r="F61" s="654"/>
      <c r="G61" s="654"/>
      <c r="H61" s="654"/>
      <c r="I61" s="654"/>
      <c r="J61" s="654"/>
      <c r="K61" s="654"/>
      <c r="L61" s="654"/>
      <c r="M61" s="655"/>
      <c r="N61" s="654"/>
      <c r="O61" s="655"/>
      <c r="P61" s="2208"/>
      <c r="Q61" s="2154"/>
      <c r="R61" s="1989"/>
      <c r="S61" s="1989"/>
      <c r="T61" s="1989"/>
      <c r="U61" s="1989"/>
      <c r="V61" s="1989"/>
      <c r="W61" s="1989"/>
      <c r="X61" s="1989"/>
      <c r="Y61" s="1989"/>
      <c r="Z61" s="1989"/>
      <c r="AA61" s="1989"/>
      <c r="AB61" s="1989"/>
      <c r="AC61" s="1989"/>
    </row>
    <row r="62" spans="1:29" s="1217" customFormat="1" ht="15">
      <c r="A62" s="657" t="s">
        <v>531</v>
      </c>
      <c r="B62" s="646"/>
      <c r="C62" s="658" t="s">
        <v>576</v>
      </c>
      <c r="D62" s="659"/>
      <c r="E62" s="659"/>
      <c r="F62" s="659"/>
      <c r="G62" s="659"/>
      <c r="H62" s="659"/>
      <c r="I62" s="659"/>
      <c r="J62" s="659"/>
      <c r="K62" s="659"/>
      <c r="L62" s="660"/>
      <c r="M62" s="661"/>
      <c r="N62" s="2158"/>
      <c r="O62" s="2158"/>
      <c r="P62" s="2209"/>
      <c r="Q62" s="2154"/>
      <c r="R62" s="1989"/>
      <c r="S62" s="1989"/>
      <c r="T62" s="1989"/>
      <c r="U62" s="1989"/>
      <c r="V62" s="1989"/>
      <c r="W62" s="1989"/>
      <c r="X62" s="1989"/>
      <c r="Y62" s="1989"/>
      <c r="Z62" s="1989"/>
      <c r="AA62" s="1989"/>
      <c r="AB62" s="1989"/>
      <c r="AC62" s="1989"/>
    </row>
    <row r="63" spans="1:29" s="1217" customFormat="1" ht="15.75" thickBot="1">
      <c r="A63" s="657"/>
      <c r="B63" s="646"/>
      <c r="C63" s="886">
        <v>100</v>
      </c>
      <c r="D63" s="648"/>
      <c r="E63" s="648"/>
      <c r="F63" s="648"/>
      <c r="G63" s="648"/>
      <c r="H63" s="648"/>
      <c r="I63" s="648"/>
      <c r="J63" s="648"/>
      <c r="K63" s="648"/>
      <c r="L63" s="648"/>
      <c r="M63" s="650"/>
      <c r="N63" s="2158"/>
      <c r="O63" s="2158"/>
      <c r="P63" s="2208"/>
      <c r="Q63" s="2154"/>
      <c r="R63" s="1989"/>
      <c r="S63" s="1989"/>
      <c r="T63" s="1989"/>
      <c r="U63" s="1989"/>
      <c r="V63" s="1989"/>
      <c r="W63" s="1989"/>
      <c r="X63" s="1989"/>
      <c r="Y63" s="1989"/>
      <c r="Z63" s="1989"/>
      <c r="AA63" s="1989"/>
      <c r="AB63" s="1989"/>
      <c r="AC63" s="1989"/>
    </row>
    <row r="64" spans="1:29">
      <c r="A64" s="662" t="s">
        <v>577</v>
      </c>
      <c r="B64" s="663" t="s">
        <v>534</v>
      </c>
      <c r="C64" s="702">
        <f>C9</f>
        <v>0</v>
      </c>
      <c r="D64" s="596"/>
      <c r="E64" s="596"/>
      <c r="F64" s="596"/>
      <c r="G64" s="596"/>
      <c r="H64" s="596"/>
      <c r="I64" s="596"/>
      <c r="J64" s="596"/>
      <c r="K64" s="664"/>
      <c r="L64" s="665"/>
      <c r="M64" s="666"/>
      <c r="N64" s="2160"/>
      <c r="O64" s="2160"/>
      <c r="P64" s="2210"/>
      <c r="Q64" s="2154"/>
      <c r="R64" s="2141"/>
      <c r="S64" s="2141"/>
      <c r="T64" s="2141"/>
      <c r="U64" s="2141"/>
      <c r="V64" s="2141"/>
      <c r="W64" s="2141"/>
      <c r="X64" s="2141"/>
      <c r="Y64" s="2141"/>
      <c r="Z64" s="2141"/>
      <c r="AA64" s="2141"/>
      <c r="AB64" s="2141"/>
      <c r="AC64" s="2141"/>
    </row>
    <row r="65" spans="1:29" ht="15.75" thickBot="1">
      <c r="A65" s="667"/>
      <c r="B65" s="668"/>
      <c r="C65" s="669"/>
      <c r="D65" s="669"/>
      <c r="E65" s="669"/>
      <c r="F65" s="669"/>
      <c r="G65" s="669"/>
      <c r="H65" s="669"/>
      <c r="I65" s="669"/>
      <c r="J65" s="669"/>
      <c r="K65" s="669"/>
      <c r="L65" s="669"/>
      <c r="M65" s="670"/>
      <c r="N65" s="2162"/>
      <c r="O65" s="2162"/>
      <c r="P65" s="2210"/>
      <c r="Q65" s="2154"/>
      <c r="R65" s="2141"/>
      <c r="S65" s="2141"/>
      <c r="T65" s="2141"/>
      <c r="U65" s="2141"/>
      <c r="V65" s="2141"/>
      <c r="W65" s="2141"/>
      <c r="X65" s="2141"/>
      <c r="Y65" s="2141"/>
      <c r="Z65" s="2141"/>
      <c r="AA65" s="2141"/>
      <c r="AB65" s="2141"/>
      <c r="AC65" s="2141"/>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60"/>
      <c r="O66" s="2160"/>
      <c r="P66" s="2210"/>
      <c r="Q66" s="2154"/>
      <c r="R66" s="2141"/>
      <c r="S66" s="2141"/>
      <c r="T66" s="2141"/>
      <c r="U66" s="2141"/>
      <c r="V66" s="2141"/>
      <c r="W66" s="2141"/>
      <c r="X66" s="2141"/>
      <c r="Y66" s="2141"/>
      <c r="Z66" s="2141"/>
      <c r="AA66" s="2141"/>
      <c r="AB66" s="2141"/>
      <c r="AC66" s="2141"/>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2"/>
      <c r="O67" s="2162"/>
      <c r="P67" s="2210"/>
      <c r="Q67" s="2154"/>
      <c r="R67" s="2141"/>
      <c r="S67" s="2141"/>
      <c r="T67" s="2141"/>
      <c r="U67" s="2141"/>
      <c r="V67" s="2141"/>
      <c r="W67" s="2141"/>
      <c r="X67" s="2141"/>
      <c r="Y67" s="2141"/>
      <c r="Z67" s="2141"/>
      <c r="AA67" s="2141"/>
      <c r="AB67" s="2141"/>
      <c r="AC67" s="2141"/>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2"/>
      <c r="O68" s="2162"/>
      <c r="P68" s="2210"/>
      <c r="Q68" s="2154"/>
      <c r="R68" s="2141"/>
      <c r="S68" s="2141"/>
      <c r="T68" s="2141"/>
      <c r="U68" s="2141"/>
      <c r="V68" s="2141"/>
      <c r="W68" s="2141"/>
      <c r="X68" s="2141"/>
      <c r="Y68" s="2141"/>
      <c r="Z68" s="2141"/>
      <c r="AA68" s="2141"/>
      <c r="AB68" s="2141"/>
      <c r="AC68" s="2141"/>
    </row>
    <row r="69" spans="1:29" ht="15">
      <c r="A69" s="667"/>
      <c r="B69" s="681"/>
      <c r="C69" s="539"/>
      <c r="D69" s="539"/>
      <c r="E69" s="539"/>
      <c r="F69" s="539"/>
      <c r="G69" s="539"/>
      <c r="H69" s="539"/>
      <c r="I69" s="539"/>
      <c r="J69" s="539"/>
      <c r="K69" s="682"/>
      <c r="L69" s="683"/>
      <c r="M69" s="684"/>
      <c r="N69" s="2160"/>
      <c r="O69" s="2160"/>
      <c r="P69" s="2210"/>
      <c r="Q69" s="2154"/>
      <c r="R69" s="2141"/>
      <c r="S69" s="2141"/>
      <c r="T69" s="2141"/>
      <c r="U69" s="2141"/>
      <c r="V69" s="2141"/>
      <c r="W69" s="2141"/>
      <c r="X69" s="2141"/>
      <c r="Y69" s="2141"/>
      <c r="Z69" s="2141"/>
      <c r="AA69" s="2141"/>
      <c r="AB69" s="2141"/>
      <c r="AC69" s="2141"/>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2"/>
      <c r="O70" s="2162"/>
      <c r="P70" s="2210"/>
      <c r="Q70" s="2154"/>
      <c r="R70" s="2141"/>
      <c r="S70" s="2141"/>
      <c r="T70" s="2141"/>
      <c r="U70" s="2141"/>
      <c r="V70" s="2141"/>
      <c r="W70" s="2141"/>
      <c r="X70" s="2141"/>
      <c r="Y70" s="2141"/>
      <c r="Z70" s="2141"/>
      <c r="AA70" s="2141"/>
      <c r="AB70" s="2141"/>
      <c r="AC70" s="2141"/>
    </row>
    <row r="71" spans="1:29" s="1336" customFormat="1" ht="15.75" thickTop="1">
      <c r="A71" s="685"/>
      <c r="B71" s="671">
        <f>B12</f>
        <v>111</v>
      </c>
      <c r="C71" s="686"/>
      <c r="D71" s="686"/>
      <c r="E71" s="686"/>
      <c r="F71" s="686"/>
      <c r="G71" s="686"/>
      <c r="H71" s="687"/>
      <c r="I71" s="687"/>
      <c r="J71" s="687"/>
      <c r="K71" s="687"/>
      <c r="L71" s="688"/>
      <c r="M71" s="689"/>
      <c r="N71" s="2163"/>
      <c r="O71" s="2163"/>
      <c r="P71" s="2211"/>
      <c r="Q71" s="2165"/>
      <c r="R71" s="2166"/>
      <c r="S71" s="2166"/>
      <c r="T71" s="2166"/>
      <c r="U71" s="2166"/>
      <c r="V71" s="2166"/>
      <c r="W71" s="2166"/>
      <c r="X71" s="2166"/>
      <c r="Y71" s="2166"/>
      <c r="Z71" s="2166"/>
      <c r="AA71" s="2166"/>
      <c r="AB71" s="2166"/>
      <c r="AC71" s="2166"/>
    </row>
    <row r="72" spans="1:29" s="1336" customFormat="1" ht="15.75" thickBot="1">
      <c r="A72" s="685"/>
      <c r="B72" s="676"/>
      <c r="C72" s="690"/>
      <c r="D72" s="669"/>
      <c r="E72" s="669"/>
      <c r="F72" s="669"/>
      <c r="G72" s="669"/>
      <c r="H72" s="669"/>
      <c r="I72" s="669"/>
      <c r="J72" s="669"/>
      <c r="K72" s="669"/>
      <c r="L72" s="669"/>
      <c r="M72" s="670"/>
      <c r="N72" s="2162"/>
      <c r="O72" s="2162"/>
      <c r="P72" s="2211"/>
      <c r="Q72" s="2165"/>
      <c r="R72" s="2166"/>
      <c r="S72" s="2166"/>
      <c r="T72" s="2166"/>
      <c r="U72" s="2166"/>
      <c r="V72" s="2166"/>
      <c r="W72" s="2166"/>
      <c r="X72" s="2166"/>
      <c r="Y72" s="2166"/>
      <c r="Z72" s="2166"/>
      <c r="AA72" s="2166"/>
      <c r="AB72" s="2166"/>
      <c r="AC72" s="2166"/>
    </row>
    <row r="73" spans="1:29" s="1336" customFormat="1" ht="15.75" thickTop="1">
      <c r="A73" s="685"/>
      <c r="B73" s="671">
        <f>B13</f>
        <v>111</v>
      </c>
      <c r="C73" s="686"/>
      <c r="D73" s="686"/>
      <c r="E73" s="686"/>
      <c r="F73" s="686"/>
      <c r="G73" s="686"/>
      <c r="H73" s="687"/>
      <c r="I73" s="687"/>
      <c r="J73" s="687"/>
      <c r="K73" s="687"/>
      <c r="L73" s="688"/>
      <c r="M73" s="689"/>
      <c r="N73" s="2163"/>
      <c r="O73" s="2163"/>
      <c r="P73" s="2212"/>
      <c r="Q73" s="2168"/>
      <c r="R73" s="2166"/>
      <c r="S73" s="2166"/>
      <c r="T73" s="2166"/>
      <c r="U73" s="2166"/>
      <c r="V73" s="2166"/>
      <c r="W73" s="2166"/>
      <c r="X73" s="2166"/>
      <c r="Y73" s="2166"/>
      <c r="Z73" s="2166"/>
      <c r="AA73" s="2166"/>
      <c r="AB73" s="2166"/>
      <c r="AC73" s="2166"/>
    </row>
    <row r="74" spans="1:29" s="1336" customFormat="1" ht="15.75" thickBot="1">
      <c r="A74" s="685"/>
      <c r="B74" s="676"/>
      <c r="C74" s="690"/>
      <c r="D74" s="690"/>
      <c r="E74" s="690"/>
      <c r="F74" s="690"/>
      <c r="G74" s="690"/>
      <c r="H74" s="691"/>
      <c r="I74" s="691"/>
      <c r="J74" s="691"/>
      <c r="K74" s="691"/>
      <c r="L74" s="691"/>
      <c r="M74" s="692"/>
      <c r="N74" s="2163"/>
      <c r="O74" s="2163"/>
      <c r="P74" s="2211"/>
      <c r="Q74" s="2165"/>
      <c r="R74" s="2166"/>
      <c r="S74" s="2166"/>
      <c r="T74" s="2166"/>
      <c r="U74" s="2166"/>
      <c r="V74" s="2166"/>
      <c r="W74" s="2166"/>
      <c r="X74" s="2166"/>
      <c r="Y74" s="2166"/>
      <c r="Z74" s="2166"/>
      <c r="AA74" s="2166"/>
      <c r="AB74" s="2166"/>
      <c r="AC74" s="2166"/>
    </row>
    <row r="75" spans="1:29" s="1336" customFormat="1" ht="15.75" thickTop="1">
      <c r="A75" s="685"/>
      <c r="B75" s="679">
        <f>B14</f>
        <v>111</v>
      </c>
      <c r="C75" s="659"/>
      <c r="D75" s="659"/>
      <c r="E75" s="659"/>
      <c r="F75" s="659"/>
      <c r="G75" s="659"/>
      <c r="H75" s="693"/>
      <c r="I75" s="693"/>
      <c r="J75" s="693"/>
      <c r="K75" s="693"/>
      <c r="L75" s="694"/>
      <c r="M75" s="695"/>
      <c r="N75" s="2163"/>
      <c r="O75" s="2163"/>
      <c r="P75" s="2213"/>
      <c r="Q75" s="2165"/>
      <c r="R75" s="2166"/>
      <c r="S75" s="2166"/>
      <c r="T75" s="2166"/>
      <c r="U75" s="2166"/>
      <c r="V75" s="2166"/>
      <c r="W75" s="2166"/>
      <c r="X75" s="2166"/>
      <c r="Y75" s="2166"/>
      <c r="Z75" s="2166"/>
      <c r="AA75" s="2166"/>
      <c r="AB75" s="2166"/>
      <c r="AC75" s="2166"/>
    </row>
    <row r="76" spans="1:29" s="1336" customFormat="1" ht="15.75" thickBot="1">
      <c r="A76" s="696"/>
      <c r="B76" s="697"/>
      <c r="C76" s="698"/>
      <c r="D76" s="698"/>
      <c r="E76" s="698"/>
      <c r="F76" s="698"/>
      <c r="G76" s="698"/>
      <c r="H76" s="699"/>
      <c r="I76" s="699"/>
      <c r="J76" s="699"/>
      <c r="K76" s="699"/>
      <c r="L76" s="699"/>
      <c r="M76" s="700"/>
      <c r="N76" s="2163"/>
      <c r="O76" s="2163"/>
      <c r="P76" s="2211"/>
      <c r="Q76" s="2165"/>
      <c r="R76" s="2166"/>
      <c r="S76" s="2166"/>
      <c r="T76" s="2166"/>
      <c r="U76" s="2166"/>
      <c r="V76" s="2166"/>
      <c r="W76" s="2166"/>
      <c r="X76" s="2166"/>
      <c r="Y76" s="2166"/>
      <c r="Z76" s="2166"/>
      <c r="AA76" s="2166"/>
      <c r="AB76" s="2166"/>
      <c r="AC76" s="2166"/>
    </row>
    <row r="77" spans="1:29">
      <c r="A77" s="662" t="s">
        <v>539</v>
      </c>
      <c r="B77" s="663" t="s">
        <v>585</v>
      </c>
      <c r="C77" s="701" t="s">
        <v>579</v>
      </c>
      <c r="D77" s="701" t="s">
        <v>580</v>
      </c>
      <c r="E77" s="701" t="s">
        <v>581</v>
      </c>
      <c r="F77" s="701" t="s">
        <v>582</v>
      </c>
      <c r="G77" s="701" t="s">
        <v>583</v>
      </c>
      <c r="H77" s="702"/>
      <c r="I77" s="702"/>
      <c r="J77" s="702"/>
      <c r="K77" s="703"/>
      <c r="L77" s="704"/>
      <c r="M77" s="705"/>
      <c r="N77" s="2160"/>
      <c r="O77" s="2160"/>
      <c r="P77" s="2214"/>
      <c r="Q77" s="2154"/>
      <c r="R77" s="2141"/>
      <c r="S77" s="2141"/>
      <c r="T77" s="2141"/>
      <c r="U77" s="2141"/>
      <c r="V77" s="2141"/>
      <c r="W77" s="2141"/>
      <c r="X77" s="2141"/>
      <c r="Y77" s="2141"/>
      <c r="Z77" s="2141"/>
      <c r="AA77" s="2141"/>
      <c r="AB77" s="2141"/>
      <c r="AC77" s="2141"/>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2"/>
      <c r="O78" s="2162"/>
      <c r="P78" s="2210"/>
      <c r="Q78" s="2154"/>
      <c r="R78" s="2141"/>
      <c r="S78" s="2141"/>
      <c r="T78" s="2141"/>
      <c r="U78" s="2141"/>
      <c r="V78" s="2141"/>
      <c r="W78" s="2141"/>
      <c r="X78" s="2141"/>
      <c r="Y78" s="2141"/>
      <c r="Z78" s="2141"/>
      <c r="AA78" s="2141"/>
      <c r="AB78" s="2141"/>
      <c r="AC78" s="2141"/>
    </row>
    <row r="79" spans="1:29" ht="15.75" thickTop="1">
      <c r="A79" s="667"/>
      <c r="B79" s="671" t="s">
        <v>586</v>
      </c>
      <c r="C79" s="706" t="s">
        <v>579</v>
      </c>
      <c r="D79" s="706" t="s">
        <v>580</v>
      </c>
      <c r="E79" s="706" t="s">
        <v>581</v>
      </c>
      <c r="F79" s="706" t="s">
        <v>582</v>
      </c>
      <c r="G79" s="706" t="s">
        <v>583</v>
      </c>
      <c r="H79" s="672"/>
      <c r="I79" s="672"/>
      <c r="J79" s="672"/>
      <c r="K79" s="673"/>
      <c r="L79" s="674"/>
      <c r="M79" s="675"/>
      <c r="N79" s="2160"/>
      <c r="O79" s="2160"/>
      <c r="P79" s="2210"/>
      <c r="Q79" s="2154"/>
      <c r="R79" s="2141"/>
      <c r="S79" s="2141"/>
      <c r="T79" s="2141"/>
      <c r="U79" s="2141"/>
      <c r="V79" s="2141"/>
      <c r="W79" s="2141"/>
      <c r="X79" s="2141"/>
      <c r="Y79" s="2141"/>
      <c r="Z79" s="2141"/>
      <c r="AA79" s="2141"/>
      <c r="AB79" s="2141"/>
      <c r="AC79" s="2141"/>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2"/>
      <c r="O80" s="2162"/>
      <c r="P80" s="2210"/>
      <c r="Q80" s="2154"/>
      <c r="R80" s="2141"/>
      <c r="S80" s="2141"/>
      <c r="T80" s="2141"/>
      <c r="U80" s="2141"/>
      <c r="V80" s="2141"/>
      <c r="W80" s="2141"/>
      <c r="X80" s="2141"/>
      <c r="Y80" s="2141"/>
      <c r="Z80" s="2141"/>
      <c r="AA80" s="2141"/>
      <c r="AB80" s="2141"/>
      <c r="AC80" s="2141"/>
    </row>
    <row r="81" spans="1:29" ht="15.75" thickTop="1">
      <c r="A81" s="667"/>
      <c r="B81" s="1892" t="s">
        <v>2557</v>
      </c>
      <c r="C81" s="706" t="s">
        <v>579</v>
      </c>
      <c r="D81" s="706" t="s">
        <v>580</v>
      </c>
      <c r="E81" s="706" t="s">
        <v>581</v>
      </c>
      <c r="F81" s="706" t="s">
        <v>582</v>
      </c>
      <c r="G81" s="706" t="s">
        <v>583</v>
      </c>
      <c r="H81" s="672"/>
      <c r="I81" s="672"/>
      <c r="J81" s="672"/>
      <c r="K81" s="673"/>
      <c r="L81" s="674"/>
      <c r="M81" s="675"/>
      <c r="N81" s="2160"/>
      <c r="O81" s="2160"/>
      <c r="P81" s="2210"/>
      <c r="Q81" s="2154"/>
      <c r="R81" s="2141"/>
      <c r="S81" s="2141"/>
      <c r="T81" s="2141"/>
      <c r="U81" s="2141"/>
      <c r="V81" s="2141"/>
      <c r="W81" s="2141"/>
      <c r="X81" s="2141"/>
      <c r="Y81" s="2141"/>
      <c r="Z81" s="2141"/>
      <c r="AA81" s="2141"/>
      <c r="AB81" s="2141"/>
      <c r="AC81" s="2141"/>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2"/>
      <c r="O82" s="2162"/>
      <c r="P82" s="2210"/>
      <c r="Q82" s="2154"/>
      <c r="R82" s="2141"/>
      <c r="S82" s="2141"/>
      <c r="T82" s="2141"/>
      <c r="U82" s="2141"/>
      <c r="V82" s="2141"/>
      <c r="W82" s="2141"/>
      <c r="X82" s="2141"/>
      <c r="Y82" s="2141"/>
      <c r="Z82" s="2141"/>
      <c r="AA82" s="2141"/>
      <c r="AB82" s="2141"/>
      <c r="AC82" s="2141"/>
    </row>
    <row r="83" spans="1:29" ht="15.75" thickTop="1">
      <c r="A83" s="667"/>
      <c r="B83" s="2593" t="s">
        <v>2558</v>
      </c>
      <c r="C83" s="2594" t="s">
        <v>2559</v>
      </c>
      <c r="D83" s="2594" t="s">
        <v>2560</v>
      </c>
      <c r="E83" s="2594" t="s">
        <v>2561</v>
      </c>
      <c r="F83" s="2594" t="s">
        <v>2562</v>
      </c>
      <c r="G83" s="2594" t="s">
        <v>2563</v>
      </c>
      <c r="H83" s="672"/>
      <c r="I83" s="672"/>
      <c r="J83" s="672"/>
      <c r="K83" s="672"/>
      <c r="L83" s="672"/>
      <c r="M83" s="2597"/>
      <c r="N83" s="2162"/>
      <c r="O83" s="2162"/>
      <c r="P83" s="2210"/>
      <c r="Q83" s="2154"/>
      <c r="R83" s="2141"/>
      <c r="S83" s="2141"/>
      <c r="T83" s="2141"/>
      <c r="U83" s="2141"/>
      <c r="V83" s="2141"/>
      <c r="W83" s="2141"/>
      <c r="X83" s="2141"/>
      <c r="Y83" s="2141"/>
      <c r="Z83" s="2141"/>
      <c r="AA83" s="2141"/>
      <c r="AB83" s="2141"/>
      <c r="AC83" s="2141"/>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62"/>
      <c r="O84" s="2162"/>
      <c r="P84" s="2210"/>
      <c r="Q84" s="2154"/>
      <c r="R84" s="2141"/>
      <c r="S84" s="2141"/>
      <c r="T84" s="2141"/>
      <c r="U84" s="2141"/>
      <c r="V84" s="2141"/>
      <c r="W84" s="2141"/>
      <c r="X84" s="2141"/>
      <c r="Y84" s="2141"/>
      <c r="Z84" s="2141"/>
      <c r="AA84" s="2141"/>
      <c r="AB84" s="2141"/>
      <c r="AC84" s="2141"/>
    </row>
    <row r="85" spans="1:29" ht="15.75" thickTop="1">
      <c r="A85" s="667"/>
      <c r="B85" s="671" t="s">
        <v>784</v>
      </c>
      <c r="C85" s="706" t="s">
        <v>579</v>
      </c>
      <c r="D85" s="706" t="s">
        <v>580</v>
      </c>
      <c r="E85" s="706" t="s">
        <v>581</v>
      </c>
      <c r="F85" s="706" t="s">
        <v>582</v>
      </c>
      <c r="G85" s="706" t="s">
        <v>583</v>
      </c>
      <c r="H85" s="672"/>
      <c r="I85" s="672"/>
      <c r="J85" s="672"/>
      <c r="K85" s="673"/>
      <c r="L85" s="674"/>
      <c r="M85" s="675"/>
      <c r="N85" s="2160"/>
      <c r="O85" s="2160"/>
      <c r="P85" s="2210"/>
      <c r="Q85" s="2154"/>
      <c r="R85" s="2141"/>
      <c r="S85" s="2141"/>
      <c r="T85" s="2141"/>
      <c r="U85" s="2141"/>
      <c r="V85" s="2141"/>
      <c r="W85" s="2141"/>
      <c r="X85" s="2141"/>
      <c r="Y85" s="2141"/>
      <c r="Z85" s="2141"/>
      <c r="AA85" s="2141"/>
      <c r="AB85" s="2141"/>
      <c r="AC85" s="2141"/>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2"/>
      <c r="O86" s="2162"/>
      <c r="P86" s="2210"/>
      <c r="Q86" s="2154"/>
      <c r="R86" s="2141"/>
      <c r="S86" s="2141"/>
      <c r="T86" s="2141"/>
      <c r="U86" s="2141"/>
      <c r="V86" s="2141"/>
      <c r="W86" s="2141"/>
      <c r="X86" s="2141"/>
      <c r="Y86" s="2141"/>
      <c r="Z86" s="2141"/>
      <c r="AA86" s="2141"/>
      <c r="AB86" s="2141"/>
      <c r="AC86" s="2141"/>
    </row>
    <row r="87" spans="1:29" s="1217" customFormat="1" ht="27.75" thickTop="1">
      <c r="A87" s="707"/>
      <c r="B87" s="671" t="s">
        <v>785</v>
      </c>
      <c r="C87" s="686"/>
      <c r="D87" s="686"/>
      <c r="E87" s="686"/>
      <c r="F87" s="686"/>
      <c r="G87" s="686"/>
      <c r="H87" s="686"/>
      <c r="I87" s="686"/>
      <c r="J87" s="686"/>
      <c r="K87" s="686"/>
      <c r="L87" s="887"/>
      <c r="M87" s="888"/>
      <c r="N87" s="2158"/>
      <c r="O87" s="2158"/>
      <c r="P87" s="2210"/>
      <c r="Q87" s="2154"/>
      <c r="R87" s="1989"/>
      <c r="S87" s="1989"/>
      <c r="T87" s="1989"/>
      <c r="U87" s="1989"/>
      <c r="V87" s="1989"/>
      <c r="W87" s="1989"/>
      <c r="X87" s="1989"/>
      <c r="Y87" s="1989"/>
      <c r="Z87" s="1989"/>
      <c r="AA87" s="1989"/>
      <c r="AB87" s="1989"/>
      <c r="AC87" s="1989"/>
    </row>
    <row r="88" spans="1:29" s="1217"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2"/>
      <c r="O88" s="2162"/>
      <c r="P88" s="2210"/>
      <c r="Q88" s="2154"/>
      <c r="R88" s="1989"/>
      <c r="S88" s="1989"/>
      <c r="T88" s="1989"/>
      <c r="U88" s="1989"/>
      <c r="V88" s="1989"/>
      <c r="W88" s="1989"/>
      <c r="X88" s="1989"/>
      <c r="Y88" s="1989"/>
      <c r="Z88" s="1989"/>
      <c r="AA88" s="1989"/>
      <c r="AB88" s="1989"/>
      <c r="AC88" s="1989"/>
    </row>
    <row r="89" spans="1:29" s="1217" customFormat="1" ht="15.75" thickTop="1">
      <c r="A89" s="707"/>
      <c r="B89" s="671" t="str">
        <f>B27</f>
        <v>楼层</v>
      </c>
      <c r="C89" s="686"/>
      <c r="D89" s="686"/>
      <c r="E89" s="686"/>
      <c r="F89" s="889"/>
      <c r="G89" s="686"/>
      <c r="H89" s="686"/>
      <c r="I89" s="686"/>
      <c r="J89" s="686"/>
      <c r="K89" s="686"/>
      <c r="L89" s="686"/>
      <c r="M89" s="888"/>
      <c r="N89" s="2158"/>
      <c r="O89" s="2158"/>
      <c r="P89" s="2210"/>
      <c r="Q89" s="2154"/>
      <c r="R89" s="1989"/>
      <c r="S89" s="1989"/>
      <c r="T89" s="1989"/>
      <c r="U89" s="1989"/>
      <c r="V89" s="1989"/>
      <c r="W89" s="1989"/>
      <c r="X89" s="1989"/>
      <c r="Y89" s="1989"/>
      <c r="Z89" s="1989"/>
      <c r="AA89" s="1989"/>
      <c r="AB89" s="1989"/>
      <c r="AC89" s="1989"/>
    </row>
    <row r="90" spans="1:29" s="1217"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2"/>
      <c r="O90" s="2162"/>
      <c r="P90" s="2210"/>
      <c r="Q90" s="2154"/>
      <c r="R90" s="1989"/>
      <c r="S90" s="1989"/>
      <c r="T90" s="1989"/>
      <c r="U90" s="1989"/>
      <c r="V90" s="1989"/>
      <c r="W90" s="1989"/>
      <c r="X90" s="1989"/>
      <c r="Y90" s="1989"/>
      <c r="Z90" s="1989"/>
      <c r="AA90" s="1989"/>
      <c r="AB90" s="1989"/>
      <c r="AC90" s="1989"/>
    </row>
    <row r="91" spans="1:29" s="1336" customFormat="1" ht="15.75" thickTop="1">
      <c r="A91" s="685"/>
      <c r="B91" s="671" t="str">
        <f>B28</f>
        <v>朝向</v>
      </c>
      <c r="C91" s="686"/>
      <c r="D91" s="686"/>
      <c r="E91" s="686"/>
      <c r="F91" s="686"/>
      <c r="G91" s="686"/>
      <c r="H91" s="687"/>
      <c r="I91" s="687"/>
      <c r="J91" s="687"/>
      <c r="K91" s="687"/>
      <c r="L91" s="688"/>
      <c r="M91" s="689"/>
      <c r="N91" s="2163"/>
      <c r="O91" s="2163"/>
      <c r="P91" s="2211"/>
      <c r="Q91" s="2165"/>
      <c r="R91" s="2166"/>
      <c r="S91" s="2166"/>
      <c r="T91" s="2166"/>
      <c r="U91" s="2166"/>
      <c r="V91" s="2166"/>
      <c r="W91" s="2166"/>
      <c r="X91" s="2166"/>
      <c r="Y91" s="2166"/>
      <c r="Z91" s="2166"/>
      <c r="AA91" s="2166"/>
      <c r="AB91" s="2166"/>
      <c r="AC91" s="2166"/>
    </row>
    <row r="92" spans="1:29" s="1336"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7"/>
      <c r="B93" s="671">
        <f>B29</f>
        <v>111</v>
      </c>
      <c r="C93" s="686"/>
      <c r="D93" s="686"/>
      <c r="E93" s="686"/>
      <c r="F93" s="686"/>
      <c r="G93" s="686"/>
      <c r="H93" s="686"/>
      <c r="I93" s="686"/>
      <c r="J93" s="686"/>
      <c r="K93" s="686"/>
      <c r="L93" s="887"/>
      <c r="M93" s="888"/>
      <c r="N93" s="2160"/>
      <c r="O93" s="2160"/>
      <c r="P93" s="2210"/>
      <c r="Q93" s="2154"/>
      <c r="R93" s="2141"/>
      <c r="S93" s="2141"/>
      <c r="T93" s="2141"/>
      <c r="U93" s="2141"/>
      <c r="V93" s="2141"/>
      <c r="W93" s="2141"/>
      <c r="X93" s="2141"/>
      <c r="Y93" s="2141"/>
      <c r="Z93" s="2141"/>
      <c r="AA93" s="2141"/>
      <c r="AB93" s="2141"/>
      <c r="AC93" s="2141"/>
    </row>
    <row r="94" spans="1:29" ht="15.75" thickBot="1">
      <c r="A94" s="667"/>
      <c r="B94" s="676"/>
      <c r="C94" s="690"/>
      <c r="D94" s="669"/>
      <c r="E94" s="669"/>
      <c r="F94" s="669"/>
      <c r="G94" s="669"/>
      <c r="H94" s="669"/>
      <c r="I94" s="669"/>
      <c r="J94" s="669"/>
      <c r="K94" s="669"/>
      <c r="L94" s="669"/>
      <c r="M94" s="670"/>
      <c r="N94" s="2162"/>
      <c r="O94" s="2162"/>
      <c r="P94" s="2210"/>
      <c r="Q94" s="2154"/>
      <c r="R94" s="2141"/>
      <c r="S94" s="2141"/>
      <c r="T94" s="2141"/>
      <c r="U94" s="2141"/>
      <c r="V94" s="2141"/>
      <c r="W94" s="2141"/>
      <c r="X94" s="2141"/>
      <c r="Y94" s="2141"/>
      <c r="Z94" s="2141"/>
      <c r="AA94" s="2141"/>
      <c r="AB94" s="2141"/>
      <c r="AC94" s="2141"/>
    </row>
    <row r="95" spans="1:29" ht="15.75" thickTop="1">
      <c r="A95" s="667"/>
      <c r="B95" s="671">
        <f>B30</f>
        <v>111</v>
      </c>
      <c r="C95" s="686"/>
      <c r="D95" s="686"/>
      <c r="E95" s="686"/>
      <c r="F95" s="686"/>
      <c r="G95" s="716"/>
      <c r="H95" s="716"/>
      <c r="I95" s="716"/>
      <c r="J95" s="716"/>
      <c r="K95" s="717"/>
      <c r="L95" s="718"/>
      <c r="M95" s="719"/>
      <c r="N95" s="2160"/>
      <c r="O95" s="2160"/>
      <c r="P95" s="2210"/>
      <c r="Q95" s="2154"/>
      <c r="R95" s="2141"/>
      <c r="S95" s="2141"/>
      <c r="T95" s="2141"/>
      <c r="U95" s="2141"/>
      <c r="V95" s="2141"/>
      <c r="W95" s="2141"/>
      <c r="X95" s="2141"/>
      <c r="Y95" s="2141"/>
      <c r="Z95" s="2141"/>
      <c r="AA95" s="2141"/>
      <c r="AB95" s="2141"/>
      <c r="AC95" s="2141"/>
    </row>
    <row r="96" spans="1:29" ht="15.75" thickBot="1">
      <c r="A96" s="667"/>
      <c r="B96" s="676"/>
      <c r="C96" s="690"/>
      <c r="D96" s="690"/>
      <c r="E96" s="690"/>
      <c r="F96" s="690"/>
      <c r="G96" s="669"/>
      <c r="H96" s="669"/>
      <c r="I96" s="669"/>
      <c r="J96" s="669"/>
      <c r="K96" s="669"/>
      <c r="L96" s="669"/>
      <c r="M96" s="670"/>
      <c r="N96" s="2162"/>
      <c r="O96" s="2162"/>
      <c r="P96" s="2210"/>
      <c r="Q96" s="2154"/>
      <c r="R96" s="2141"/>
      <c r="S96" s="2141"/>
      <c r="T96" s="2141"/>
      <c r="U96" s="2141"/>
      <c r="V96" s="2141"/>
      <c r="W96" s="2141"/>
      <c r="X96" s="2141"/>
      <c r="Y96" s="2141"/>
      <c r="Z96" s="2141"/>
      <c r="AA96" s="2141"/>
      <c r="AB96" s="2141"/>
      <c r="AC96" s="2141"/>
    </row>
    <row r="97" spans="1:29" ht="15.75" thickTop="1">
      <c r="A97" s="667"/>
      <c r="B97" s="671">
        <f>B31</f>
        <v>111</v>
      </c>
      <c r="C97" s="686"/>
      <c r="D97" s="686"/>
      <c r="E97" s="686"/>
      <c r="F97" s="686"/>
      <c r="G97" s="716"/>
      <c r="H97" s="716"/>
      <c r="I97" s="716"/>
      <c r="J97" s="716"/>
      <c r="K97" s="717"/>
      <c r="L97" s="718"/>
      <c r="M97" s="719"/>
      <c r="N97" s="2160"/>
      <c r="O97" s="2160"/>
      <c r="P97" s="2210"/>
      <c r="Q97" s="2154"/>
      <c r="R97" s="2141"/>
      <c r="S97" s="2141"/>
      <c r="T97" s="2141"/>
      <c r="U97" s="2141"/>
      <c r="V97" s="2141"/>
      <c r="W97" s="2141"/>
      <c r="X97" s="2141"/>
      <c r="Y97" s="2141"/>
      <c r="Z97" s="2141"/>
      <c r="AA97" s="2141"/>
      <c r="AB97" s="2141"/>
      <c r="AC97" s="2141"/>
    </row>
    <row r="98" spans="1:29" ht="15.75" thickBot="1">
      <c r="A98" s="667"/>
      <c r="B98" s="676"/>
      <c r="C98" s="690"/>
      <c r="D98" s="669"/>
      <c r="E98" s="669"/>
      <c r="F98" s="669"/>
      <c r="G98" s="669"/>
      <c r="H98" s="669"/>
      <c r="I98" s="669"/>
      <c r="J98" s="669"/>
      <c r="K98" s="669"/>
      <c r="L98" s="669"/>
      <c r="M98" s="670"/>
      <c r="N98" s="2162"/>
      <c r="O98" s="2162"/>
      <c r="P98" s="2210"/>
      <c r="Q98" s="2154"/>
      <c r="R98" s="2141"/>
      <c r="S98" s="2141"/>
      <c r="T98" s="2141"/>
      <c r="U98" s="2141"/>
      <c r="V98" s="2141"/>
      <c r="W98" s="2141"/>
      <c r="X98" s="2141"/>
      <c r="Y98" s="2141"/>
      <c r="Z98" s="2141"/>
      <c r="AA98" s="2141"/>
      <c r="AB98" s="2141"/>
      <c r="AC98" s="2141"/>
    </row>
    <row r="99" spans="1:29" ht="15.75" thickTop="1">
      <c r="A99" s="667"/>
      <c r="B99" s="679">
        <f>B32</f>
        <v>111</v>
      </c>
      <c r="C99" s="659"/>
      <c r="D99" s="659"/>
      <c r="E99" s="659"/>
      <c r="F99" s="659"/>
      <c r="G99" s="720"/>
      <c r="H99" s="720"/>
      <c r="I99" s="720"/>
      <c r="J99" s="720"/>
      <c r="K99" s="721"/>
      <c r="L99" s="722"/>
      <c r="M99" s="723"/>
      <c r="N99" s="2160"/>
      <c r="O99" s="2160"/>
      <c r="P99" s="2210"/>
      <c r="Q99" s="2154"/>
      <c r="R99" s="2141"/>
      <c r="S99" s="2141"/>
      <c r="T99" s="2141"/>
      <c r="U99" s="2141"/>
      <c r="V99" s="2141"/>
      <c r="W99" s="2141"/>
      <c r="X99" s="2141"/>
      <c r="Y99" s="2141"/>
      <c r="Z99" s="2141"/>
      <c r="AA99" s="2141"/>
      <c r="AB99" s="2141"/>
      <c r="AC99" s="2141"/>
    </row>
    <row r="100" spans="1:29" ht="15.75" thickBot="1">
      <c r="A100" s="890"/>
      <c r="B100" s="697"/>
      <c r="C100" s="698"/>
      <c r="D100" s="698"/>
      <c r="E100" s="698"/>
      <c r="F100" s="698"/>
      <c r="G100" s="724"/>
      <c r="H100" s="724"/>
      <c r="I100" s="724"/>
      <c r="J100" s="724"/>
      <c r="K100" s="724"/>
      <c r="L100" s="724"/>
      <c r="M100" s="725"/>
      <c r="N100" s="2162"/>
      <c r="O100" s="2162"/>
      <c r="P100" s="2210"/>
      <c r="Q100" s="2154"/>
      <c r="R100" s="2141"/>
      <c r="S100" s="2141"/>
      <c r="T100" s="2141"/>
      <c r="U100" s="2141"/>
      <c r="V100" s="2141"/>
      <c r="W100" s="2141"/>
      <c r="X100" s="2141"/>
      <c r="Y100" s="2141"/>
      <c r="Z100" s="2141"/>
      <c r="AA100" s="2141"/>
      <c r="AB100" s="2141"/>
      <c r="AC100" s="2141"/>
    </row>
    <row r="101" spans="1:29">
      <c r="A101" s="662" t="s">
        <v>551</v>
      </c>
      <c r="B101" s="663" t="s">
        <v>747</v>
      </c>
      <c r="C101" s="596"/>
      <c r="D101" s="596"/>
      <c r="E101" s="596"/>
      <c r="F101" s="596"/>
      <c r="G101" s="596"/>
      <c r="H101" s="596"/>
      <c r="I101" s="596"/>
      <c r="J101" s="596"/>
      <c r="K101" s="664"/>
      <c r="L101" s="665"/>
      <c r="M101" s="666"/>
      <c r="N101" s="2160"/>
      <c r="O101" s="2160"/>
      <c r="P101" s="2210"/>
      <c r="Q101" s="2154"/>
      <c r="R101" s="2141"/>
      <c r="S101" s="2141"/>
      <c r="T101" s="2141"/>
      <c r="U101" s="2141"/>
      <c r="V101" s="2141"/>
      <c r="W101" s="2141"/>
      <c r="X101" s="2141"/>
      <c r="Y101" s="2141"/>
      <c r="Z101" s="2141"/>
      <c r="AA101" s="2141"/>
      <c r="AB101" s="2141"/>
      <c r="AC101" s="2141"/>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2"/>
      <c r="O102" s="2162"/>
      <c r="P102" s="2210"/>
      <c r="Q102" s="2154"/>
      <c r="R102" s="2141"/>
      <c r="S102" s="2141"/>
      <c r="T102" s="2141"/>
      <c r="U102" s="2141"/>
      <c r="V102" s="2141"/>
      <c r="W102" s="2141"/>
      <c r="X102" s="2141"/>
      <c r="Y102" s="2141"/>
      <c r="Z102" s="2141"/>
      <c r="AA102" s="2141"/>
      <c r="AB102" s="2141"/>
      <c r="AC102" s="2141"/>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6" customFormat="1">
      <c r="A104" s="726"/>
      <c r="B104" s="727"/>
      <c r="C104" s="728"/>
      <c r="D104" s="728"/>
      <c r="E104" s="728"/>
      <c r="F104" s="728"/>
      <c r="G104" s="728"/>
      <c r="H104" s="728"/>
      <c r="I104" s="728"/>
      <c r="J104" s="729"/>
      <c r="K104" s="729"/>
      <c r="L104" s="730"/>
      <c r="M104" s="731"/>
      <c r="N104" s="2163"/>
      <c r="O104" s="2163"/>
      <c r="P104" s="2211"/>
      <c r="Q104" s="2165"/>
      <c r="R104" s="2166"/>
      <c r="S104" s="2166"/>
      <c r="T104" s="2166"/>
      <c r="U104" s="2166"/>
      <c r="V104" s="2166"/>
      <c r="W104" s="2166"/>
      <c r="X104" s="2166"/>
      <c r="Y104" s="2166"/>
      <c r="Z104" s="2166"/>
      <c r="AA104" s="2166"/>
      <c r="AB104" s="2166"/>
      <c r="AC104" s="2166"/>
    </row>
    <row r="105" spans="1:29" s="1336" customFormat="1" ht="15.75" thickBot="1">
      <c r="A105" s="685"/>
      <c r="B105" s="676"/>
      <c r="C105" s="690"/>
      <c r="D105" s="669"/>
      <c r="E105" s="669"/>
      <c r="F105" s="669"/>
      <c r="G105" s="669"/>
      <c r="H105" s="669"/>
      <c r="I105" s="669"/>
      <c r="J105" s="669"/>
      <c r="K105" s="669"/>
      <c r="L105" s="669"/>
      <c r="M105" s="670"/>
      <c r="N105" s="2162"/>
      <c r="O105" s="2162"/>
      <c r="P105" s="2211"/>
      <c r="Q105" s="2165"/>
      <c r="R105" s="2166"/>
      <c r="S105" s="2166"/>
      <c r="T105" s="2166"/>
      <c r="U105" s="2166"/>
      <c r="V105" s="2166"/>
      <c r="W105" s="2166"/>
      <c r="X105" s="2166"/>
      <c r="Y105" s="2166"/>
      <c r="Z105" s="2166"/>
      <c r="AA105" s="2166"/>
      <c r="AB105" s="2166"/>
      <c r="AC105" s="2166"/>
    </row>
    <row r="106" spans="1:29" ht="15" thickTop="1">
      <c r="A106" s="733"/>
      <c r="B106" s="671" t="s">
        <v>749</v>
      </c>
      <c r="C106" s="686"/>
      <c r="D106" s="686"/>
      <c r="E106" s="716"/>
      <c r="F106" s="716"/>
      <c r="G106" s="716"/>
      <c r="H106" s="716"/>
      <c r="I106" s="716"/>
      <c r="J106" s="716"/>
      <c r="K106" s="717"/>
      <c r="L106" s="718"/>
      <c r="M106" s="719"/>
      <c r="N106" s="2160"/>
      <c r="O106" s="2160"/>
      <c r="P106" s="2210"/>
      <c r="Q106" s="2154"/>
      <c r="R106" s="2141"/>
      <c r="S106" s="2141"/>
      <c r="T106" s="2141"/>
      <c r="U106" s="2141"/>
      <c r="V106" s="2141"/>
      <c r="W106" s="2141"/>
      <c r="X106" s="2141"/>
      <c r="Y106" s="2141"/>
      <c r="Z106" s="2141"/>
      <c r="AA106" s="2141"/>
      <c r="AB106" s="2141"/>
      <c r="AC106" s="2141"/>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3"/>
      <c r="B108" s="671" t="s">
        <v>751</v>
      </c>
      <c r="C108" s="686"/>
      <c r="D108" s="686"/>
      <c r="E108" s="686"/>
      <c r="F108" s="716"/>
      <c r="G108" s="716"/>
      <c r="H108" s="716"/>
      <c r="I108" s="716"/>
      <c r="J108" s="716"/>
      <c r="K108" s="717"/>
      <c r="L108" s="718"/>
      <c r="M108" s="719"/>
      <c r="N108" s="2160"/>
      <c r="O108" s="2160"/>
      <c r="P108" s="2210"/>
      <c r="Q108" s="2154"/>
      <c r="R108" s="2141"/>
      <c r="S108" s="2141"/>
      <c r="T108" s="2141"/>
      <c r="U108" s="2141"/>
      <c r="V108" s="2141"/>
      <c r="W108" s="2141"/>
      <c r="X108" s="2141"/>
      <c r="Y108" s="2141"/>
      <c r="Z108" s="2141"/>
      <c r="AA108" s="2141"/>
      <c r="AB108" s="2141"/>
      <c r="AC108" s="2141"/>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0"/>
      <c r="O110" s="2160"/>
      <c r="P110" s="2210"/>
      <c r="Q110" s="2154"/>
      <c r="R110" s="2141"/>
      <c r="S110" s="2141"/>
      <c r="T110" s="2141"/>
      <c r="U110" s="2141"/>
      <c r="V110" s="2141"/>
      <c r="W110" s="2141"/>
      <c r="X110" s="2141"/>
      <c r="Y110" s="2141"/>
      <c r="Z110" s="2141"/>
      <c r="AA110" s="2141"/>
      <c r="AB110" s="2141"/>
      <c r="AC110" s="2141"/>
    </row>
    <row r="111" spans="1:29">
      <c r="A111" s="733"/>
      <c r="B111" s="679"/>
      <c r="C111" s="891">
        <v>0.5</v>
      </c>
      <c r="D111" s="891">
        <v>0.6</v>
      </c>
      <c r="E111" s="891">
        <v>0.7</v>
      </c>
      <c r="F111" s="891">
        <v>0.8</v>
      </c>
      <c r="G111" s="891">
        <v>0.9</v>
      </c>
      <c r="H111" s="891">
        <v>1.0001</v>
      </c>
      <c r="I111" s="902"/>
      <c r="J111" s="902"/>
      <c r="K111" s="903"/>
      <c r="L111" s="904"/>
      <c r="M111" s="905"/>
      <c r="N111" s="2160"/>
      <c r="O111" s="2160"/>
      <c r="P111" s="2210"/>
      <c r="Q111" s="2154"/>
      <c r="R111" s="2141"/>
      <c r="S111" s="2141"/>
      <c r="T111" s="2141"/>
      <c r="U111" s="2141"/>
      <c r="V111" s="2141"/>
      <c r="W111" s="2141"/>
      <c r="X111" s="2141"/>
      <c r="Y111" s="2141"/>
      <c r="Z111" s="2141"/>
      <c r="AA111" s="2141"/>
      <c r="AB111" s="2141"/>
      <c r="AC111" s="2141"/>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2"/>
      <c r="O112" s="2162"/>
      <c r="P112" s="2210"/>
      <c r="Q112" s="2154"/>
      <c r="R112" s="2141"/>
      <c r="S112" s="2141"/>
      <c r="T112" s="2141"/>
      <c r="U112" s="2141"/>
      <c r="V112" s="2141"/>
      <c r="W112" s="2141"/>
      <c r="X112" s="2141"/>
      <c r="Y112" s="2141"/>
      <c r="Z112" s="2141"/>
      <c r="AA112" s="2141"/>
      <c r="AB112" s="2141"/>
      <c r="AC112" s="2141"/>
    </row>
    <row r="113" spans="1:29" s="1336" customFormat="1" ht="15" thickTop="1">
      <c r="A113" s="726"/>
      <c r="B113" s="671" t="s">
        <v>786</v>
      </c>
      <c r="C113" s="686"/>
      <c r="D113" s="686"/>
      <c r="E113" s="686"/>
      <c r="F113" s="686"/>
      <c r="G113" s="686"/>
      <c r="H113" s="716"/>
      <c r="I113" s="716"/>
      <c r="J113" s="716"/>
      <c r="K113" s="717"/>
      <c r="L113" s="718"/>
      <c r="M113" s="719"/>
      <c r="N113" s="2163"/>
      <c r="O113" s="2163"/>
      <c r="P113" s="2211"/>
      <c r="Q113" s="2165"/>
      <c r="R113" s="2166"/>
      <c r="S113" s="2166"/>
      <c r="T113" s="2166"/>
      <c r="U113" s="2166"/>
      <c r="V113" s="2166"/>
      <c r="W113" s="2166"/>
      <c r="X113" s="2166"/>
      <c r="Y113" s="2166"/>
      <c r="Z113" s="2166"/>
      <c r="AA113" s="2166"/>
      <c r="AB113" s="2166"/>
      <c r="AC113" s="2166"/>
    </row>
    <row r="114" spans="1:29" s="1336"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3"/>
      <c r="B115" s="671" t="s">
        <v>753</v>
      </c>
      <c r="C115" s="686"/>
      <c r="D115" s="686"/>
      <c r="E115" s="716"/>
      <c r="F115" s="716"/>
      <c r="G115" s="716"/>
      <c r="H115" s="716"/>
      <c r="I115" s="716"/>
      <c r="J115" s="716"/>
      <c r="K115" s="717"/>
      <c r="L115" s="718"/>
      <c r="M115" s="719"/>
      <c r="N115" s="2160"/>
      <c r="O115" s="2160"/>
      <c r="P115" s="2210"/>
      <c r="Q115" s="2154"/>
      <c r="R115" s="2141"/>
      <c r="S115" s="2141"/>
      <c r="T115" s="2141"/>
      <c r="U115" s="2141"/>
      <c r="V115" s="2141"/>
      <c r="W115" s="2141"/>
      <c r="X115" s="2141"/>
      <c r="Y115" s="2141"/>
      <c r="Z115" s="2141"/>
      <c r="AA115" s="2141"/>
      <c r="AB115" s="2141"/>
      <c r="AC115" s="2141"/>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3"/>
      <c r="B117" s="1892" t="s">
        <v>2556</v>
      </c>
      <c r="C117" s="686"/>
      <c r="D117" s="686"/>
      <c r="E117" s="686"/>
      <c r="F117" s="686"/>
      <c r="G117" s="686"/>
      <c r="H117" s="716"/>
      <c r="I117" s="716"/>
      <c r="J117" s="716"/>
      <c r="K117" s="717"/>
      <c r="L117" s="718"/>
      <c r="M117" s="719"/>
      <c r="N117" s="2160"/>
      <c r="O117" s="2160"/>
      <c r="P117" s="2210"/>
      <c r="Q117" s="2154"/>
      <c r="R117" s="2141"/>
      <c r="S117" s="2141"/>
      <c r="T117" s="2141"/>
      <c r="U117" s="2141"/>
      <c r="V117" s="2141"/>
      <c r="W117" s="2141"/>
      <c r="X117" s="2141"/>
      <c r="Y117" s="2141"/>
      <c r="Z117" s="2141"/>
      <c r="AA117" s="2141"/>
      <c r="AB117" s="2141"/>
      <c r="AC117" s="2141"/>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2"/>
      <c r="O118" s="2162"/>
      <c r="P118" s="2210"/>
      <c r="Q118" s="2154"/>
      <c r="R118" s="2141"/>
      <c r="S118" s="2141"/>
      <c r="T118" s="2141"/>
      <c r="U118" s="2141"/>
      <c r="V118" s="2141"/>
      <c r="W118" s="2141"/>
      <c r="X118" s="2141"/>
      <c r="Y118" s="2141"/>
      <c r="Z118" s="2141"/>
      <c r="AA118" s="2141"/>
      <c r="AB118" s="2141"/>
      <c r="AC118" s="2141"/>
    </row>
    <row r="119" spans="1:29" ht="15" thickTop="1">
      <c r="A119" s="733"/>
      <c r="B119" s="914" t="s">
        <v>787</v>
      </c>
      <c r="C119" s="716"/>
      <c r="D119" s="716"/>
      <c r="E119" s="716"/>
      <c r="F119" s="716"/>
      <c r="G119" s="716"/>
      <c r="H119" s="716"/>
      <c r="I119" s="716"/>
      <c r="J119" s="716"/>
      <c r="K119" s="716"/>
      <c r="L119" s="915"/>
      <c r="M119" s="916"/>
      <c r="N119" s="2162"/>
      <c r="O119" s="2162"/>
      <c r="P119" s="2215"/>
      <c r="Q119" s="2202"/>
      <c r="R119" s="2141"/>
      <c r="S119" s="2141"/>
      <c r="T119" s="2141"/>
      <c r="U119" s="2141"/>
      <c r="V119" s="2141"/>
      <c r="W119" s="2141"/>
      <c r="X119" s="2141"/>
      <c r="Y119" s="2141"/>
      <c r="Z119" s="2141"/>
      <c r="AA119" s="2141"/>
      <c r="AB119" s="2141"/>
      <c r="AC119" s="2141"/>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2"/>
      <c r="O120" s="2162"/>
      <c r="P120" s="2210"/>
      <c r="Q120" s="2154"/>
      <c r="R120" s="2141"/>
      <c r="S120" s="2141"/>
      <c r="T120" s="2141"/>
      <c r="U120" s="2141"/>
      <c r="V120" s="2141"/>
      <c r="W120" s="2141"/>
      <c r="X120" s="2141"/>
      <c r="Y120" s="2141"/>
      <c r="Z120" s="2141"/>
      <c r="AA120" s="2141"/>
      <c r="AB120" s="2141"/>
      <c r="AC120" s="2141"/>
    </row>
    <row r="121" spans="1:29" s="1336" customFormat="1" ht="15" thickTop="1">
      <c r="A121" s="726"/>
      <c r="B121" s="671" t="s">
        <v>775</v>
      </c>
      <c r="C121" s="686"/>
      <c r="D121" s="686"/>
      <c r="E121" s="686"/>
      <c r="F121" s="716"/>
      <c r="G121" s="687"/>
      <c r="H121" s="687"/>
      <c r="I121" s="687"/>
      <c r="J121" s="687"/>
      <c r="K121" s="687"/>
      <c r="L121" s="688"/>
      <c r="M121" s="689"/>
      <c r="N121" s="2163"/>
      <c r="O121" s="2163"/>
      <c r="P121" s="2211"/>
      <c r="Q121" s="2165"/>
      <c r="R121" s="2166"/>
      <c r="S121" s="2166"/>
      <c r="T121" s="2166"/>
      <c r="U121" s="2166"/>
      <c r="V121" s="2166"/>
      <c r="W121" s="2166"/>
      <c r="X121" s="2166"/>
      <c r="Y121" s="2166"/>
      <c r="Z121" s="2166"/>
      <c r="AA121" s="2166"/>
      <c r="AB121" s="2166"/>
      <c r="AC121" s="2166"/>
    </row>
    <row r="122" spans="1:29" s="1336" customFormat="1" ht="15.75" thickBot="1">
      <c r="A122" s="685"/>
      <c r="B122" s="668"/>
      <c r="C122" s="690"/>
      <c r="D122" s="690"/>
      <c r="E122" s="690"/>
      <c r="F122" s="690"/>
      <c r="G122" s="690"/>
      <c r="H122" s="690"/>
      <c r="I122" s="690"/>
      <c r="J122" s="690"/>
      <c r="K122" s="690"/>
      <c r="L122" s="690"/>
      <c r="M122" s="690"/>
      <c r="N122" s="2163"/>
      <c r="O122" s="2163"/>
      <c r="P122" s="2211"/>
      <c r="Q122" s="2165"/>
      <c r="R122" s="2166"/>
      <c r="S122" s="2166"/>
      <c r="T122" s="2166"/>
      <c r="U122" s="2166"/>
      <c r="V122" s="2166"/>
      <c r="W122" s="2166"/>
      <c r="X122" s="2166"/>
      <c r="Y122" s="2166"/>
      <c r="Z122" s="2166"/>
      <c r="AA122" s="2166"/>
      <c r="AB122" s="2166"/>
      <c r="AC122" s="2166"/>
    </row>
    <row r="123" spans="1:29" ht="15" thickTop="1">
      <c r="A123" s="733"/>
      <c r="B123" s="671" t="s">
        <v>755</v>
      </c>
      <c r="C123" s="686"/>
      <c r="D123" s="686"/>
      <c r="E123" s="686"/>
      <c r="F123" s="716"/>
      <c r="G123" s="716"/>
      <c r="H123" s="716"/>
      <c r="I123" s="716"/>
      <c r="J123" s="716"/>
      <c r="K123" s="717"/>
      <c r="L123" s="718"/>
      <c r="M123" s="719"/>
      <c r="N123" s="2160"/>
      <c r="O123" s="2160"/>
      <c r="P123" s="2210"/>
      <c r="Q123" s="2154"/>
      <c r="R123" s="2141"/>
      <c r="S123" s="2141"/>
      <c r="T123" s="2141"/>
      <c r="U123" s="2141"/>
      <c r="V123" s="2141"/>
      <c r="W123" s="2141"/>
      <c r="X123" s="2141"/>
      <c r="Y123" s="2141"/>
      <c r="Z123" s="2141"/>
      <c r="AA123" s="2141"/>
      <c r="AB123" s="2141"/>
      <c r="AC123" s="2141"/>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60"/>
      <c r="O125" s="2160"/>
      <c r="P125" s="2211"/>
      <c r="Q125" s="2154"/>
      <c r="R125" s="2141"/>
      <c r="S125" s="2141"/>
      <c r="T125" s="2141"/>
      <c r="U125" s="2141"/>
      <c r="V125" s="2141"/>
      <c r="W125" s="2141"/>
      <c r="X125" s="2141"/>
      <c r="Y125" s="2141"/>
      <c r="Z125" s="2141"/>
      <c r="AA125" s="2141"/>
      <c r="AB125" s="2141"/>
      <c r="AC125" s="2141"/>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2"/>
      <c r="O126" s="2162"/>
      <c r="P126" s="2210"/>
      <c r="Q126" s="2154"/>
      <c r="R126" s="2141"/>
      <c r="S126" s="2141"/>
      <c r="T126" s="2141"/>
      <c r="U126" s="2141"/>
      <c r="V126" s="2141"/>
      <c r="W126" s="2141"/>
      <c r="X126" s="2141"/>
      <c r="Y126" s="2141"/>
      <c r="Z126" s="2141"/>
      <c r="AA126" s="2141"/>
      <c r="AB126" s="2141"/>
      <c r="AC126" s="2141"/>
    </row>
    <row r="127" spans="1:29" s="1336" customFormat="1" ht="15" thickTop="1">
      <c r="A127" s="726"/>
      <c r="B127" s="671">
        <f>B45</f>
        <v>111</v>
      </c>
      <c r="C127" s="686"/>
      <c r="D127" s="686"/>
      <c r="E127" s="686"/>
      <c r="F127" s="686"/>
      <c r="G127" s="686"/>
      <c r="H127" s="687"/>
      <c r="I127" s="687"/>
      <c r="J127" s="687"/>
      <c r="K127" s="687"/>
      <c r="L127" s="688"/>
      <c r="M127" s="689"/>
      <c r="N127" s="2163"/>
      <c r="O127" s="2163"/>
      <c r="P127" s="2211"/>
      <c r="Q127" s="2165"/>
      <c r="R127" s="2166"/>
      <c r="S127" s="2166"/>
      <c r="T127" s="2166"/>
      <c r="U127" s="2166"/>
      <c r="V127" s="2166"/>
      <c r="W127" s="2166"/>
      <c r="X127" s="2166"/>
      <c r="Y127" s="2166"/>
      <c r="Z127" s="2166"/>
      <c r="AA127" s="2166"/>
      <c r="AB127" s="2166"/>
      <c r="AC127" s="2166"/>
    </row>
    <row r="128" spans="1:29" s="1336" customFormat="1" ht="15.75" thickBot="1">
      <c r="A128" s="685"/>
      <c r="B128" s="676"/>
      <c r="C128" s="690"/>
      <c r="D128" s="669"/>
      <c r="E128" s="669"/>
      <c r="F128" s="669"/>
      <c r="G128" s="690"/>
      <c r="H128" s="691"/>
      <c r="I128" s="691"/>
      <c r="J128" s="691"/>
      <c r="K128" s="691"/>
      <c r="L128" s="691"/>
      <c r="M128" s="692"/>
      <c r="N128" s="2163"/>
      <c r="O128" s="2163"/>
      <c r="P128" s="2211"/>
      <c r="Q128" s="2165"/>
      <c r="R128" s="2166"/>
      <c r="S128" s="2166"/>
      <c r="T128" s="2166"/>
      <c r="U128" s="2166"/>
      <c r="V128" s="2166"/>
      <c r="W128" s="2166"/>
      <c r="X128" s="2166"/>
      <c r="Y128" s="2166"/>
      <c r="Z128" s="2166"/>
      <c r="AA128" s="2166"/>
      <c r="AB128" s="2166"/>
      <c r="AC128" s="2166"/>
    </row>
    <row r="129" spans="1:29" ht="15" thickTop="1">
      <c r="A129" s="733"/>
      <c r="B129" s="671">
        <f>B46</f>
        <v>111</v>
      </c>
      <c r="C129" s="686"/>
      <c r="D129" s="686"/>
      <c r="E129" s="686"/>
      <c r="F129" s="686"/>
      <c r="G129" s="716"/>
      <c r="H129" s="716"/>
      <c r="I129" s="716"/>
      <c r="J129" s="716"/>
      <c r="K129" s="717"/>
      <c r="L129" s="718"/>
      <c r="M129" s="719"/>
      <c r="N129" s="2160"/>
      <c r="O129" s="2160"/>
      <c r="P129" s="2210"/>
      <c r="Q129" s="2154"/>
      <c r="R129" s="2141"/>
      <c r="S129" s="2141"/>
      <c r="T129" s="2141"/>
      <c r="U129" s="2141"/>
      <c r="V129" s="2141"/>
      <c r="W129" s="2141"/>
      <c r="X129" s="2141"/>
      <c r="Y129" s="2141"/>
      <c r="Z129" s="2141"/>
      <c r="AA129" s="2141"/>
      <c r="AB129" s="2141"/>
      <c r="AC129" s="2141"/>
    </row>
    <row r="130" spans="1:29" ht="15.75" thickBot="1">
      <c r="A130" s="667"/>
      <c r="B130" s="676"/>
      <c r="C130" s="690"/>
      <c r="D130" s="690"/>
      <c r="E130" s="690"/>
      <c r="F130" s="690"/>
      <c r="G130" s="669"/>
      <c r="H130" s="669"/>
      <c r="I130" s="669"/>
      <c r="J130" s="669"/>
      <c r="K130" s="669"/>
      <c r="L130" s="669"/>
      <c r="M130" s="670"/>
      <c r="N130" s="2162"/>
      <c r="O130" s="2162"/>
      <c r="P130" s="2210"/>
      <c r="Q130" s="2154"/>
      <c r="R130" s="2141"/>
      <c r="S130" s="2141"/>
      <c r="T130" s="2141"/>
      <c r="U130" s="2141"/>
      <c r="V130" s="2141"/>
      <c r="W130" s="2141"/>
      <c r="X130" s="2141"/>
      <c r="Y130" s="2141"/>
      <c r="Z130" s="2141"/>
      <c r="AA130" s="2141"/>
      <c r="AB130" s="2141"/>
      <c r="AC130" s="2141"/>
    </row>
    <row r="131" spans="1:29" ht="15" thickTop="1">
      <c r="A131" s="733"/>
      <c r="B131" s="679">
        <f>B47</f>
        <v>111</v>
      </c>
      <c r="C131" s="659"/>
      <c r="D131" s="659"/>
      <c r="E131" s="659"/>
      <c r="F131" s="659"/>
      <c r="G131" s="720"/>
      <c r="H131" s="720"/>
      <c r="I131" s="720"/>
      <c r="J131" s="720"/>
      <c r="K131" s="659"/>
      <c r="L131" s="660"/>
      <c r="M131" s="723"/>
      <c r="N131" s="2160"/>
      <c r="O131" s="2160"/>
      <c r="P131" s="2210"/>
      <c r="Q131" s="2154"/>
      <c r="R131" s="2141"/>
      <c r="S131" s="2141"/>
      <c r="T131" s="2141"/>
      <c r="U131" s="2141"/>
      <c r="V131" s="2141"/>
      <c r="W131" s="2141"/>
      <c r="X131" s="2141"/>
      <c r="Y131" s="2141"/>
      <c r="Z131" s="2141"/>
      <c r="AA131" s="2141"/>
      <c r="AB131" s="2141"/>
      <c r="AC131" s="2141"/>
    </row>
    <row r="132" spans="1:29" ht="15.75" thickBot="1">
      <c r="A132" s="890"/>
      <c r="B132" s="697"/>
      <c r="C132" s="698"/>
      <c r="D132" s="698"/>
      <c r="E132" s="698"/>
      <c r="F132" s="698"/>
      <c r="G132" s="724"/>
      <c r="H132" s="724"/>
      <c r="I132" s="724"/>
      <c r="J132" s="724"/>
      <c r="K132" s="724"/>
      <c r="L132" s="724"/>
      <c r="M132" s="725"/>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501" t="s">
        <v>788</v>
      </c>
      <c r="C1" s="502" t="s">
        <v>720</v>
      </c>
      <c r="D1" s="847"/>
      <c r="E1" s="504"/>
      <c r="F1" s="2803"/>
      <c r="G1" s="1596" t="s">
        <v>721</v>
      </c>
      <c r="H1" s="504"/>
      <c r="I1" s="504"/>
      <c r="J1" s="504"/>
      <c r="K1" s="505"/>
      <c r="L1" s="1557"/>
      <c r="M1" s="1558"/>
      <c r="N1" s="1558"/>
      <c r="O1" s="1558"/>
      <c r="P1" s="1559"/>
      <c r="Q1" s="1559"/>
      <c r="R1" s="1559"/>
      <c r="S1" s="1559"/>
      <c r="T1" s="1559"/>
      <c r="U1" s="1559"/>
      <c r="V1" s="1559"/>
      <c r="W1" s="1559"/>
      <c r="X1" s="1559"/>
      <c r="Y1" s="1559"/>
      <c r="Z1" s="1559"/>
      <c r="AA1" s="1559"/>
      <c r="AB1" s="1559"/>
      <c r="AC1" s="426"/>
    </row>
    <row r="2" spans="1:29" s="1333" customFormat="1" ht="28.5" customHeight="1">
      <c r="A2" s="421" t="s">
        <v>467</v>
      </c>
      <c r="B2" s="848" t="e">
        <f>ROUND(B3*D3/10000,0)</f>
        <v>#DIV/0!</v>
      </c>
      <c r="C2" s="2123"/>
      <c r="D2" s="2123"/>
      <c r="E2" s="2124"/>
      <c r="F2" s="2125"/>
      <c r="G2" s="2124"/>
      <c r="H2" s="2124"/>
      <c r="I2" s="2124"/>
      <c r="J2" s="2124"/>
      <c r="K2" s="2124"/>
      <c r="L2" s="2127"/>
      <c r="M2" s="2128"/>
      <c r="N2" s="2128"/>
      <c r="O2" s="2128"/>
      <c r="P2" s="1559"/>
      <c r="Q2" s="1559"/>
      <c r="R2" s="1559"/>
      <c r="S2" s="1559"/>
      <c r="T2" s="1559"/>
      <c r="U2" s="1559"/>
      <c r="V2" s="1559"/>
      <c r="W2" s="1559"/>
      <c r="X2" s="1559"/>
      <c r="Y2" s="1559"/>
      <c r="Z2" s="1559"/>
      <c r="AA2" s="1559"/>
      <c r="AB2" s="1559"/>
      <c r="AC2" s="426"/>
    </row>
    <row r="3" spans="1:29" s="1333" customFormat="1" ht="28.5" customHeight="1" thickBot="1">
      <c r="A3" s="507" t="s">
        <v>519</v>
      </c>
      <c r="B3" s="508" t="e">
        <f>C43</f>
        <v>#DIV/0!</v>
      </c>
      <c r="C3" s="850" t="s">
        <v>722</v>
      </c>
      <c r="D3" s="849">
        <f>SUMIF('数据-汇总表'!$C19:$C33,D1,'数据-汇总表'!$E19:$E33)</f>
        <v>0</v>
      </c>
      <c r="E3" s="2124"/>
      <c r="F3" s="2125"/>
      <c r="G3" s="2124"/>
      <c r="H3" s="2124"/>
      <c r="I3" s="2124"/>
      <c r="J3" s="2124"/>
      <c r="K3" s="2126"/>
      <c r="L3" s="2127"/>
      <c r="M3" s="2128"/>
      <c r="N3" s="2128"/>
      <c r="O3" s="2128"/>
      <c r="P3" s="1559"/>
      <c r="Q3" s="1559"/>
      <c r="R3" s="1559"/>
      <c r="S3" s="1559"/>
      <c r="T3" s="1559"/>
      <c r="U3" s="1559"/>
      <c r="V3" s="1559"/>
      <c r="W3" s="1559"/>
      <c r="X3" s="1559"/>
      <c r="Y3" s="1559"/>
      <c r="Z3" s="1559"/>
      <c r="AA3" s="1559"/>
      <c r="AB3" s="1561"/>
      <c r="AC3" s="426"/>
    </row>
    <row r="4" spans="1:29" ht="15">
      <c r="A4" s="510" t="s">
        <v>521</v>
      </c>
      <c r="B4" s="511"/>
      <c r="C4" s="3685" t="s">
        <v>522</v>
      </c>
      <c r="D4" s="3686"/>
      <c r="E4" s="3710" t="s">
        <v>523</v>
      </c>
      <c r="F4" s="3711"/>
      <c r="G4" s="3685" t="s">
        <v>524</v>
      </c>
      <c r="H4" s="3686"/>
      <c r="I4" s="3685" t="s">
        <v>525</v>
      </c>
      <c r="J4" s="3686"/>
      <c r="K4" s="512" t="s">
        <v>526</v>
      </c>
      <c r="L4" s="2129"/>
      <c r="M4" s="2130"/>
      <c r="N4" s="2130"/>
      <c r="O4" s="2130"/>
      <c r="P4" s="3687" t="s">
        <v>527</v>
      </c>
      <c r="Q4" s="3688"/>
      <c r="R4" s="3673" t="s">
        <v>523</v>
      </c>
      <c r="S4" s="3674"/>
      <c r="T4" s="3673" t="s">
        <v>524</v>
      </c>
      <c r="U4" s="3674"/>
      <c r="V4" s="3693" t="s">
        <v>525</v>
      </c>
      <c r="W4" s="3693"/>
      <c r="X4" s="1562"/>
      <c r="Y4" s="3673" t="s">
        <v>527</v>
      </c>
      <c r="Z4" s="3674"/>
      <c r="AA4" s="3668" t="s">
        <v>523</v>
      </c>
      <c r="AB4" s="3669" t="s">
        <v>524</v>
      </c>
      <c r="AC4" s="3668" t="s">
        <v>525</v>
      </c>
    </row>
    <row r="5" spans="1:29" ht="15">
      <c r="A5" s="513"/>
      <c r="B5" s="514"/>
      <c r="C5" s="3696" t="s">
        <v>2928</v>
      </c>
      <c r="D5" s="3697"/>
      <c r="E5" s="3712" t="s">
        <v>2929</v>
      </c>
      <c r="F5" s="3713"/>
      <c r="G5" s="3696" t="s">
        <v>2930</v>
      </c>
      <c r="H5" s="3697"/>
      <c r="I5" s="3696" t="s">
        <v>2931</v>
      </c>
      <c r="J5" s="3697"/>
      <c r="K5" s="512"/>
      <c r="L5" s="2129"/>
      <c r="M5" s="2130"/>
      <c r="N5" s="2130"/>
      <c r="O5" s="2130"/>
      <c r="P5" s="3689"/>
      <c r="Q5" s="3690"/>
      <c r="R5" s="3675"/>
      <c r="S5" s="3676"/>
      <c r="T5" s="3675"/>
      <c r="U5" s="3676"/>
      <c r="V5" s="3693"/>
      <c r="W5" s="3693"/>
      <c r="X5" s="1562"/>
      <c r="Y5" s="3675"/>
      <c r="Z5" s="3676"/>
      <c r="AA5" s="3669"/>
      <c r="AB5" s="3669"/>
      <c r="AC5" s="3669"/>
    </row>
    <row r="6" spans="1:29" ht="15.75" thickBot="1">
      <c r="A6" s="515"/>
      <c r="B6" s="516"/>
      <c r="C6" s="3694" t="s">
        <v>2932</v>
      </c>
      <c r="D6" s="3695"/>
      <c r="E6" s="3714" t="s">
        <v>2932</v>
      </c>
      <c r="F6" s="3715"/>
      <c r="G6" s="3694" t="s">
        <v>2932</v>
      </c>
      <c r="H6" s="3695"/>
      <c r="I6" s="3694" t="s">
        <v>2932</v>
      </c>
      <c r="J6" s="3695"/>
      <c r="K6" s="512" t="s">
        <v>528</v>
      </c>
      <c r="L6" s="2129"/>
      <c r="M6" s="2130"/>
      <c r="N6" s="2130"/>
      <c r="O6" s="2130"/>
      <c r="P6" s="3691"/>
      <c r="Q6" s="3692"/>
      <c r="R6" s="3675"/>
      <c r="S6" s="3676"/>
      <c r="T6" s="3677"/>
      <c r="U6" s="3678"/>
      <c r="V6" s="3693"/>
      <c r="W6" s="3693"/>
      <c r="X6" s="1562"/>
      <c r="Y6" s="3677"/>
      <c r="Z6" s="3678"/>
      <c r="AA6" s="3670"/>
      <c r="AB6" s="3670"/>
      <c r="AC6" s="3670"/>
    </row>
    <row r="7" spans="1:29" s="1217" customFormat="1" ht="15.75" thickBot="1">
      <c r="A7" s="2908"/>
      <c r="B7" s="2915" t="s">
        <v>529</v>
      </c>
      <c r="C7" s="517">
        <f>'数据-取费表'!B2</f>
        <v>43346</v>
      </c>
      <c r="D7" s="518">
        <v>100</v>
      </c>
      <c r="E7" s="519"/>
      <c r="F7" s="520">
        <f>SUMIF(52:52,YEAR(E7)&amp;"-"&amp;MONTH(E7),53:53)</f>
        <v>0</v>
      </c>
      <c r="G7" s="519"/>
      <c r="H7" s="518">
        <f>SUMIF(52:52,YEAR(G7)&amp;"-"&amp;MONTH(G7),53:53)</f>
        <v>0</v>
      </c>
      <c r="I7" s="519"/>
      <c r="J7" s="518">
        <f>SUMIF(52:52,YEAR(I7)&amp;"-"&amp;MONTH(I7),53:53)</f>
        <v>0</v>
      </c>
      <c r="K7" s="522"/>
      <c r="L7" s="2131"/>
      <c r="M7" s="2132"/>
      <c r="N7" s="2132"/>
      <c r="O7" s="2132"/>
      <c r="P7" s="3671" t="s">
        <v>530</v>
      </c>
      <c r="Q7" s="3680"/>
      <c r="R7" s="1563" t="s">
        <v>8</v>
      </c>
      <c r="S7" s="1564">
        <f t="shared" ref="S7:S15" si="0">F7</f>
        <v>0</v>
      </c>
      <c r="T7" s="1563" t="s">
        <v>8</v>
      </c>
      <c r="U7" s="1564">
        <f t="shared" ref="U7:U15" si="1">H7</f>
        <v>0</v>
      </c>
      <c r="V7" s="1563" t="s">
        <v>8</v>
      </c>
      <c r="W7" s="1564">
        <f t="shared" ref="W7:W15" si="2">J7</f>
        <v>0</v>
      </c>
      <c r="X7" s="1565"/>
      <c r="Y7" s="3671" t="s">
        <v>530</v>
      </c>
      <c r="Z7" s="3672"/>
      <c r="AA7" s="1566" t="e">
        <f>D7/F7</f>
        <v>#DIV/0!</v>
      </c>
      <c r="AB7" s="1566" t="e">
        <f>D7/H7</f>
        <v>#DIV/0!</v>
      </c>
      <c r="AC7" s="1566" t="e">
        <f>D7/J7</f>
        <v>#DIV/0!</v>
      </c>
    </row>
    <row r="8" spans="1:29" s="1217" customFormat="1" ht="15.75" thickBot="1">
      <c r="A8" s="2909"/>
      <c r="B8" s="2916" t="s">
        <v>531</v>
      </c>
      <c r="C8" s="523" t="s">
        <v>576</v>
      </c>
      <c r="D8" s="518">
        <v>100</v>
      </c>
      <c r="E8" s="523"/>
      <c r="F8" s="520">
        <f>SUMIF(55:55,E8,56:56)-SUMIF(55:55,C8,56:56)+100</f>
        <v>0</v>
      </c>
      <c r="G8" s="523"/>
      <c r="H8" s="518">
        <f>SUMIF(55:55,G8,56:56)-SUMIF(55:55,C8,56:56)+100</f>
        <v>0</v>
      </c>
      <c r="I8" s="523"/>
      <c r="J8" s="518">
        <f>SUMIF(55:55,I8,56:56)-SUMIF(55:55,C8,56:56)+100</f>
        <v>0</v>
      </c>
      <c r="K8" s="522"/>
      <c r="L8" s="2131"/>
      <c r="M8" s="2132"/>
      <c r="N8" s="2132"/>
      <c r="O8" s="2132"/>
      <c r="P8" s="3671" t="s">
        <v>533</v>
      </c>
      <c r="Q8" s="3672"/>
      <c r="R8" s="1563" t="s">
        <v>8</v>
      </c>
      <c r="S8" s="1564">
        <f t="shared" si="0"/>
        <v>0</v>
      </c>
      <c r="T8" s="1563" t="s">
        <v>8</v>
      </c>
      <c r="U8" s="1564">
        <f t="shared" si="1"/>
        <v>0</v>
      </c>
      <c r="V8" s="1563" t="s">
        <v>8</v>
      </c>
      <c r="W8" s="1564">
        <f t="shared" si="2"/>
        <v>0</v>
      </c>
      <c r="X8" s="1565"/>
      <c r="Y8" s="3671" t="s">
        <v>533</v>
      </c>
      <c r="Z8" s="3672"/>
      <c r="AA8" s="1566" t="e">
        <f t="shared" ref="AA8:AA40" si="3">D8/F8</f>
        <v>#DIV/0!</v>
      </c>
      <c r="AB8" s="1566" t="e">
        <f t="shared" ref="AB8:AB40" si="4">D8/H8</f>
        <v>#DIV/0!</v>
      </c>
      <c r="AC8" s="1566" t="e">
        <f t="shared" ref="AC8:AC40" si="5">D8/J8</f>
        <v>#DIV/0!</v>
      </c>
    </row>
    <row r="9" spans="1:29" s="1217" customFormat="1" ht="15">
      <c r="A9" s="2910"/>
      <c r="B9" s="2917" t="s">
        <v>2755</v>
      </c>
      <c r="C9" s="855"/>
      <c r="D9" s="252">
        <v>100</v>
      </c>
      <c r="E9" s="858"/>
      <c r="F9" s="252">
        <f>SUMIF(57:57,E9,58:58)-SUMIF(57:57,C9,58:58)+100</f>
        <v>100</v>
      </c>
      <c r="G9" s="856"/>
      <c r="H9" s="252">
        <f>SUMIF(57:57,G9,58:58)-SUMIF(57:57,C9,58:58)+100</f>
        <v>100</v>
      </c>
      <c r="I9" s="856"/>
      <c r="J9" s="252">
        <f>SUMIF(57:57,I9,58:58)-SUMIF(57:57,C9,58:58)+100</f>
        <v>100</v>
      </c>
      <c r="K9" s="522"/>
      <c r="L9" s="2131"/>
      <c r="M9" s="2132"/>
      <c r="N9" s="2132"/>
      <c r="O9" s="2133"/>
      <c r="P9" s="3679" t="s">
        <v>535</v>
      </c>
      <c r="Q9" s="1148" t="str">
        <f t="shared" ref="Q9:Q15" si="6">B9</f>
        <v>用途</v>
      </c>
      <c r="R9" s="1563" t="s">
        <v>8</v>
      </c>
      <c r="S9" s="1564">
        <f t="shared" si="0"/>
        <v>100</v>
      </c>
      <c r="T9" s="1563" t="s">
        <v>8</v>
      </c>
      <c r="U9" s="1564">
        <f t="shared" si="1"/>
        <v>100</v>
      </c>
      <c r="V9" s="1563" t="s">
        <v>8</v>
      </c>
      <c r="W9" s="1564">
        <f t="shared" si="2"/>
        <v>100</v>
      </c>
      <c r="X9" s="1565"/>
      <c r="Y9" s="3636" t="s">
        <v>536</v>
      </c>
      <c r="Z9" s="1147" t="str">
        <f t="shared" ref="Z9:Z15" si="7">Q9</f>
        <v>用途</v>
      </c>
      <c r="AA9" s="1566">
        <f t="shared" si="3"/>
        <v>1</v>
      </c>
      <c r="AB9" s="1566">
        <f t="shared" si="4"/>
        <v>1</v>
      </c>
      <c r="AC9" s="1566">
        <f t="shared" si="5"/>
        <v>1</v>
      </c>
    </row>
    <row r="10" spans="1:29" s="1335" customFormat="1" ht="27">
      <c r="A10" s="2911"/>
      <c r="B10" s="2916" t="s">
        <v>2756</v>
      </c>
      <c r="C10" s="859"/>
      <c r="D10" s="253">
        <v>100</v>
      </c>
      <c r="E10" s="859"/>
      <c r="F10" s="253">
        <f>SUMIF(59:59,E10,60:60)-SUMIF(59:59,C10,60:60)+100</f>
        <v>100</v>
      </c>
      <c r="G10" s="860"/>
      <c r="H10" s="253">
        <f>SUMIF(59:59,G10,60:60)-SUMIF(59:59,C10,60:60)+100</f>
        <v>100</v>
      </c>
      <c r="I10" s="859"/>
      <c r="J10" s="253">
        <f>SUMIF(59:59,I10,60:60)-SUMIF(59:59,C10,60:60)+100</f>
        <v>100</v>
      </c>
      <c r="K10" s="582"/>
      <c r="L10" s="2134"/>
      <c r="M10" s="2174"/>
      <c r="N10" s="2174"/>
      <c r="O10" s="2135"/>
      <c r="P10" s="3679"/>
      <c r="Q10" s="1148" t="str">
        <f t="shared" si="6"/>
        <v>土地使用年限（年）</v>
      </c>
      <c r="R10" s="1563" t="s">
        <v>8</v>
      </c>
      <c r="S10" s="1564">
        <f t="shared" si="0"/>
        <v>100</v>
      </c>
      <c r="T10" s="1563" t="s">
        <v>8</v>
      </c>
      <c r="U10" s="1564">
        <f t="shared" si="1"/>
        <v>100</v>
      </c>
      <c r="V10" s="1563" t="s">
        <v>8</v>
      </c>
      <c r="W10" s="1564">
        <f t="shared" si="2"/>
        <v>100</v>
      </c>
      <c r="X10" s="1565"/>
      <c r="Y10" s="3636"/>
      <c r="Z10" s="1147" t="str">
        <f t="shared" si="7"/>
        <v>土地使用年限（年）</v>
      </c>
      <c r="AA10" s="1566">
        <f t="shared" si="3"/>
        <v>1</v>
      </c>
      <c r="AB10" s="1566">
        <f t="shared" si="4"/>
        <v>1</v>
      </c>
      <c r="AC10" s="1566">
        <f t="shared" si="5"/>
        <v>1</v>
      </c>
    </row>
    <row r="11" spans="1:29" ht="15">
      <c r="A11" s="2912"/>
      <c r="B11" s="2916" t="s">
        <v>2757</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6"/>
      <c r="M11" s="2130"/>
      <c r="N11" s="2130"/>
      <c r="O11" s="2137"/>
      <c r="P11" s="3679"/>
      <c r="Q11" s="1148" t="str">
        <f t="shared" si="6"/>
        <v>容积率</v>
      </c>
      <c r="R11" s="1563" t="s">
        <v>8</v>
      </c>
      <c r="S11" s="1564" t="e">
        <f t="shared" si="0"/>
        <v>#N/A</v>
      </c>
      <c r="T11" s="1563" t="s">
        <v>8</v>
      </c>
      <c r="U11" s="1564" t="e">
        <f t="shared" si="1"/>
        <v>#N/A</v>
      </c>
      <c r="V11" s="1563" t="s">
        <v>8</v>
      </c>
      <c r="W11" s="1564" t="e">
        <f t="shared" si="2"/>
        <v>#N/A</v>
      </c>
      <c r="X11" s="1565"/>
      <c r="Y11" s="3636"/>
      <c r="Z11" s="1147" t="str">
        <f t="shared" si="7"/>
        <v>容积率</v>
      </c>
      <c r="AA11" s="1566" t="e">
        <f t="shared" si="3"/>
        <v>#N/A</v>
      </c>
      <c r="AB11" s="1566" t="e">
        <f t="shared" si="4"/>
        <v>#N/A</v>
      </c>
      <c r="AC11" s="1566" t="e">
        <f t="shared" si="5"/>
        <v>#N/A</v>
      </c>
    </row>
    <row r="12" spans="1:29" s="1217" customFormat="1" ht="15">
      <c r="A12" s="2913"/>
      <c r="B12" s="2919">
        <v>111</v>
      </c>
      <c r="C12" s="526"/>
      <c r="D12" s="536">
        <v>100</v>
      </c>
      <c r="E12" s="537"/>
      <c r="F12" s="253">
        <f>SUMIF(64:64,E12,65:65)-SUMIF(64:64,C12,65:65)+100</f>
        <v>100</v>
      </c>
      <c r="G12" s="917"/>
      <c r="H12" s="253">
        <f>SUMIF(64:64,G12,65:65)-SUMIF(64:64,C12,65:65)+100</f>
        <v>100</v>
      </c>
      <c r="I12" s="877"/>
      <c r="J12" s="253">
        <f>SUMIF(64:64,I12,65:65)-SUMIF(64:64,C12,65:65)+100</f>
        <v>100</v>
      </c>
      <c r="K12" s="579"/>
      <c r="L12" s="2131"/>
      <c r="M12" s="2132"/>
      <c r="N12" s="2132"/>
      <c r="O12" s="2133"/>
      <c r="P12" s="3679"/>
      <c r="Q12" s="1148">
        <f t="shared" si="6"/>
        <v>111</v>
      </c>
      <c r="R12" s="1563" t="s">
        <v>8</v>
      </c>
      <c r="S12" s="1564">
        <f t="shared" si="0"/>
        <v>100</v>
      </c>
      <c r="T12" s="1563" t="s">
        <v>8</v>
      </c>
      <c r="U12" s="1564">
        <f t="shared" si="1"/>
        <v>100</v>
      </c>
      <c r="V12" s="1563" t="s">
        <v>8</v>
      </c>
      <c r="W12" s="1564">
        <f t="shared" si="2"/>
        <v>100</v>
      </c>
      <c r="X12" s="1565"/>
      <c r="Y12" s="3636"/>
      <c r="Z12" s="1147">
        <f t="shared" si="7"/>
        <v>111</v>
      </c>
      <c r="AA12" s="1566">
        <f>D12/F12</f>
        <v>1</v>
      </c>
      <c r="AB12" s="1566">
        <f>D12/H12</f>
        <v>1</v>
      </c>
      <c r="AC12" s="1566">
        <f>D12/J12</f>
        <v>1</v>
      </c>
    </row>
    <row r="13" spans="1:29" ht="15">
      <c r="A13" s="2913"/>
      <c r="B13" s="2919">
        <v>111</v>
      </c>
      <c r="C13" s="537"/>
      <c r="D13" s="538">
        <v>100</v>
      </c>
      <c r="E13" s="537"/>
      <c r="F13" s="253">
        <f>SUMIF(66:66,E13,67:67)-SUMIF(66:66,C13,67:67)+100</f>
        <v>100</v>
      </c>
      <c r="G13" s="917"/>
      <c r="H13" s="538">
        <f>SUMIF(66:66,G13,67:67)-SUMIF(66:66,C13,67:67)+100</f>
        <v>100</v>
      </c>
      <c r="I13" s="877"/>
      <c r="J13" s="538">
        <f>SUMIF(66:66,I13,67:67)-SUMIF(66:66,C13,67:67)+100</f>
        <v>100</v>
      </c>
      <c r="K13" s="579"/>
      <c r="L13" s="2138"/>
      <c r="M13" s="2130"/>
      <c r="N13" s="2130"/>
      <c r="O13" s="2137"/>
      <c r="P13" s="3679"/>
      <c r="Q13" s="1148">
        <f t="shared" si="6"/>
        <v>111</v>
      </c>
      <c r="R13" s="1563" t="s">
        <v>8</v>
      </c>
      <c r="S13" s="1564">
        <f t="shared" si="0"/>
        <v>100</v>
      </c>
      <c r="T13" s="1563" t="s">
        <v>8</v>
      </c>
      <c r="U13" s="1564">
        <f t="shared" si="1"/>
        <v>100</v>
      </c>
      <c r="V13" s="1563" t="s">
        <v>8</v>
      </c>
      <c r="W13" s="1564">
        <f t="shared" si="2"/>
        <v>100</v>
      </c>
      <c r="X13" s="1565"/>
      <c r="Y13" s="3636"/>
      <c r="Z13" s="1147">
        <f t="shared" si="7"/>
        <v>111</v>
      </c>
      <c r="AA13" s="1566">
        <f t="shared" si="3"/>
        <v>1</v>
      </c>
      <c r="AB13" s="1566">
        <f t="shared" si="4"/>
        <v>1</v>
      </c>
      <c r="AC13" s="1566">
        <f t="shared" si="5"/>
        <v>1</v>
      </c>
    </row>
    <row r="14" spans="1:29" ht="15.75" thickBot="1">
      <c r="A14" s="2914"/>
      <c r="B14" s="2920">
        <v>111</v>
      </c>
      <c r="C14" s="543"/>
      <c r="D14" s="544">
        <v>100</v>
      </c>
      <c r="E14" s="543"/>
      <c r="F14" s="544">
        <f>SUMIF(68:68,E14,69:69)-SUMIF(68:68,C14,69:69)+100</f>
        <v>100</v>
      </c>
      <c r="G14" s="917"/>
      <c r="H14" s="544">
        <f>SUMIF(68:68,G14,69:69)-SUMIF(68:68,C14,69:69)+100</f>
        <v>100</v>
      </c>
      <c r="I14" s="877"/>
      <c r="J14" s="544">
        <f>SUMIF(68:68,I14,69:69)-SUMIF(68:68,C14,69:69)+100</f>
        <v>100</v>
      </c>
      <c r="K14" s="579"/>
      <c r="L14" s="2138"/>
      <c r="M14" s="2130"/>
      <c r="N14" s="2130"/>
      <c r="O14" s="2137"/>
      <c r="P14" s="3679"/>
      <c r="Q14" s="1148">
        <f t="shared" si="6"/>
        <v>111</v>
      </c>
      <c r="R14" s="1563" t="s">
        <v>8</v>
      </c>
      <c r="S14" s="1564">
        <f t="shared" si="0"/>
        <v>100</v>
      </c>
      <c r="T14" s="1563" t="s">
        <v>8</v>
      </c>
      <c r="U14" s="1564">
        <f t="shared" si="1"/>
        <v>100</v>
      </c>
      <c r="V14" s="1563" t="s">
        <v>8</v>
      </c>
      <c r="W14" s="1564">
        <f t="shared" si="2"/>
        <v>100</v>
      </c>
      <c r="X14" s="1565"/>
      <c r="Y14" s="3636"/>
      <c r="Z14" s="1147">
        <f t="shared" si="7"/>
        <v>111</v>
      </c>
      <c r="AA14" s="1566">
        <f t="shared" si="3"/>
        <v>1</v>
      </c>
      <c r="AB14" s="1566">
        <f t="shared" si="4"/>
        <v>1</v>
      </c>
      <c r="AC14" s="1566">
        <f t="shared" si="5"/>
        <v>1</v>
      </c>
    </row>
    <row r="15" spans="1:29" ht="57">
      <c r="A15" s="2906" t="s">
        <v>2753</v>
      </c>
      <c r="B15" s="166" t="s">
        <v>789</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5"/>
      <c r="L15" s="2138"/>
      <c r="M15" s="2130"/>
      <c r="N15" s="2130"/>
      <c r="O15" s="2137"/>
      <c r="P15" s="3681" t="s">
        <v>540</v>
      </c>
      <c r="Q15" s="1567" t="str">
        <f t="shared" si="6"/>
        <v>产业集聚程度</v>
      </c>
      <c r="R15" s="1568" t="s">
        <v>8</v>
      </c>
      <c r="S15" s="1569">
        <f t="shared" si="0"/>
        <v>100</v>
      </c>
      <c r="T15" s="1568" t="s">
        <v>8</v>
      </c>
      <c r="U15" s="1569">
        <f t="shared" si="1"/>
        <v>100</v>
      </c>
      <c r="V15" s="1568" t="s">
        <v>8</v>
      </c>
      <c r="W15" s="1569">
        <f t="shared" si="2"/>
        <v>100</v>
      </c>
      <c r="X15" s="1562"/>
      <c r="Y15" s="3681" t="s">
        <v>540</v>
      </c>
      <c r="Z15" s="1570" t="str">
        <f t="shared" si="7"/>
        <v>产业集聚程度</v>
      </c>
      <c r="AA15" s="1571">
        <f t="shared" si="3"/>
        <v>1</v>
      </c>
      <c r="AB15" s="1571">
        <f t="shared" si="4"/>
        <v>1</v>
      </c>
      <c r="AC15" s="1571">
        <f t="shared" si="5"/>
        <v>1</v>
      </c>
    </row>
    <row r="16" spans="1:29" ht="15">
      <c r="A16" s="530"/>
      <c r="B16" s="867"/>
      <c r="C16" s="574"/>
      <c r="D16" s="553"/>
      <c r="E16" s="574"/>
      <c r="F16" s="555"/>
      <c r="G16" s="574"/>
      <c r="H16" s="557"/>
      <c r="I16" s="574"/>
      <c r="J16" s="553"/>
      <c r="K16" s="896"/>
      <c r="L16" s="2138"/>
      <c r="M16" s="2130"/>
      <c r="N16" s="2130"/>
      <c r="O16" s="2137"/>
      <c r="P16" s="3682"/>
      <c r="Q16" s="1567"/>
      <c r="R16" s="1568"/>
      <c r="S16" s="1569"/>
      <c r="T16" s="1568"/>
      <c r="U16" s="1569"/>
      <c r="V16" s="1568"/>
      <c r="W16" s="1569"/>
      <c r="X16" s="1562"/>
      <c r="Y16" s="3682"/>
      <c r="Z16" s="1570"/>
      <c r="AA16" s="1571">
        <v>1</v>
      </c>
      <c r="AB16" s="1571">
        <v>1</v>
      </c>
      <c r="AC16" s="1571">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5"/>
      <c r="L17" s="2138"/>
      <c r="M17" s="2130"/>
      <c r="N17" s="2130"/>
      <c r="O17" s="2137"/>
      <c r="P17" s="3682"/>
      <c r="Q17" s="1567" t="str">
        <f>B17</f>
        <v>交通便捷度</v>
      </c>
      <c r="R17" s="1568" t="s">
        <v>8</v>
      </c>
      <c r="S17" s="1569">
        <f>F17</f>
        <v>100</v>
      </c>
      <c r="T17" s="1568" t="s">
        <v>8</v>
      </c>
      <c r="U17" s="1569">
        <f>H17</f>
        <v>100</v>
      </c>
      <c r="V17" s="1568" t="s">
        <v>8</v>
      </c>
      <c r="W17" s="1569">
        <f>J17</f>
        <v>100</v>
      </c>
      <c r="X17" s="1562"/>
      <c r="Y17" s="3682"/>
      <c r="Z17" s="1570" t="str">
        <f>Q17</f>
        <v>交通便捷度</v>
      </c>
      <c r="AA17" s="1571">
        <f t="shared" si="3"/>
        <v>1</v>
      </c>
      <c r="AB17" s="1571">
        <f t="shared" si="4"/>
        <v>1</v>
      </c>
      <c r="AC17" s="1571">
        <f t="shared" si="5"/>
        <v>1</v>
      </c>
    </row>
    <row r="18" spans="1:29" ht="15">
      <c r="A18" s="530"/>
      <c r="B18" s="593"/>
      <c r="C18" s="871"/>
      <c r="D18" s="557"/>
      <c r="E18" s="566"/>
      <c r="F18" s="561"/>
      <c r="G18" s="567"/>
      <c r="H18" s="553"/>
      <c r="I18" s="566"/>
      <c r="J18" s="553"/>
      <c r="K18" s="896"/>
      <c r="L18" s="2138"/>
      <c r="M18" s="2130"/>
      <c r="N18" s="2130"/>
      <c r="O18" s="2137"/>
      <c r="P18" s="3682"/>
      <c r="Q18" s="1567"/>
      <c r="R18" s="1568"/>
      <c r="S18" s="1569"/>
      <c r="T18" s="1568"/>
      <c r="U18" s="1569"/>
      <c r="V18" s="1568"/>
      <c r="W18" s="1569"/>
      <c r="X18" s="1562"/>
      <c r="Y18" s="3682"/>
      <c r="Z18" s="1570"/>
      <c r="AA18" s="1571">
        <v>1</v>
      </c>
      <c r="AB18" s="1571">
        <v>1</v>
      </c>
      <c r="AC18" s="1571">
        <v>1</v>
      </c>
    </row>
    <row r="19" spans="1:29" ht="42.75">
      <c r="A19" s="530"/>
      <c r="B19" s="2599" t="s">
        <v>2546</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5"/>
      <c r="L19" s="2138"/>
      <c r="M19" s="2130"/>
      <c r="N19" s="2130"/>
      <c r="O19" s="2137"/>
      <c r="P19" s="3682"/>
      <c r="Q19" s="1567" t="str">
        <f>B19</f>
        <v>公共配套设施</v>
      </c>
      <c r="R19" s="1568" t="s">
        <v>8</v>
      </c>
      <c r="S19" s="1569">
        <f>F19</f>
        <v>100</v>
      </c>
      <c r="T19" s="1568" t="s">
        <v>8</v>
      </c>
      <c r="U19" s="1569">
        <f>H19</f>
        <v>100</v>
      </c>
      <c r="V19" s="1568" t="s">
        <v>8</v>
      </c>
      <c r="W19" s="1569">
        <f>J19</f>
        <v>100</v>
      </c>
      <c r="X19" s="1562"/>
      <c r="Y19" s="3682"/>
      <c r="Z19" s="1570" t="str">
        <f>Q19</f>
        <v>公共配套设施</v>
      </c>
      <c r="AA19" s="1571">
        <f t="shared" si="3"/>
        <v>1</v>
      </c>
      <c r="AB19" s="1571">
        <f t="shared" si="4"/>
        <v>1</v>
      </c>
      <c r="AC19" s="1571">
        <f t="shared" si="5"/>
        <v>1</v>
      </c>
    </row>
    <row r="20" spans="1:29" ht="15">
      <c r="A20" s="530"/>
      <c r="B20" s="564"/>
      <c r="C20" s="574"/>
      <c r="D20" s="553"/>
      <c r="E20" s="554"/>
      <c r="F20" s="555"/>
      <c r="G20" s="556"/>
      <c r="H20" s="553"/>
      <c r="I20" s="554"/>
      <c r="J20" s="553"/>
      <c r="K20" s="896"/>
      <c r="L20" s="2138"/>
      <c r="M20" s="2130"/>
      <c r="N20" s="2130"/>
      <c r="O20" s="2137"/>
      <c r="P20" s="3682"/>
      <c r="Q20" s="1567"/>
      <c r="R20" s="1568"/>
      <c r="S20" s="1569"/>
      <c r="T20" s="1568"/>
      <c r="U20" s="1569"/>
      <c r="V20" s="1568"/>
      <c r="W20" s="1569"/>
      <c r="X20" s="1562"/>
      <c r="Y20" s="3682"/>
      <c r="Z20" s="1570"/>
      <c r="AA20" s="1571">
        <v>1</v>
      </c>
      <c r="AB20" s="1571">
        <v>1</v>
      </c>
      <c r="AC20" s="1571">
        <v>1</v>
      </c>
    </row>
    <row r="21" spans="1:29" ht="28.5">
      <c r="A21" s="530"/>
      <c r="B21" s="2587" t="s">
        <v>2558</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5"/>
      <c r="L21" s="2138"/>
      <c r="M21" s="2130"/>
      <c r="N21" s="2130"/>
      <c r="O21" s="2137"/>
      <c r="P21" s="3682"/>
      <c r="Q21" s="2575" t="str">
        <f>B21</f>
        <v>基础设施水平</v>
      </c>
      <c r="R21" s="1568" t="s">
        <v>8</v>
      </c>
      <c r="S21" s="1569">
        <f>F21</f>
        <v>100</v>
      </c>
      <c r="T21" s="1568" t="s">
        <v>8</v>
      </c>
      <c r="U21" s="1569">
        <f>H21</f>
        <v>100</v>
      </c>
      <c r="V21" s="1568" t="s">
        <v>8</v>
      </c>
      <c r="W21" s="1569">
        <f>J21</f>
        <v>100</v>
      </c>
      <c r="X21" s="2577"/>
      <c r="Y21" s="3682"/>
      <c r="Z21" s="2576" t="str">
        <f>Q21</f>
        <v>基础设施水平</v>
      </c>
      <c r="AA21" s="1571">
        <f t="shared" ref="AA21" si="8">D21/F21</f>
        <v>1</v>
      </c>
      <c r="AB21" s="1571">
        <f t="shared" ref="AB21" si="9">D21/H21</f>
        <v>1</v>
      </c>
      <c r="AC21" s="1571">
        <f t="shared" ref="AC21" si="10">D21/J21</f>
        <v>1</v>
      </c>
    </row>
    <row r="22" spans="1:29" ht="15">
      <c r="A22" s="530"/>
      <c r="B22" s="576"/>
      <c r="C22" s="871"/>
      <c r="D22" s="553"/>
      <c r="E22" s="574"/>
      <c r="F22" s="555"/>
      <c r="G22" s="574"/>
      <c r="H22" s="553"/>
      <c r="I22" s="574"/>
      <c r="J22" s="553"/>
      <c r="K22" s="2598"/>
      <c r="L22" s="2138"/>
      <c r="M22" s="2130"/>
      <c r="N22" s="2130"/>
      <c r="O22" s="2137"/>
      <c r="P22" s="3682"/>
      <c r="Q22" s="2575"/>
      <c r="R22" s="1568"/>
      <c r="S22" s="1569"/>
      <c r="T22" s="1568"/>
      <c r="U22" s="1569"/>
      <c r="V22" s="1568"/>
      <c r="W22" s="1569"/>
      <c r="X22" s="2577"/>
      <c r="Y22" s="3682"/>
      <c r="Z22" s="2576"/>
      <c r="AA22" s="1571">
        <v>1</v>
      </c>
      <c r="AB22" s="1571">
        <v>1</v>
      </c>
      <c r="AC22" s="1571">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5"/>
      <c r="L23" s="2138"/>
      <c r="M23" s="2130"/>
      <c r="N23" s="2130"/>
      <c r="O23" s="2137"/>
      <c r="P23" s="3682"/>
      <c r="Q23" s="1567" t="str">
        <f>B23</f>
        <v>环境质量</v>
      </c>
      <c r="R23" s="1568" t="s">
        <v>8</v>
      </c>
      <c r="S23" s="1569">
        <f>F23</f>
        <v>100</v>
      </c>
      <c r="T23" s="1568" t="s">
        <v>8</v>
      </c>
      <c r="U23" s="1569">
        <f>H23</f>
        <v>100</v>
      </c>
      <c r="V23" s="1568" t="s">
        <v>8</v>
      </c>
      <c r="W23" s="1569">
        <f>J23</f>
        <v>100</v>
      </c>
      <c r="X23" s="1562"/>
      <c r="Y23" s="3682"/>
      <c r="Z23" s="1570" t="str">
        <f>Q23</f>
        <v>环境质量</v>
      </c>
      <c r="AA23" s="1571">
        <f t="shared" si="3"/>
        <v>1</v>
      </c>
      <c r="AB23" s="1571">
        <f t="shared" si="4"/>
        <v>1</v>
      </c>
      <c r="AC23" s="1571">
        <f t="shared" si="5"/>
        <v>1</v>
      </c>
    </row>
    <row r="24" spans="1:29" ht="15">
      <c r="A24" s="530"/>
      <c r="B24" s="919"/>
      <c r="C24" s="574"/>
      <c r="D24" s="553"/>
      <c r="E24" s="554"/>
      <c r="F24" s="555"/>
      <c r="G24" s="556"/>
      <c r="H24" s="553"/>
      <c r="I24" s="554"/>
      <c r="J24" s="553"/>
      <c r="K24" s="896"/>
      <c r="L24" s="2138"/>
      <c r="M24" s="2130"/>
      <c r="N24" s="2130"/>
      <c r="O24" s="2137"/>
      <c r="P24" s="3682"/>
      <c r="Q24" s="1567"/>
      <c r="R24" s="1568"/>
      <c r="S24" s="1569"/>
      <c r="T24" s="1568"/>
      <c r="U24" s="1569"/>
      <c r="V24" s="1568"/>
      <c r="W24" s="1569"/>
      <c r="X24" s="1562"/>
      <c r="Y24" s="3682"/>
      <c r="Z24" s="1570"/>
      <c r="AA24" s="1571">
        <v>1</v>
      </c>
      <c r="AB24" s="1571">
        <v>1</v>
      </c>
      <c r="AC24" s="1571">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38"/>
      <c r="M25" s="2130"/>
      <c r="N25" s="2130"/>
      <c r="O25" s="2137"/>
      <c r="P25" s="3682"/>
      <c r="Q25" s="1567">
        <f>B25</f>
        <v>111</v>
      </c>
      <c r="R25" s="1568" t="s">
        <v>8</v>
      </c>
      <c r="S25" s="1569">
        <f>F25</f>
        <v>100</v>
      </c>
      <c r="T25" s="1568" t="s">
        <v>8</v>
      </c>
      <c r="U25" s="1569">
        <f>H25</f>
        <v>100</v>
      </c>
      <c r="V25" s="1568" t="s">
        <v>8</v>
      </c>
      <c r="W25" s="1569">
        <f>J25</f>
        <v>100</v>
      </c>
      <c r="X25" s="1562"/>
      <c r="Y25" s="3682"/>
      <c r="Z25" s="1570">
        <f>Q25</f>
        <v>111</v>
      </c>
      <c r="AA25" s="1571">
        <f t="shared" si="3"/>
        <v>1</v>
      </c>
      <c r="AB25" s="1571">
        <f t="shared" si="4"/>
        <v>1</v>
      </c>
      <c r="AC25" s="1571">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38"/>
      <c r="M26" s="2130"/>
      <c r="N26" s="2130"/>
      <c r="O26" s="2137"/>
      <c r="P26" s="3682"/>
      <c r="Q26" s="1567">
        <f t="shared" ref="Q26:Q40" si="11">B26</f>
        <v>111</v>
      </c>
      <c r="R26" s="1568" t="s">
        <v>8</v>
      </c>
      <c r="S26" s="1569">
        <f>F26</f>
        <v>100</v>
      </c>
      <c r="T26" s="1568" t="s">
        <v>8</v>
      </c>
      <c r="U26" s="1569">
        <f>H26</f>
        <v>100</v>
      </c>
      <c r="V26" s="1568" t="s">
        <v>8</v>
      </c>
      <c r="W26" s="1569">
        <f>J26</f>
        <v>100</v>
      </c>
      <c r="X26" s="1562"/>
      <c r="Y26" s="3682"/>
      <c r="Z26" s="1570">
        <f>Q26</f>
        <v>111</v>
      </c>
      <c r="AA26" s="1571">
        <f t="shared" si="3"/>
        <v>1</v>
      </c>
      <c r="AB26" s="1571">
        <f t="shared" si="4"/>
        <v>1</v>
      </c>
      <c r="AC26" s="1571">
        <f t="shared" si="5"/>
        <v>1</v>
      </c>
    </row>
    <row r="27" spans="1:29" s="1217"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1"/>
      <c r="M27" s="2132"/>
      <c r="N27" s="2132"/>
      <c r="O27" s="2133"/>
      <c r="P27" s="3682"/>
      <c r="Q27" s="1148">
        <f t="shared" si="11"/>
        <v>111</v>
      </c>
      <c r="R27" s="1563" t="s">
        <v>8</v>
      </c>
      <c r="S27" s="1564">
        <f>F27</f>
        <v>100</v>
      </c>
      <c r="T27" s="1563" t="s">
        <v>8</v>
      </c>
      <c r="U27" s="1564">
        <f>H27</f>
        <v>100</v>
      </c>
      <c r="V27" s="1563" t="s">
        <v>8</v>
      </c>
      <c r="W27" s="1564">
        <f>J27</f>
        <v>100</v>
      </c>
      <c r="X27" s="1565"/>
      <c r="Y27" s="3682"/>
      <c r="Z27" s="1147">
        <f>Q27</f>
        <v>111</v>
      </c>
      <c r="AA27" s="1571">
        <f>D27/F27</f>
        <v>1</v>
      </c>
      <c r="AB27" s="1571">
        <f>D27/H27</f>
        <v>1</v>
      </c>
      <c r="AC27" s="1571">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38"/>
      <c r="M28" s="2130"/>
      <c r="N28" s="2130"/>
      <c r="O28" s="2137"/>
      <c r="P28" s="3682"/>
      <c r="Q28" s="1567">
        <f t="shared" si="11"/>
        <v>111</v>
      </c>
      <c r="R28" s="1568" t="s">
        <v>8</v>
      </c>
      <c r="S28" s="1569">
        <f t="shared" ref="S28:S40" si="12">F28</f>
        <v>100</v>
      </c>
      <c r="T28" s="1568" t="s">
        <v>8</v>
      </c>
      <c r="U28" s="1569">
        <f t="shared" ref="U28:U40" si="13">H28</f>
        <v>100</v>
      </c>
      <c r="V28" s="1568" t="s">
        <v>8</v>
      </c>
      <c r="W28" s="1569">
        <f t="shared" ref="W28:W40" si="14">J28</f>
        <v>100</v>
      </c>
      <c r="X28" s="1562"/>
      <c r="Y28" s="3682"/>
      <c r="Z28" s="1570">
        <f t="shared" ref="Z28:Z40" si="15">Q28</f>
        <v>111</v>
      </c>
      <c r="AA28" s="1571">
        <f t="shared" si="3"/>
        <v>1</v>
      </c>
      <c r="AB28" s="1571">
        <f t="shared" si="4"/>
        <v>1</v>
      </c>
      <c r="AC28" s="1571">
        <f t="shared" si="5"/>
        <v>1</v>
      </c>
    </row>
    <row r="29" spans="1:29" ht="15">
      <c r="A29" s="2903" t="s">
        <v>2754</v>
      </c>
      <c r="B29" s="172" t="s">
        <v>780</v>
      </c>
      <c r="C29" s="913"/>
      <c r="D29" s="595">
        <v>100</v>
      </c>
      <c r="E29" s="913"/>
      <c r="F29" s="573">
        <f>SUMIF(88:88,E29,89:89)-SUMIF(88:88,C29,89:89)+100</f>
        <v>100</v>
      </c>
      <c r="G29" s="913"/>
      <c r="H29" s="538">
        <f>SUMIF(88:88,G29,89:89)-SUMIF(88:88,C29,89:89)+100</f>
        <v>100</v>
      </c>
      <c r="I29" s="913"/>
      <c r="J29" s="595">
        <f>SUMIF(88:88,I29,89:89)-SUMIF(88:88,C29,89:89)+100</f>
        <v>100</v>
      </c>
      <c r="K29" s="582"/>
      <c r="L29" s="2138"/>
      <c r="M29" s="2130"/>
      <c r="N29" s="2130"/>
      <c r="O29" s="2137"/>
      <c r="P29" s="3683" t="s">
        <v>550</v>
      </c>
      <c r="Q29" s="1567" t="str">
        <f t="shared" si="11"/>
        <v>建筑类型</v>
      </c>
      <c r="R29" s="1568" t="s">
        <v>8</v>
      </c>
      <c r="S29" s="1569">
        <f t="shared" si="12"/>
        <v>100</v>
      </c>
      <c r="T29" s="1568" t="s">
        <v>8</v>
      </c>
      <c r="U29" s="1569">
        <f t="shared" si="13"/>
        <v>100</v>
      </c>
      <c r="V29" s="1568" t="s">
        <v>8</v>
      </c>
      <c r="W29" s="1569">
        <f t="shared" si="14"/>
        <v>100</v>
      </c>
      <c r="X29" s="1562"/>
      <c r="Y29" s="3684" t="s">
        <v>550</v>
      </c>
      <c r="Z29" s="1570" t="str">
        <f t="shared" si="15"/>
        <v>建筑类型</v>
      </c>
      <c r="AA29" s="1571">
        <f t="shared" si="3"/>
        <v>1</v>
      </c>
      <c r="AB29" s="1571">
        <f t="shared" si="4"/>
        <v>1</v>
      </c>
      <c r="AC29" s="1571">
        <f t="shared" si="5"/>
        <v>1</v>
      </c>
    </row>
    <row r="30" spans="1:29" s="1336" customFormat="1" ht="15">
      <c r="A30" s="601"/>
      <c r="B30" s="525" t="s">
        <v>726</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36"/>
      <c r="M30" s="2167"/>
      <c r="N30" s="2167"/>
      <c r="O30" s="2139"/>
      <c r="P30" s="3684"/>
      <c r="Q30" s="1600" t="str">
        <f t="shared" si="11"/>
        <v>项目建筑规模</v>
      </c>
      <c r="R30" s="1572" t="s">
        <v>8</v>
      </c>
      <c r="S30" s="1573" t="e">
        <f t="shared" si="12"/>
        <v>#N/A</v>
      </c>
      <c r="T30" s="1572" t="s">
        <v>8</v>
      </c>
      <c r="U30" s="1573" t="e">
        <f t="shared" si="13"/>
        <v>#N/A</v>
      </c>
      <c r="V30" s="1572" t="s">
        <v>8</v>
      </c>
      <c r="W30" s="1573" t="e">
        <f t="shared" si="14"/>
        <v>#N/A</v>
      </c>
      <c r="X30" s="1574"/>
      <c r="Y30" s="3684"/>
      <c r="Z30" s="1575" t="str">
        <f t="shared" si="15"/>
        <v>项目建筑规模</v>
      </c>
      <c r="AA30" s="1571" t="e">
        <f t="shared" si="3"/>
        <v>#N/A</v>
      </c>
      <c r="AB30" s="1571" t="e">
        <f t="shared" si="4"/>
        <v>#N/A</v>
      </c>
      <c r="AC30" s="1571"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38"/>
      <c r="M31" s="2130"/>
      <c r="N31" s="2130"/>
      <c r="O31" s="2137"/>
      <c r="P31" s="3684"/>
      <c r="Q31" s="1567" t="str">
        <f t="shared" si="11"/>
        <v>建筑结构</v>
      </c>
      <c r="R31" s="1568" t="s">
        <v>8</v>
      </c>
      <c r="S31" s="1569">
        <f t="shared" si="12"/>
        <v>100</v>
      </c>
      <c r="T31" s="1568" t="s">
        <v>8</v>
      </c>
      <c r="U31" s="1569">
        <f t="shared" si="13"/>
        <v>100</v>
      </c>
      <c r="V31" s="1568" t="s">
        <v>8</v>
      </c>
      <c r="W31" s="1569">
        <f t="shared" si="14"/>
        <v>100</v>
      </c>
      <c r="X31" s="1562"/>
      <c r="Y31" s="3684"/>
      <c r="Z31" s="1570" t="str">
        <f t="shared" si="15"/>
        <v>建筑结构</v>
      </c>
      <c r="AA31" s="1571">
        <f t="shared" si="3"/>
        <v>1</v>
      </c>
      <c r="AB31" s="1571">
        <f t="shared" si="4"/>
        <v>1</v>
      </c>
      <c r="AC31" s="1571">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38"/>
      <c r="M32" s="2130"/>
      <c r="N32" s="2130"/>
      <c r="O32" s="2137"/>
      <c r="P32" s="3684"/>
      <c r="Q32" s="1567" t="str">
        <f t="shared" si="11"/>
        <v>公共部分装修</v>
      </c>
      <c r="R32" s="1568" t="s">
        <v>8</v>
      </c>
      <c r="S32" s="1569">
        <f t="shared" si="12"/>
        <v>100</v>
      </c>
      <c r="T32" s="1568" t="s">
        <v>8</v>
      </c>
      <c r="U32" s="1569">
        <f t="shared" si="13"/>
        <v>100</v>
      </c>
      <c r="V32" s="1568" t="s">
        <v>8</v>
      </c>
      <c r="W32" s="1569">
        <f t="shared" si="14"/>
        <v>100</v>
      </c>
      <c r="X32" s="1562"/>
      <c r="Y32" s="3684"/>
      <c r="Z32" s="1570" t="str">
        <f t="shared" si="15"/>
        <v>公共部分装修</v>
      </c>
      <c r="AA32" s="1571">
        <f t="shared" si="3"/>
        <v>1</v>
      </c>
      <c r="AB32" s="1571">
        <f t="shared" si="4"/>
        <v>1</v>
      </c>
      <c r="AC32" s="1571">
        <f t="shared" si="5"/>
        <v>1</v>
      </c>
    </row>
    <row r="33" spans="1:29" ht="15">
      <c r="A33" s="592"/>
      <c r="B33" s="525" t="s">
        <v>764</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38"/>
      <c r="M33" s="2130"/>
      <c r="N33" s="2130"/>
      <c r="O33" s="2137"/>
      <c r="P33" s="3684"/>
      <c r="Q33" s="1567" t="str">
        <f t="shared" si="11"/>
        <v>成新度</v>
      </c>
      <c r="R33" s="1568" t="s">
        <v>8</v>
      </c>
      <c r="S33" s="1569" t="e">
        <f t="shared" si="12"/>
        <v>#N/A</v>
      </c>
      <c r="T33" s="1568" t="s">
        <v>8</v>
      </c>
      <c r="U33" s="1569" t="e">
        <f t="shared" si="13"/>
        <v>#N/A</v>
      </c>
      <c r="V33" s="1568" t="s">
        <v>8</v>
      </c>
      <c r="W33" s="1569" t="e">
        <f t="shared" si="14"/>
        <v>#N/A</v>
      </c>
      <c r="X33" s="1562"/>
      <c r="Y33" s="3684"/>
      <c r="Z33" s="1570" t="str">
        <f t="shared" si="15"/>
        <v>成新度</v>
      </c>
      <c r="AA33" s="1571" t="e">
        <f t="shared" si="3"/>
        <v>#N/A</v>
      </c>
      <c r="AB33" s="1571" t="e">
        <f t="shared" si="4"/>
        <v>#N/A</v>
      </c>
      <c r="AC33" s="1571" t="e">
        <f t="shared" si="5"/>
        <v>#N/A</v>
      </c>
    </row>
    <row r="34" spans="1:29" s="1217"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1"/>
      <c r="M34" s="2132"/>
      <c r="N34" s="2132"/>
      <c r="O34" s="2133"/>
      <c r="P34" s="3684"/>
      <c r="Q34" s="1148" t="str">
        <f t="shared" si="11"/>
        <v>物业管理</v>
      </c>
      <c r="R34" s="1563" t="s">
        <v>8</v>
      </c>
      <c r="S34" s="1564">
        <f t="shared" si="12"/>
        <v>100</v>
      </c>
      <c r="T34" s="1563" t="s">
        <v>8</v>
      </c>
      <c r="U34" s="1564">
        <f t="shared" si="13"/>
        <v>100</v>
      </c>
      <c r="V34" s="1563" t="s">
        <v>8</v>
      </c>
      <c r="W34" s="1564">
        <f t="shared" si="14"/>
        <v>100</v>
      </c>
      <c r="X34" s="1565"/>
      <c r="Y34" s="3684"/>
      <c r="Z34" s="1147" t="str">
        <f t="shared" si="15"/>
        <v>物业管理</v>
      </c>
      <c r="AA34" s="1566">
        <f t="shared" si="3"/>
        <v>1</v>
      </c>
      <c r="AB34" s="1566">
        <f t="shared" si="4"/>
        <v>1</v>
      </c>
      <c r="AC34" s="1566">
        <f t="shared" si="5"/>
        <v>1</v>
      </c>
    </row>
    <row r="35" spans="1:29" ht="15">
      <c r="A35" s="592"/>
      <c r="B35" s="1891" t="s">
        <v>2565</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38"/>
      <c r="M35" s="2130"/>
      <c r="N35" s="2130"/>
      <c r="O35" s="2137"/>
      <c r="P35" s="3684" t="s">
        <v>550</v>
      </c>
      <c r="Q35" s="1567" t="str">
        <f t="shared" si="11"/>
        <v>市政基础设施</v>
      </c>
      <c r="R35" s="1568" t="s">
        <v>8</v>
      </c>
      <c r="S35" s="1569">
        <f t="shared" si="12"/>
        <v>100</v>
      </c>
      <c r="T35" s="1568" t="s">
        <v>8</v>
      </c>
      <c r="U35" s="1569">
        <f t="shared" si="13"/>
        <v>100</v>
      </c>
      <c r="V35" s="1568" t="s">
        <v>8</v>
      </c>
      <c r="W35" s="1569">
        <f t="shared" si="14"/>
        <v>100</v>
      </c>
      <c r="X35" s="1562"/>
      <c r="Y35" s="3684" t="s">
        <v>550</v>
      </c>
      <c r="Z35" s="1570" t="str">
        <f t="shared" si="15"/>
        <v>市政基础设施</v>
      </c>
      <c r="AA35" s="1571">
        <f t="shared" si="3"/>
        <v>1</v>
      </c>
      <c r="AB35" s="1571">
        <f t="shared" si="4"/>
        <v>1</v>
      </c>
      <c r="AC35" s="1571">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38"/>
      <c r="M36" s="2130"/>
      <c r="N36" s="2130"/>
      <c r="O36" s="2137"/>
      <c r="P36" s="3684"/>
      <c r="Q36" s="1567" t="str">
        <f t="shared" si="11"/>
        <v>内部装修</v>
      </c>
      <c r="R36" s="1568" t="s">
        <v>8</v>
      </c>
      <c r="S36" s="1569">
        <f t="shared" si="12"/>
        <v>100</v>
      </c>
      <c r="T36" s="1568" t="s">
        <v>8</v>
      </c>
      <c r="U36" s="1569">
        <f t="shared" si="13"/>
        <v>100</v>
      </c>
      <c r="V36" s="1568" t="s">
        <v>8</v>
      </c>
      <c r="W36" s="1569">
        <f t="shared" si="14"/>
        <v>100</v>
      </c>
      <c r="X36" s="1562"/>
      <c r="Y36" s="3684"/>
      <c r="Z36" s="1570" t="str">
        <f t="shared" si="15"/>
        <v>内部装修</v>
      </c>
      <c r="AA36" s="1571">
        <f t="shared" si="3"/>
        <v>1</v>
      </c>
      <c r="AB36" s="1571">
        <f t="shared" si="4"/>
        <v>1</v>
      </c>
      <c r="AC36" s="1571">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38"/>
      <c r="M37" s="2130"/>
      <c r="N37" s="2130"/>
      <c r="O37" s="2137"/>
      <c r="P37" s="3684"/>
      <c r="Q37" s="1567" t="str">
        <f t="shared" si="11"/>
        <v>内部装修状况</v>
      </c>
      <c r="R37" s="1568" t="s">
        <v>8</v>
      </c>
      <c r="S37" s="1569">
        <f t="shared" si="12"/>
        <v>100</v>
      </c>
      <c r="T37" s="1568" t="s">
        <v>8</v>
      </c>
      <c r="U37" s="1569">
        <f t="shared" si="13"/>
        <v>100</v>
      </c>
      <c r="V37" s="1568" t="s">
        <v>8</v>
      </c>
      <c r="W37" s="1569">
        <f t="shared" si="14"/>
        <v>100</v>
      </c>
      <c r="X37" s="1562"/>
      <c r="Y37" s="3684"/>
      <c r="Z37" s="1570" t="str">
        <f t="shared" si="15"/>
        <v>内部装修状况</v>
      </c>
      <c r="AA37" s="1571">
        <f t="shared" si="3"/>
        <v>1</v>
      </c>
      <c r="AB37" s="1571">
        <f t="shared" si="4"/>
        <v>1</v>
      </c>
      <c r="AC37" s="1571">
        <f t="shared" si="5"/>
        <v>1</v>
      </c>
    </row>
    <row r="38" spans="1:29" s="1336"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36"/>
      <c r="M38" s="2167"/>
      <c r="N38" s="2167"/>
      <c r="O38" s="2139"/>
      <c r="P38" s="3684"/>
      <c r="Q38" s="1600">
        <f t="shared" si="11"/>
        <v>111</v>
      </c>
      <c r="R38" s="1572" t="s">
        <v>8</v>
      </c>
      <c r="S38" s="1573">
        <f t="shared" si="12"/>
        <v>100</v>
      </c>
      <c r="T38" s="1572" t="s">
        <v>8</v>
      </c>
      <c r="U38" s="1573">
        <f t="shared" si="13"/>
        <v>100</v>
      </c>
      <c r="V38" s="1572" t="s">
        <v>8</v>
      </c>
      <c r="W38" s="1573">
        <f t="shared" si="14"/>
        <v>100</v>
      </c>
      <c r="X38" s="1574"/>
      <c r="Y38" s="3684"/>
      <c r="Z38" s="1575">
        <f t="shared" si="15"/>
        <v>111</v>
      </c>
      <c r="AA38" s="1571">
        <f t="shared" si="3"/>
        <v>1</v>
      </c>
      <c r="AB38" s="1571">
        <f t="shared" si="4"/>
        <v>1</v>
      </c>
      <c r="AC38" s="1571">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38"/>
      <c r="M39" s="2130"/>
      <c r="N39" s="2130"/>
      <c r="O39" s="2137"/>
      <c r="P39" s="3684"/>
      <c r="Q39" s="1567">
        <f t="shared" si="11"/>
        <v>111</v>
      </c>
      <c r="R39" s="1568" t="s">
        <v>8</v>
      </c>
      <c r="S39" s="1569">
        <f t="shared" si="12"/>
        <v>100</v>
      </c>
      <c r="T39" s="1568" t="s">
        <v>8</v>
      </c>
      <c r="U39" s="1569">
        <f t="shared" si="13"/>
        <v>100</v>
      </c>
      <c r="V39" s="1568" t="s">
        <v>8</v>
      </c>
      <c r="W39" s="1569">
        <f t="shared" si="14"/>
        <v>100</v>
      </c>
      <c r="X39" s="1562"/>
      <c r="Y39" s="3684"/>
      <c r="Z39" s="1570">
        <f t="shared" si="15"/>
        <v>111</v>
      </c>
      <c r="AA39" s="1571">
        <f t="shared" si="3"/>
        <v>1</v>
      </c>
      <c r="AB39" s="1571">
        <f t="shared" si="4"/>
        <v>1</v>
      </c>
      <c r="AC39" s="1571">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38"/>
      <c r="M40" s="2130"/>
      <c r="N40" s="2130"/>
      <c r="O40" s="2137"/>
      <c r="P40" s="3764"/>
      <c r="Q40" s="1567">
        <f t="shared" si="11"/>
        <v>111</v>
      </c>
      <c r="R40" s="1568" t="s">
        <v>8</v>
      </c>
      <c r="S40" s="1569">
        <f t="shared" si="12"/>
        <v>100</v>
      </c>
      <c r="T40" s="1568" t="s">
        <v>8</v>
      </c>
      <c r="U40" s="1569">
        <f t="shared" si="13"/>
        <v>100</v>
      </c>
      <c r="V40" s="1568" t="s">
        <v>8</v>
      </c>
      <c r="W40" s="1569">
        <f t="shared" si="14"/>
        <v>100</v>
      </c>
      <c r="X40" s="1562"/>
      <c r="Y40" s="3764"/>
      <c r="Z40" s="1570">
        <f t="shared" si="15"/>
        <v>111</v>
      </c>
      <c r="AA40" s="1571">
        <f t="shared" si="3"/>
        <v>1</v>
      </c>
      <c r="AB40" s="1571">
        <f t="shared" si="4"/>
        <v>1</v>
      </c>
      <c r="AC40" s="1571">
        <f t="shared" si="5"/>
        <v>1</v>
      </c>
    </row>
    <row r="41" spans="1:29" ht="15">
      <c r="A41" s="605" t="s">
        <v>736</v>
      </c>
      <c r="B41" s="884"/>
      <c r="C41" s="2623" t="s">
        <v>1</v>
      </c>
      <c r="D41" s="2624"/>
      <c r="E41" s="2625"/>
      <c r="F41" s="2626"/>
      <c r="G41" s="2627"/>
      <c r="H41" s="2628"/>
      <c r="I41" s="2625"/>
      <c r="J41" s="2628"/>
      <c r="K41" s="1606"/>
      <c r="L41" s="2140"/>
      <c r="M41" s="2141"/>
      <c r="N41" s="2130"/>
      <c r="O41" s="2141"/>
      <c r="P41" s="3679" t="str">
        <f>A41</f>
        <v>成交单价（元/平方米）</v>
      </c>
      <c r="Q41" s="3679"/>
      <c r="R41" s="3763">
        <f>E41</f>
        <v>0</v>
      </c>
      <c r="S41" s="3763"/>
      <c r="T41" s="3763">
        <f>G41</f>
        <v>0</v>
      </c>
      <c r="U41" s="3763"/>
      <c r="V41" s="3763">
        <f>I41</f>
        <v>0</v>
      </c>
      <c r="W41" s="3763"/>
      <c r="X41" s="1554"/>
      <c r="Y41" s="1576"/>
      <c r="Z41" s="1554"/>
      <c r="AA41" s="1554"/>
      <c r="AB41" s="1554"/>
      <c r="AC41" s="1554"/>
    </row>
    <row r="42" spans="1:29" ht="15.75" thickBot="1">
      <c r="A42" s="613" t="s">
        <v>2759</v>
      </c>
      <c r="B42" s="885"/>
      <c r="C42" s="2629" t="e">
        <f>R43</f>
        <v>#DIV/0!</v>
      </c>
      <c r="D42" s="2630"/>
      <c r="E42" s="2631" t="e">
        <f>R42</f>
        <v>#DIV/0!</v>
      </c>
      <c r="F42" s="2631"/>
      <c r="G42" s="2629" t="e">
        <f>T42</f>
        <v>#DIV/0!</v>
      </c>
      <c r="H42" s="2630"/>
      <c r="I42" s="2631" t="e">
        <f>V42</f>
        <v>#DIV/0!</v>
      </c>
      <c r="J42" s="2630"/>
      <c r="K42" s="1607"/>
      <c r="L42" s="2140"/>
      <c r="M42" s="2141"/>
      <c r="N42" s="2130"/>
      <c r="O42" s="2141"/>
      <c r="P42" s="3679" t="str">
        <f>A42</f>
        <v>比较价格（元/平方米）</v>
      </c>
      <c r="Q42" s="3679"/>
      <c r="R42" s="3763" t="e">
        <f>IF(F1="售价",ROUND(PRODUCT(R41,AA7:AA40),0),ROUND(PRODUCT(R41,AA7:AA40),1))</f>
        <v>#DIV/0!</v>
      </c>
      <c r="S42" s="3763"/>
      <c r="T42" s="3763" t="e">
        <f>IF(F1="售价",ROUND(PRODUCT(T41,AB7:AB40),0),ROUND(PRODUCT(T41,AB7:AB40),1))</f>
        <v>#DIV/0!</v>
      </c>
      <c r="U42" s="3763"/>
      <c r="V42" s="3763" t="e">
        <f>IF(F1="售价",ROUND(PRODUCT(V41,AC7:AC40),0),ROUND(PRODUCT(V41,AC7:AC40),1))</f>
        <v>#DIV/0!</v>
      </c>
      <c r="W42" s="3763"/>
      <c r="X42" s="1554"/>
      <c r="Y42" s="1554"/>
      <c r="Z42" s="1554"/>
      <c r="AA42" s="1554"/>
      <c r="AB42" s="1554"/>
      <c r="AC42" s="1554"/>
    </row>
    <row r="43" spans="1:29" ht="15.75" thickBot="1">
      <c r="A43" s="619" t="s">
        <v>2934</v>
      </c>
      <c r="B43" s="620"/>
      <c r="C43" s="2632" t="e">
        <f>R43</f>
        <v>#DIV/0!</v>
      </c>
      <c r="D43" s="2632"/>
      <c r="E43" s="2632"/>
      <c r="F43" s="2632"/>
      <c r="G43" s="2632"/>
      <c r="H43" s="2632"/>
      <c r="I43" s="2632"/>
      <c r="J43" s="2632"/>
      <c r="K43" s="1608"/>
      <c r="L43" s="2140"/>
      <c r="M43" s="2141"/>
      <c r="N43" s="2141"/>
      <c r="O43" s="2141"/>
      <c r="P43" s="3700" t="str">
        <f>A43</f>
        <v>估价对象XX用房的比较价格（楼面单价，元/平方米）</v>
      </c>
      <c r="Q43" s="3701"/>
      <c r="R43" s="3762" t="e">
        <f>IF(F1="售价",ROUND(AVERAGE(R42:V42),0),ROUND(AVERAGE(R42:V42),1))</f>
        <v>#DIV/0!</v>
      </c>
      <c r="S43" s="3762"/>
      <c r="T43" s="3762"/>
      <c r="U43" s="3762"/>
      <c r="V43" s="3762"/>
      <c r="W43" s="3762"/>
      <c r="X43" s="1554"/>
      <c r="Y43" s="1554"/>
      <c r="Z43" s="1554"/>
      <c r="AA43" s="1554"/>
      <c r="AB43" s="1554"/>
      <c r="AC43" s="1554"/>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2" customFormat="1" ht="13.5" customHeight="1">
      <c r="A48" s="2142"/>
      <c r="B48" s="2142"/>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2"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79" t="s">
        <v>574</v>
      </c>
      <c r="B51" s="1554"/>
      <c r="C51" s="1578"/>
      <c r="D51" s="1578"/>
      <c r="E51" s="1578"/>
      <c r="F51" s="1580"/>
      <c r="G51" s="1580"/>
      <c r="H51" s="1578"/>
      <c r="I51" s="1578"/>
      <c r="J51" s="1578"/>
      <c r="K51" s="1581"/>
      <c r="L51" s="1577"/>
      <c r="M51" s="1578"/>
      <c r="N51" s="1578"/>
      <c r="O51" s="1578"/>
      <c r="P51" s="2153"/>
      <c r="Q51" s="2154"/>
      <c r="R51" s="2141"/>
      <c r="S51" s="2141"/>
      <c r="T51" s="2141"/>
      <c r="U51" s="2141"/>
      <c r="V51" s="2141"/>
      <c r="W51" s="2141"/>
      <c r="X51" s="2141"/>
      <c r="Y51" s="2141"/>
      <c r="Z51" s="2141"/>
      <c r="AA51" s="2141"/>
      <c r="AB51" s="2141"/>
      <c r="AC51" s="2141"/>
    </row>
    <row r="52" spans="1:29" s="1344" customFormat="1" ht="15">
      <c r="A52" s="643" t="s">
        <v>529</v>
      </c>
      <c r="B52" s="644"/>
      <c r="C52" s="2798" t="str">
        <f>YEAR(C7)&amp;"-"&amp;MONTH(C7)</f>
        <v>2018-9</v>
      </c>
      <c r="D52" s="2800">
        <f>EDATE(C52,-1)</f>
        <v>43313</v>
      </c>
      <c r="E52" s="2800">
        <f t="shared" ref="E52:O52" si="16">EDATE(D52,-1)</f>
        <v>43282</v>
      </c>
      <c r="F52" s="2800">
        <f t="shared" si="16"/>
        <v>43252</v>
      </c>
      <c r="G52" s="2800">
        <f t="shared" si="16"/>
        <v>43221</v>
      </c>
      <c r="H52" s="2800">
        <f t="shared" si="16"/>
        <v>43191</v>
      </c>
      <c r="I52" s="2800">
        <f t="shared" si="16"/>
        <v>43160</v>
      </c>
      <c r="J52" s="2800">
        <f t="shared" si="16"/>
        <v>43132</v>
      </c>
      <c r="K52" s="2800">
        <f t="shared" si="16"/>
        <v>43101</v>
      </c>
      <c r="L52" s="2800">
        <f t="shared" si="16"/>
        <v>43070</v>
      </c>
      <c r="M52" s="2800">
        <f t="shared" si="16"/>
        <v>43040</v>
      </c>
      <c r="N52" s="2800">
        <f t="shared" si="16"/>
        <v>43009</v>
      </c>
      <c r="O52" s="2800">
        <f t="shared" si="16"/>
        <v>42979</v>
      </c>
      <c r="P52" s="2156"/>
      <c r="Q52" s="2157"/>
      <c r="R52" s="2157"/>
      <c r="S52" s="2157"/>
      <c r="T52" s="2157"/>
      <c r="U52" s="2157"/>
      <c r="V52" s="2157"/>
      <c r="W52" s="2157"/>
      <c r="X52" s="2157"/>
      <c r="Y52" s="2157"/>
      <c r="Z52" s="2157"/>
      <c r="AA52" s="2157"/>
      <c r="AB52" s="2157"/>
      <c r="AC52" s="2157"/>
    </row>
    <row r="53" spans="1:29" s="1217" customFormat="1" ht="15">
      <c r="A53" s="645"/>
      <c r="B53" s="646"/>
      <c r="C53" s="647">
        <v>100</v>
      </c>
      <c r="D53" s="648"/>
      <c r="E53" s="648"/>
      <c r="F53" s="648"/>
      <c r="G53" s="648"/>
      <c r="H53" s="648"/>
      <c r="I53" s="648"/>
      <c r="J53" s="648"/>
      <c r="K53" s="648"/>
      <c r="L53" s="648"/>
      <c r="M53" s="649"/>
      <c r="N53" s="648"/>
      <c r="O53" s="650"/>
      <c r="P53" s="2154"/>
      <c r="Q53" s="1989"/>
      <c r="R53" s="1989"/>
      <c r="S53" s="1989"/>
      <c r="T53" s="1989"/>
      <c r="U53" s="1989"/>
      <c r="V53" s="1989"/>
      <c r="W53" s="1989"/>
      <c r="X53" s="1989"/>
      <c r="Y53" s="1989"/>
      <c r="Z53" s="1989"/>
      <c r="AA53" s="1989"/>
      <c r="AB53" s="1989"/>
      <c r="AC53" s="1989"/>
    </row>
    <row r="54" spans="1:29" s="1217" customFormat="1" ht="15.75" thickBot="1">
      <c r="A54" s="651" t="s">
        <v>575</v>
      </c>
      <c r="B54" s="652"/>
      <c r="C54" s="653"/>
      <c r="D54" s="654"/>
      <c r="E54" s="654"/>
      <c r="F54" s="654"/>
      <c r="G54" s="654"/>
      <c r="H54" s="654"/>
      <c r="I54" s="654"/>
      <c r="J54" s="654"/>
      <c r="K54" s="654"/>
      <c r="L54" s="654"/>
      <c r="M54" s="655"/>
      <c r="N54" s="654"/>
      <c r="O54" s="656"/>
      <c r="P54" s="2154"/>
      <c r="Q54" s="2154"/>
      <c r="R54" s="1989"/>
      <c r="S54" s="1989"/>
      <c r="T54" s="1989"/>
      <c r="U54" s="1989"/>
      <c r="V54" s="1989"/>
      <c r="W54" s="1989"/>
      <c r="X54" s="1989"/>
      <c r="Y54" s="1989"/>
      <c r="Z54" s="1989"/>
      <c r="AA54" s="1989"/>
      <c r="AB54" s="1989"/>
      <c r="AC54" s="1989"/>
    </row>
    <row r="55" spans="1:29" s="1217" customFormat="1" ht="15">
      <c r="A55" s="657" t="s">
        <v>531</v>
      </c>
      <c r="B55" s="646"/>
      <c r="C55" s="658" t="s">
        <v>576</v>
      </c>
      <c r="D55" s="659"/>
      <c r="E55" s="659"/>
      <c r="F55" s="659"/>
      <c r="G55" s="659"/>
      <c r="H55" s="659"/>
      <c r="I55" s="659"/>
      <c r="J55" s="659"/>
      <c r="K55" s="659"/>
      <c r="L55" s="660"/>
      <c r="M55" s="661"/>
      <c r="N55" s="2158"/>
      <c r="O55" s="2158"/>
      <c r="P55" s="2159"/>
      <c r="Q55" s="2154"/>
      <c r="R55" s="1989"/>
      <c r="S55" s="1989"/>
      <c r="T55" s="1989"/>
      <c r="U55" s="1989"/>
      <c r="V55" s="1989"/>
      <c r="W55" s="1989"/>
      <c r="X55" s="1989"/>
      <c r="Y55" s="1989"/>
      <c r="Z55" s="1989"/>
      <c r="AA55" s="1989"/>
      <c r="AB55" s="1989"/>
      <c r="AC55" s="1989"/>
    </row>
    <row r="56" spans="1:29" s="1217" customFormat="1" ht="15.75" thickBot="1">
      <c r="A56" s="657"/>
      <c r="B56" s="646"/>
      <c r="C56" s="647">
        <v>100</v>
      </c>
      <c r="D56" s="648"/>
      <c r="E56" s="648"/>
      <c r="F56" s="648"/>
      <c r="G56" s="648"/>
      <c r="H56" s="648"/>
      <c r="I56" s="648"/>
      <c r="J56" s="648"/>
      <c r="K56" s="648"/>
      <c r="L56" s="648"/>
      <c r="M56" s="650"/>
      <c r="N56" s="2158"/>
      <c r="O56" s="2158"/>
      <c r="P56" s="2154"/>
      <c r="Q56" s="2154"/>
      <c r="R56" s="1989"/>
      <c r="S56" s="1989"/>
      <c r="T56" s="1989"/>
      <c r="U56" s="1989"/>
      <c r="V56" s="1989"/>
      <c r="W56" s="1989"/>
      <c r="X56" s="1989"/>
      <c r="Y56" s="1989"/>
      <c r="Z56" s="1989"/>
      <c r="AA56" s="1989"/>
      <c r="AB56" s="1989"/>
      <c r="AC56" s="1989"/>
    </row>
    <row r="57" spans="1:29">
      <c r="A57" s="662" t="s">
        <v>577</v>
      </c>
      <c r="B57" s="663" t="s">
        <v>534</v>
      </c>
      <c r="C57" s="702">
        <f>C9</f>
        <v>0</v>
      </c>
      <c r="D57" s="596"/>
      <c r="E57" s="596"/>
      <c r="F57" s="596"/>
      <c r="G57" s="596"/>
      <c r="H57" s="596"/>
      <c r="I57" s="596"/>
      <c r="J57" s="596"/>
      <c r="K57" s="664"/>
      <c r="L57" s="665"/>
      <c r="M57" s="666"/>
      <c r="N57" s="2160"/>
      <c r="O57" s="2160"/>
      <c r="P57" s="2161"/>
      <c r="Q57" s="2154"/>
      <c r="R57" s="2141"/>
      <c r="S57" s="2141"/>
      <c r="T57" s="2141"/>
      <c r="U57" s="2141"/>
      <c r="V57" s="2141"/>
      <c r="W57" s="2141"/>
      <c r="X57" s="2141"/>
      <c r="Y57" s="2141"/>
      <c r="Z57" s="2141"/>
      <c r="AA57" s="2141"/>
      <c r="AB57" s="2141"/>
      <c r="AC57" s="2141"/>
    </row>
    <row r="58" spans="1:29" ht="15.75" thickBot="1">
      <c r="A58" s="667"/>
      <c r="B58" s="668"/>
      <c r="C58" s="669"/>
      <c r="D58" s="669"/>
      <c r="E58" s="669"/>
      <c r="F58" s="669"/>
      <c r="G58" s="669"/>
      <c r="H58" s="669"/>
      <c r="I58" s="669"/>
      <c r="J58" s="669"/>
      <c r="K58" s="669"/>
      <c r="L58" s="669"/>
      <c r="M58" s="670"/>
      <c r="N58" s="2162"/>
      <c r="O58" s="2162"/>
      <c r="P58" s="2161"/>
      <c r="Q58" s="2154"/>
      <c r="R58" s="2141"/>
      <c r="S58" s="2141"/>
      <c r="T58" s="2141"/>
      <c r="U58" s="2141"/>
      <c r="V58" s="2141"/>
      <c r="W58" s="2141"/>
      <c r="X58" s="2141"/>
      <c r="Y58" s="2141"/>
      <c r="Z58" s="2141"/>
      <c r="AA58" s="2141"/>
      <c r="AB58" s="2141"/>
      <c r="AC58" s="2141"/>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60"/>
      <c r="O59" s="2160"/>
      <c r="P59" s="2161"/>
      <c r="Q59" s="2154"/>
      <c r="R59" s="2141"/>
      <c r="S59" s="2141"/>
      <c r="T59" s="2141"/>
      <c r="U59" s="2141"/>
      <c r="V59" s="2141"/>
      <c r="W59" s="2141"/>
      <c r="X59" s="2141"/>
      <c r="Y59" s="2141"/>
      <c r="Z59" s="2141"/>
      <c r="AA59" s="2141"/>
      <c r="AB59" s="2141"/>
      <c r="AC59" s="2141"/>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2"/>
      <c r="O60" s="2162"/>
      <c r="P60" s="2161"/>
      <c r="Q60" s="2154"/>
      <c r="R60" s="2141"/>
      <c r="S60" s="2141"/>
      <c r="T60" s="2141"/>
      <c r="U60" s="2141"/>
      <c r="V60" s="2141"/>
      <c r="W60" s="2141"/>
      <c r="X60" s="2141"/>
      <c r="Y60" s="2141"/>
      <c r="Z60" s="2141"/>
      <c r="AA60" s="2141"/>
      <c r="AB60" s="2141"/>
      <c r="AC60" s="2141"/>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7"/>
      <c r="B62" s="681"/>
      <c r="C62" s="539"/>
      <c r="D62" s="539"/>
      <c r="E62" s="539"/>
      <c r="F62" s="539"/>
      <c r="G62" s="539"/>
      <c r="H62" s="539"/>
      <c r="I62" s="539"/>
      <c r="J62" s="539"/>
      <c r="K62" s="682"/>
      <c r="L62" s="683"/>
      <c r="M62" s="684"/>
      <c r="N62" s="2160"/>
      <c r="O62" s="2160"/>
      <c r="P62" s="2161"/>
      <c r="Q62" s="2154"/>
      <c r="R62" s="2141"/>
      <c r="S62" s="2141"/>
      <c r="T62" s="2141"/>
      <c r="U62" s="2141"/>
      <c r="V62" s="2141"/>
      <c r="W62" s="2141"/>
      <c r="X62" s="2141"/>
      <c r="Y62" s="2141"/>
      <c r="Z62" s="2141"/>
      <c r="AA62" s="2141"/>
      <c r="AB62" s="2141"/>
      <c r="AC62" s="2141"/>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2"/>
      <c r="O63" s="2162"/>
      <c r="P63" s="2161"/>
      <c r="Q63" s="2154"/>
      <c r="R63" s="2141"/>
      <c r="S63" s="2141"/>
      <c r="T63" s="2141"/>
      <c r="U63" s="2141"/>
      <c r="V63" s="2141"/>
      <c r="W63" s="2141"/>
      <c r="X63" s="2141"/>
      <c r="Y63" s="2141"/>
      <c r="Z63" s="2141"/>
      <c r="AA63" s="2141"/>
      <c r="AB63" s="2141"/>
      <c r="AC63" s="2141"/>
    </row>
    <row r="64" spans="1:29" s="1336" customFormat="1" ht="15.75" thickTop="1">
      <c r="A64" s="685"/>
      <c r="B64" s="671">
        <f>B12</f>
        <v>111</v>
      </c>
      <c r="C64" s="686"/>
      <c r="D64" s="686"/>
      <c r="E64" s="686"/>
      <c r="F64" s="686"/>
      <c r="G64" s="686"/>
      <c r="H64" s="687"/>
      <c r="I64" s="687"/>
      <c r="J64" s="687"/>
      <c r="K64" s="687"/>
      <c r="L64" s="688"/>
      <c r="M64" s="689"/>
      <c r="N64" s="2163"/>
      <c r="O64" s="2163"/>
      <c r="P64" s="2164"/>
      <c r="Q64" s="2165"/>
      <c r="R64" s="2166"/>
      <c r="S64" s="2166"/>
      <c r="T64" s="2166"/>
      <c r="U64" s="2166"/>
      <c r="V64" s="2166"/>
      <c r="W64" s="2166"/>
      <c r="X64" s="2166"/>
      <c r="Y64" s="2166"/>
      <c r="Z64" s="2166"/>
      <c r="AA64" s="2166"/>
      <c r="AB64" s="2166"/>
      <c r="AC64" s="2166"/>
    </row>
    <row r="65" spans="1:29" s="1336" customFormat="1" ht="15.75" thickBot="1">
      <c r="A65" s="685"/>
      <c r="B65" s="676"/>
      <c r="C65" s="690"/>
      <c r="D65" s="669"/>
      <c r="E65" s="669"/>
      <c r="F65" s="669"/>
      <c r="G65" s="669"/>
      <c r="H65" s="669"/>
      <c r="I65" s="669"/>
      <c r="J65" s="669"/>
      <c r="K65" s="669"/>
      <c r="L65" s="669"/>
      <c r="M65" s="670"/>
      <c r="N65" s="2162"/>
      <c r="O65" s="2162"/>
      <c r="P65" s="2164"/>
      <c r="Q65" s="2165"/>
      <c r="R65" s="2166"/>
      <c r="S65" s="2166"/>
      <c r="T65" s="2166"/>
      <c r="U65" s="2166"/>
      <c r="V65" s="2166"/>
      <c r="W65" s="2166"/>
      <c r="X65" s="2166"/>
      <c r="Y65" s="2166"/>
      <c r="Z65" s="2166"/>
      <c r="AA65" s="2166"/>
      <c r="AB65" s="2166"/>
      <c r="AC65" s="2166"/>
    </row>
    <row r="66" spans="1:29" s="1336" customFormat="1" ht="15.75" thickTop="1">
      <c r="A66" s="685"/>
      <c r="B66" s="671">
        <f>B13</f>
        <v>111</v>
      </c>
      <c r="C66" s="686"/>
      <c r="D66" s="686"/>
      <c r="E66" s="686"/>
      <c r="F66" s="686"/>
      <c r="G66" s="686"/>
      <c r="H66" s="687"/>
      <c r="I66" s="687"/>
      <c r="J66" s="687"/>
      <c r="K66" s="687"/>
      <c r="L66" s="688"/>
      <c r="M66" s="689"/>
      <c r="N66" s="2163"/>
      <c r="O66" s="2163"/>
      <c r="P66" s="2167"/>
      <c r="Q66" s="2168"/>
      <c r="R66" s="2166"/>
      <c r="S66" s="2166"/>
      <c r="T66" s="2166"/>
      <c r="U66" s="2166"/>
      <c r="V66" s="2166"/>
      <c r="W66" s="2166"/>
      <c r="X66" s="2166"/>
      <c r="Y66" s="2166"/>
      <c r="Z66" s="2166"/>
      <c r="AA66" s="2166"/>
      <c r="AB66" s="2166"/>
      <c r="AC66" s="2166"/>
    </row>
    <row r="67" spans="1:29" s="1336" customFormat="1" ht="15.75" thickBot="1">
      <c r="A67" s="685"/>
      <c r="B67" s="676"/>
      <c r="C67" s="690"/>
      <c r="D67" s="669"/>
      <c r="E67" s="669"/>
      <c r="F67" s="669"/>
      <c r="G67" s="690"/>
      <c r="H67" s="691"/>
      <c r="I67" s="691"/>
      <c r="J67" s="691"/>
      <c r="K67" s="691"/>
      <c r="L67" s="691"/>
      <c r="M67" s="692"/>
      <c r="N67" s="2163"/>
      <c r="O67" s="2163"/>
      <c r="P67" s="2164"/>
      <c r="Q67" s="2165"/>
      <c r="R67" s="2166"/>
      <c r="S67" s="2166"/>
      <c r="T67" s="2166"/>
      <c r="U67" s="2166"/>
      <c r="V67" s="2166"/>
      <c r="W67" s="2166"/>
      <c r="X67" s="2166"/>
      <c r="Y67" s="2166"/>
      <c r="Z67" s="2166"/>
      <c r="AA67" s="2166"/>
      <c r="AB67" s="2166"/>
      <c r="AC67" s="2166"/>
    </row>
    <row r="68" spans="1:29" s="1336" customFormat="1" ht="15.75" thickTop="1">
      <c r="A68" s="685"/>
      <c r="B68" s="679">
        <f>B14</f>
        <v>111</v>
      </c>
      <c r="C68" s="659"/>
      <c r="D68" s="659"/>
      <c r="E68" s="659"/>
      <c r="F68" s="659"/>
      <c r="G68" s="659"/>
      <c r="H68" s="693"/>
      <c r="I68" s="693"/>
      <c r="J68" s="693"/>
      <c r="K68" s="693"/>
      <c r="L68" s="694"/>
      <c r="M68" s="695"/>
      <c r="N68" s="2163"/>
      <c r="O68" s="2163"/>
      <c r="P68" s="2169"/>
      <c r="Q68" s="2165"/>
      <c r="R68" s="2166"/>
      <c r="S68" s="2166"/>
      <c r="T68" s="2166"/>
      <c r="U68" s="2166"/>
      <c r="V68" s="2166"/>
      <c r="W68" s="2166"/>
      <c r="X68" s="2166"/>
      <c r="Y68" s="2166"/>
      <c r="Z68" s="2166"/>
      <c r="AA68" s="2166"/>
      <c r="AB68" s="2166"/>
      <c r="AC68" s="2166"/>
    </row>
    <row r="69" spans="1:29" s="1336" customFormat="1" ht="15.75" thickBot="1">
      <c r="A69" s="696"/>
      <c r="B69" s="697"/>
      <c r="C69" s="698"/>
      <c r="D69" s="698"/>
      <c r="E69" s="698"/>
      <c r="F69" s="698"/>
      <c r="G69" s="698"/>
      <c r="H69" s="699"/>
      <c r="I69" s="699"/>
      <c r="J69" s="699"/>
      <c r="K69" s="699"/>
      <c r="L69" s="699"/>
      <c r="M69" s="700"/>
      <c r="N69" s="2163"/>
      <c r="O69" s="2163"/>
      <c r="P69" s="2164"/>
      <c r="Q69" s="2165"/>
      <c r="R69" s="2166"/>
      <c r="S69" s="2166"/>
      <c r="T69" s="2166"/>
      <c r="U69" s="2166"/>
      <c r="V69" s="2166"/>
      <c r="W69" s="2166"/>
      <c r="X69" s="2166"/>
      <c r="Y69" s="2166"/>
      <c r="Z69" s="2166"/>
      <c r="AA69" s="2166"/>
      <c r="AB69" s="2166"/>
      <c r="AC69" s="2166"/>
    </row>
    <row r="70" spans="1:29">
      <c r="A70" s="662" t="s">
        <v>539</v>
      </c>
      <c r="B70" s="663" t="s">
        <v>585</v>
      </c>
      <c r="C70" s="701" t="s">
        <v>579</v>
      </c>
      <c r="D70" s="701" t="s">
        <v>580</v>
      </c>
      <c r="E70" s="701" t="s">
        <v>581</v>
      </c>
      <c r="F70" s="701" t="s">
        <v>582</v>
      </c>
      <c r="G70" s="701" t="s">
        <v>583</v>
      </c>
      <c r="H70" s="702"/>
      <c r="I70" s="702"/>
      <c r="J70" s="702"/>
      <c r="K70" s="703"/>
      <c r="L70" s="704"/>
      <c r="M70" s="705"/>
      <c r="N70" s="2160"/>
      <c r="O70" s="2160"/>
      <c r="P70" s="2170"/>
      <c r="Q70" s="2154"/>
      <c r="R70" s="2141"/>
      <c r="S70" s="2141"/>
      <c r="T70" s="2141"/>
      <c r="U70" s="2141"/>
      <c r="V70" s="2141"/>
      <c r="W70" s="2141"/>
      <c r="X70" s="2141"/>
      <c r="Y70" s="2141"/>
      <c r="Z70" s="2141"/>
      <c r="AA70" s="2141"/>
      <c r="AB70" s="2141"/>
      <c r="AC70" s="2141"/>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2"/>
      <c r="O71" s="2162"/>
      <c r="P71" s="2161"/>
      <c r="Q71" s="2154"/>
      <c r="R71" s="2141"/>
      <c r="S71" s="2141"/>
      <c r="T71" s="2141"/>
      <c r="U71" s="2141"/>
      <c r="V71" s="2141"/>
      <c r="W71" s="2141"/>
      <c r="X71" s="2141"/>
      <c r="Y71" s="2141"/>
      <c r="Z71" s="2141"/>
      <c r="AA71" s="2141"/>
      <c r="AB71" s="2141"/>
      <c r="AC71" s="2141"/>
    </row>
    <row r="72" spans="1:29" ht="15.75" thickTop="1">
      <c r="A72" s="667"/>
      <c r="B72" s="671" t="s">
        <v>586</v>
      </c>
      <c r="C72" s="706" t="s">
        <v>579</v>
      </c>
      <c r="D72" s="706" t="s">
        <v>580</v>
      </c>
      <c r="E72" s="706" t="s">
        <v>581</v>
      </c>
      <c r="F72" s="706" t="s">
        <v>582</v>
      </c>
      <c r="G72" s="706" t="s">
        <v>583</v>
      </c>
      <c r="H72" s="672"/>
      <c r="I72" s="672"/>
      <c r="J72" s="672"/>
      <c r="K72" s="673"/>
      <c r="L72" s="674"/>
      <c r="M72" s="675"/>
      <c r="N72" s="2160"/>
      <c r="O72" s="2160"/>
      <c r="P72" s="2161"/>
      <c r="Q72" s="2154"/>
      <c r="R72" s="2141"/>
      <c r="S72" s="2141"/>
      <c r="T72" s="2141"/>
      <c r="U72" s="2141"/>
      <c r="V72" s="2141"/>
      <c r="W72" s="2141"/>
      <c r="X72" s="2141"/>
      <c r="Y72" s="2141"/>
      <c r="Z72" s="2141"/>
      <c r="AA72" s="2141"/>
      <c r="AB72" s="2141"/>
      <c r="AC72" s="2141"/>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2"/>
      <c r="O73" s="2162"/>
      <c r="P73" s="2161"/>
      <c r="Q73" s="2154"/>
      <c r="R73" s="2141"/>
      <c r="S73" s="2141"/>
      <c r="T73" s="2141"/>
      <c r="U73" s="2141"/>
      <c r="V73" s="2141"/>
      <c r="W73" s="2141"/>
      <c r="X73" s="2141"/>
      <c r="Y73" s="2141"/>
      <c r="Z73" s="2141"/>
      <c r="AA73" s="2141"/>
      <c r="AB73" s="2141"/>
      <c r="AC73" s="2141"/>
    </row>
    <row r="74" spans="1:29" ht="15.75" thickTop="1">
      <c r="A74" s="667"/>
      <c r="B74" s="1892" t="s">
        <v>2557</v>
      </c>
      <c r="C74" s="706" t="s">
        <v>579</v>
      </c>
      <c r="D74" s="706" t="s">
        <v>580</v>
      </c>
      <c r="E74" s="706" t="s">
        <v>581</v>
      </c>
      <c r="F74" s="706" t="s">
        <v>582</v>
      </c>
      <c r="G74" s="706" t="s">
        <v>583</v>
      </c>
      <c r="H74" s="672"/>
      <c r="I74" s="672"/>
      <c r="J74" s="672"/>
      <c r="K74" s="673"/>
      <c r="L74" s="674"/>
      <c r="M74" s="675"/>
      <c r="N74" s="2160"/>
      <c r="O74" s="2160"/>
      <c r="P74" s="2161"/>
      <c r="Q74" s="2154"/>
      <c r="R74" s="2141"/>
      <c r="S74" s="2141"/>
      <c r="T74" s="2141"/>
      <c r="U74" s="2141"/>
      <c r="V74" s="2141"/>
      <c r="W74" s="2141"/>
      <c r="X74" s="2141"/>
      <c r="Y74" s="2141"/>
      <c r="Z74" s="2141"/>
      <c r="AA74" s="2141"/>
      <c r="AB74" s="2141"/>
      <c r="AC74" s="2141"/>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2"/>
      <c r="O75" s="2162"/>
      <c r="P75" s="2161"/>
      <c r="Q75" s="2154"/>
      <c r="R75" s="2141"/>
      <c r="S75" s="2141"/>
      <c r="T75" s="2141"/>
      <c r="U75" s="2141"/>
      <c r="V75" s="2141"/>
      <c r="W75" s="2141"/>
      <c r="X75" s="2141"/>
      <c r="Y75" s="2141"/>
      <c r="Z75" s="2141"/>
      <c r="AA75" s="2141"/>
      <c r="AB75" s="2141"/>
      <c r="AC75" s="2141"/>
    </row>
    <row r="76" spans="1:29" ht="15.75" thickTop="1">
      <c r="A76" s="667"/>
      <c r="B76" s="2593" t="s">
        <v>2558</v>
      </c>
      <c r="C76" s="2594" t="s">
        <v>2559</v>
      </c>
      <c r="D76" s="2594" t="s">
        <v>2560</v>
      </c>
      <c r="E76" s="2594" t="s">
        <v>2561</v>
      </c>
      <c r="F76" s="2594" t="s">
        <v>2562</v>
      </c>
      <c r="G76" s="2594" t="s">
        <v>2563</v>
      </c>
      <c r="H76" s="932"/>
      <c r="I76" s="932"/>
      <c r="J76" s="932"/>
      <c r="K76" s="932"/>
      <c r="L76" s="932"/>
      <c r="M76" s="557"/>
      <c r="N76" s="2162"/>
      <c r="O76" s="2162"/>
      <c r="P76" s="2161"/>
      <c r="Q76" s="2154"/>
      <c r="R76" s="2141"/>
      <c r="S76" s="2141"/>
      <c r="T76" s="2141"/>
      <c r="U76" s="2141"/>
      <c r="V76" s="2141"/>
      <c r="W76" s="2141"/>
      <c r="X76" s="2141"/>
      <c r="Y76" s="2141"/>
      <c r="Z76" s="2141"/>
      <c r="AA76" s="2141"/>
      <c r="AB76" s="2141"/>
      <c r="AC76" s="2141"/>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2"/>
      <c r="O77" s="2162"/>
      <c r="P77" s="2161"/>
      <c r="Q77" s="2154"/>
      <c r="R77" s="2141"/>
      <c r="S77" s="2141"/>
      <c r="T77" s="2141"/>
      <c r="U77" s="2141"/>
      <c r="V77" s="2141"/>
      <c r="W77" s="2141"/>
      <c r="X77" s="2141"/>
      <c r="Y77" s="2141"/>
      <c r="Z77" s="2141"/>
      <c r="AA77" s="2141"/>
      <c r="AB77" s="2141"/>
      <c r="AC77" s="2141"/>
    </row>
    <row r="78" spans="1:29" ht="15.75" thickTop="1">
      <c r="A78" s="667"/>
      <c r="B78" s="671" t="s">
        <v>784</v>
      </c>
      <c r="C78" s="706" t="s">
        <v>579</v>
      </c>
      <c r="D78" s="706" t="s">
        <v>580</v>
      </c>
      <c r="E78" s="706" t="s">
        <v>581</v>
      </c>
      <c r="F78" s="706" t="s">
        <v>582</v>
      </c>
      <c r="G78" s="706" t="s">
        <v>583</v>
      </c>
      <c r="H78" s="672"/>
      <c r="I78" s="672"/>
      <c r="J78" s="672"/>
      <c r="K78" s="673"/>
      <c r="L78" s="674"/>
      <c r="M78" s="675"/>
      <c r="N78" s="2160"/>
      <c r="O78" s="2160"/>
      <c r="P78" s="2161"/>
      <c r="Q78" s="2154"/>
      <c r="R78" s="2141"/>
      <c r="S78" s="2141"/>
      <c r="T78" s="2141"/>
      <c r="U78" s="2141"/>
      <c r="V78" s="2141"/>
      <c r="W78" s="2141"/>
      <c r="X78" s="2141"/>
      <c r="Y78" s="2141"/>
      <c r="Z78" s="2141"/>
      <c r="AA78" s="2141"/>
      <c r="AB78" s="2141"/>
      <c r="AC78" s="2141"/>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2"/>
      <c r="O79" s="2162"/>
      <c r="P79" s="2161"/>
      <c r="Q79" s="2154"/>
      <c r="R79" s="2141"/>
      <c r="S79" s="2141"/>
      <c r="T79" s="2141"/>
      <c r="U79" s="2141"/>
      <c r="V79" s="2141"/>
      <c r="W79" s="2141"/>
      <c r="X79" s="2141"/>
      <c r="Y79" s="2141"/>
      <c r="Z79" s="2141"/>
      <c r="AA79" s="2141"/>
      <c r="AB79" s="2141"/>
      <c r="AC79" s="2141"/>
    </row>
    <row r="80" spans="1:29" s="1217" customFormat="1" ht="15.75" thickTop="1">
      <c r="A80" s="707"/>
      <c r="B80" s="671">
        <f>B25</f>
        <v>111</v>
      </c>
      <c r="C80" s="686"/>
      <c r="D80" s="686"/>
      <c r="E80" s="686"/>
      <c r="F80" s="686"/>
      <c r="G80" s="686"/>
      <c r="H80" s="686"/>
      <c r="I80" s="686"/>
      <c r="J80" s="686"/>
      <c r="K80" s="686"/>
      <c r="L80" s="887"/>
      <c r="M80" s="888"/>
      <c r="N80" s="2158"/>
      <c r="O80" s="2158"/>
      <c r="P80" s="2161"/>
      <c r="Q80" s="2154"/>
      <c r="R80" s="1989"/>
      <c r="S80" s="1989"/>
      <c r="T80" s="1989"/>
      <c r="U80" s="1989"/>
      <c r="V80" s="1989"/>
      <c r="W80" s="1989"/>
      <c r="X80" s="1989"/>
      <c r="Y80" s="1989"/>
      <c r="Z80" s="1989"/>
      <c r="AA80" s="1989"/>
      <c r="AB80" s="1989"/>
      <c r="AC80" s="1989"/>
    </row>
    <row r="81" spans="1:29" s="1217" customFormat="1" ht="15.75" thickBot="1">
      <c r="A81" s="707"/>
      <c r="B81" s="676"/>
      <c r="C81" s="690"/>
      <c r="D81" s="669"/>
      <c r="E81" s="669"/>
      <c r="F81" s="669"/>
      <c r="G81" s="669"/>
      <c r="H81" s="669"/>
      <c r="I81" s="669"/>
      <c r="J81" s="669"/>
      <c r="K81" s="669"/>
      <c r="L81" s="669"/>
      <c r="M81" s="670"/>
      <c r="N81" s="2162"/>
      <c r="O81" s="2162"/>
      <c r="P81" s="2161"/>
      <c r="Q81" s="2154"/>
      <c r="R81" s="1989"/>
      <c r="S81" s="1989"/>
      <c r="T81" s="1989"/>
      <c r="U81" s="1989"/>
      <c r="V81" s="1989"/>
      <c r="W81" s="1989"/>
      <c r="X81" s="1989"/>
      <c r="Y81" s="1989"/>
      <c r="Z81" s="1989"/>
      <c r="AA81" s="1989"/>
      <c r="AB81" s="1989"/>
      <c r="AC81" s="1989"/>
    </row>
    <row r="82" spans="1:29" s="1217" customFormat="1" ht="15.75" thickTop="1">
      <c r="A82" s="707"/>
      <c r="B82" s="671">
        <f>B26</f>
        <v>111</v>
      </c>
      <c r="C82" s="686"/>
      <c r="D82" s="686"/>
      <c r="E82" s="686"/>
      <c r="F82" s="686"/>
      <c r="G82" s="686"/>
      <c r="H82" s="686"/>
      <c r="I82" s="686"/>
      <c r="J82" s="686"/>
      <c r="K82" s="686"/>
      <c r="L82" s="887"/>
      <c r="M82" s="888"/>
      <c r="N82" s="2158"/>
      <c r="O82" s="2158"/>
      <c r="P82" s="2161"/>
      <c r="Q82" s="2154"/>
      <c r="R82" s="1989"/>
      <c r="S82" s="1989"/>
      <c r="T82" s="1989"/>
      <c r="U82" s="1989"/>
      <c r="V82" s="1989"/>
      <c r="W82" s="1989"/>
      <c r="X82" s="1989"/>
      <c r="Y82" s="1989"/>
      <c r="Z82" s="1989"/>
      <c r="AA82" s="1989"/>
      <c r="AB82" s="1989"/>
      <c r="AC82" s="1989"/>
    </row>
    <row r="83" spans="1:29" s="1217" customFormat="1" ht="15.75" thickBot="1">
      <c r="A83" s="707"/>
      <c r="B83" s="676"/>
      <c r="C83" s="690"/>
      <c r="D83" s="669"/>
      <c r="E83" s="669"/>
      <c r="F83" s="669"/>
      <c r="G83" s="669"/>
      <c r="H83" s="669"/>
      <c r="I83" s="669"/>
      <c r="J83" s="669"/>
      <c r="K83" s="669"/>
      <c r="L83" s="669"/>
      <c r="M83" s="670"/>
      <c r="N83" s="2162"/>
      <c r="O83" s="2162"/>
      <c r="P83" s="2161"/>
      <c r="Q83" s="2154"/>
      <c r="R83" s="1989"/>
      <c r="S83" s="1989"/>
      <c r="T83" s="1989"/>
      <c r="U83" s="1989"/>
      <c r="V83" s="1989"/>
      <c r="W83" s="1989"/>
      <c r="X83" s="1989"/>
      <c r="Y83" s="1989"/>
      <c r="Z83" s="1989"/>
      <c r="AA83" s="1989"/>
      <c r="AB83" s="1989"/>
      <c r="AC83" s="1989"/>
    </row>
    <row r="84" spans="1:29" s="1336" customFormat="1" ht="15.75" thickTop="1">
      <c r="A84" s="685"/>
      <c r="B84" s="671">
        <f>B27</f>
        <v>111</v>
      </c>
      <c r="C84" s="686"/>
      <c r="D84" s="686"/>
      <c r="E84" s="686"/>
      <c r="F84" s="686"/>
      <c r="G84" s="686"/>
      <c r="H84" s="686"/>
      <c r="I84" s="686"/>
      <c r="J84" s="686"/>
      <c r="K84" s="686"/>
      <c r="L84" s="887"/>
      <c r="M84" s="888"/>
      <c r="N84" s="2163"/>
      <c r="O84" s="2163"/>
      <c r="P84" s="2164"/>
      <c r="Q84" s="2165"/>
      <c r="R84" s="2166"/>
      <c r="S84" s="2166"/>
      <c r="T84" s="2166"/>
      <c r="U84" s="2166"/>
      <c r="V84" s="2166"/>
      <c r="W84" s="2166"/>
      <c r="X84" s="2166"/>
      <c r="Y84" s="2166"/>
      <c r="Z84" s="2166"/>
      <c r="AA84" s="2166"/>
      <c r="AB84" s="2166"/>
      <c r="AC84" s="2166"/>
    </row>
    <row r="85" spans="1:29" s="1336" customFormat="1" ht="15.75" thickBot="1">
      <c r="A85" s="685"/>
      <c r="B85" s="676"/>
      <c r="C85" s="690"/>
      <c r="D85" s="669"/>
      <c r="E85" s="669"/>
      <c r="F85" s="669"/>
      <c r="G85" s="669"/>
      <c r="H85" s="669"/>
      <c r="I85" s="669"/>
      <c r="J85" s="669"/>
      <c r="K85" s="669"/>
      <c r="L85" s="669"/>
      <c r="M85" s="670"/>
      <c r="N85" s="2163"/>
      <c r="O85" s="2163"/>
      <c r="P85" s="2164"/>
      <c r="Q85" s="2165"/>
      <c r="R85" s="2166"/>
      <c r="S85" s="2166"/>
      <c r="T85" s="2166"/>
      <c r="U85" s="2166"/>
      <c r="V85" s="2166"/>
      <c r="W85" s="2166"/>
      <c r="X85" s="2166"/>
      <c r="Y85" s="2166"/>
      <c r="Z85" s="2166"/>
      <c r="AA85" s="2166"/>
      <c r="AB85" s="2166"/>
      <c r="AC85" s="2166"/>
    </row>
    <row r="86" spans="1:29" ht="15.75" thickTop="1">
      <c r="A86" s="667"/>
      <c r="B86" s="679">
        <f>B28</f>
        <v>111</v>
      </c>
      <c r="C86" s="659"/>
      <c r="D86" s="659"/>
      <c r="E86" s="659"/>
      <c r="F86" s="659"/>
      <c r="G86" s="720"/>
      <c r="H86" s="720"/>
      <c r="I86" s="720"/>
      <c r="J86" s="720"/>
      <c r="K86" s="721"/>
      <c r="L86" s="722"/>
      <c r="M86" s="723"/>
      <c r="N86" s="2160"/>
      <c r="O86" s="2160"/>
      <c r="P86" s="2161"/>
      <c r="Q86" s="2154"/>
      <c r="R86" s="2141"/>
      <c r="S86" s="2141"/>
      <c r="T86" s="2141"/>
      <c r="U86" s="2141"/>
      <c r="V86" s="2141"/>
      <c r="W86" s="2141"/>
      <c r="X86" s="2141"/>
      <c r="Y86" s="2141"/>
      <c r="Z86" s="2141"/>
      <c r="AA86" s="2141"/>
      <c r="AB86" s="2141"/>
      <c r="AC86" s="2141"/>
    </row>
    <row r="87" spans="1:29" ht="15.75" thickBot="1">
      <c r="A87" s="890"/>
      <c r="B87" s="697"/>
      <c r="C87" s="698"/>
      <c r="D87" s="698"/>
      <c r="E87" s="698"/>
      <c r="F87" s="698"/>
      <c r="G87" s="724"/>
      <c r="H87" s="724"/>
      <c r="I87" s="724"/>
      <c r="J87" s="724"/>
      <c r="K87" s="724"/>
      <c r="L87" s="724"/>
      <c r="M87" s="725"/>
      <c r="N87" s="2162"/>
      <c r="O87" s="2162"/>
      <c r="P87" s="2161"/>
      <c r="Q87" s="2154"/>
      <c r="R87" s="2141"/>
      <c r="S87" s="2141"/>
      <c r="T87" s="2141"/>
      <c r="U87" s="2141"/>
      <c r="V87" s="2141"/>
      <c r="W87" s="2141"/>
      <c r="X87" s="2141"/>
      <c r="Y87" s="2141"/>
      <c r="Z87" s="2141"/>
      <c r="AA87" s="2141"/>
      <c r="AB87" s="2141"/>
      <c r="AC87" s="2141"/>
    </row>
    <row r="88" spans="1:29">
      <c r="A88" s="662" t="s">
        <v>551</v>
      </c>
      <c r="B88" s="663" t="s">
        <v>747</v>
      </c>
      <c r="C88" s="596"/>
      <c r="D88" s="596"/>
      <c r="E88" s="596"/>
      <c r="F88" s="596"/>
      <c r="G88" s="596"/>
      <c r="H88" s="596"/>
      <c r="I88" s="596"/>
      <c r="J88" s="596"/>
      <c r="K88" s="664"/>
      <c r="L88" s="665"/>
      <c r="M88" s="666"/>
      <c r="N88" s="2160"/>
      <c r="O88" s="2160"/>
      <c r="P88" s="2161"/>
      <c r="Q88" s="2154"/>
      <c r="R88" s="2141"/>
      <c r="S88" s="2141"/>
      <c r="T88" s="2141"/>
      <c r="U88" s="2141"/>
      <c r="V88" s="2141"/>
      <c r="W88" s="2141"/>
      <c r="X88" s="2141"/>
      <c r="Y88" s="2141"/>
      <c r="Z88" s="2141"/>
      <c r="AA88" s="2141"/>
      <c r="AB88" s="2141"/>
      <c r="AC88" s="2141"/>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58"/>
      <c r="O90" s="2158"/>
      <c r="P90" s="2161"/>
      <c r="Q90" s="2154"/>
      <c r="R90" s="2141"/>
      <c r="S90" s="2141"/>
      <c r="T90" s="2141"/>
      <c r="U90" s="2141"/>
      <c r="V90" s="2141"/>
      <c r="W90" s="2141"/>
      <c r="X90" s="2141"/>
      <c r="Y90" s="2141"/>
      <c r="Z90" s="2141"/>
      <c r="AA90" s="2141"/>
      <c r="AB90" s="2141"/>
      <c r="AC90" s="2141"/>
    </row>
    <row r="91" spans="1:29" s="1336" customFormat="1">
      <c r="A91" s="726"/>
      <c r="B91" s="727"/>
      <c r="C91" s="728"/>
      <c r="D91" s="728"/>
      <c r="E91" s="728"/>
      <c r="F91" s="728"/>
      <c r="G91" s="728"/>
      <c r="H91" s="728"/>
      <c r="I91" s="728"/>
      <c r="J91" s="729"/>
      <c r="K91" s="729"/>
      <c r="L91" s="730"/>
      <c r="M91" s="731"/>
      <c r="N91" s="2163"/>
      <c r="O91" s="2163"/>
      <c r="P91" s="2164"/>
      <c r="Q91" s="2165"/>
      <c r="R91" s="2166"/>
      <c r="S91" s="2166"/>
      <c r="T91" s="2166"/>
      <c r="U91" s="2166"/>
      <c r="V91" s="2166"/>
      <c r="W91" s="2166"/>
      <c r="X91" s="2166"/>
      <c r="Y91" s="2166"/>
      <c r="Z91" s="2166"/>
      <c r="AA91" s="2166"/>
      <c r="AB91" s="2166"/>
      <c r="AC91" s="2166"/>
    </row>
    <row r="92" spans="1:29" s="1336" customFormat="1" ht="15.75" thickBot="1">
      <c r="A92" s="685"/>
      <c r="B92" s="676"/>
      <c r="C92" s="690"/>
      <c r="D92" s="669"/>
      <c r="E92" s="669"/>
      <c r="F92" s="669"/>
      <c r="G92" s="669"/>
      <c r="H92" s="669"/>
      <c r="I92" s="669"/>
      <c r="J92" s="669"/>
      <c r="K92" s="669"/>
      <c r="L92" s="669"/>
      <c r="M92" s="670"/>
      <c r="N92" s="2162"/>
      <c r="O92" s="2162"/>
      <c r="P92" s="2164"/>
      <c r="Q92" s="2165"/>
      <c r="R92" s="2166"/>
      <c r="S92" s="2166"/>
      <c r="T92" s="2166"/>
      <c r="U92" s="2166"/>
      <c r="V92" s="2166"/>
      <c r="W92" s="2166"/>
      <c r="X92" s="2166"/>
      <c r="Y92" s="2166"/>
      <c r="Z92" s="2166"/>
      <c r="AA92" s="2166"/>
      <c r="AB92" s="2166"/>
      <c r="AC92" s="2166"/>
    </row>
    <row r="93" spans="1:29" ht="15" thickTop="1">
      <c r="A93" s="733"/>
      <c r="B93" s="671" t="s">
        <v>749</v>
      </c>
      <c r="C93" s="686"/>
      <c r="D93" s="686"/>
      <c r="E93" s="716"/>
      <c r="F93" s="716"/>
      <c r="G93" s="716"/>
      <c r="H93" s="716"/>
      <c r="I93" s="716"/>
      <c r="J93" s="716"/>
      <c r="K93" s="717"/>
      <c r="L93" s="718"/>
      <c r="M93" s="719"/>
      <c r="N93" s="2160"/>
      <c r="O93" s="2160"/>
      <c r="P93" s="2161"/>
      <c r="Q93" s="2154"/>
      <c r="R93" s="2141"/>
      <c r="S93" s="2141"/>
      <c r="T93" s="2141"/>
      <c r="U93" s="2141"/>
      <c r="V93" s="2141"/>
      <c r="W93" s="2141"/>
      <c r="X93" s="2141"/>
      <c r="Y93" s="2141"/>
      <c r="Z93" s="2141"/>
      <c r="AA93" s="2141"/>
      <c r="AB93" s="2141"/>
      <c r="AC93" s="2141"/>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3"/>
      <c r="B95" s="671" t="s">
        <v>751</v>
      </c>
      <c r="C95" s="686"/>
      <c r="D95" s="686"/>
      <c r="E95" s="686"/>
      <c r="F95" s="716"/>
      <c r="G95" s="716"/>
      <c r="H95" s="716"/>
      <c r="I95" s="716"/>
      <c r="J95" s="716"/>
      <c r="K95" s="717"/>
      <c r="L95" s="718"/>
      <c r="M95" s="719"/>
      <c r="N95" s="2160"/>
      <c r="O95" s="2160"/>
      <c r="P95" s="2161"/>
      <c r="Q95" s="2154"/>
      <c r="R95" s="2141"/>
      <c r="S95" s="2141"/>
      <c r="T95" s="2141"/>
      <c r="U95" s="2141"/>
      <c r="V95" s="2141"/>
      <c r="W95" s="2141"/>
      <c r="X95" s="2141"/>
      <c r="Y95" s="2141"/>
      <c r="Z95" s="2141"/>
      <c r="AA95" s="2141"/>
      <c r="AB95" s="2141"/>
      <c r="AC95" s="2141"/>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0"/>
      <c r="O97" s="2160"/>
      <c r="P97" s="2161"/>
      <c r="Q97" s="2154"/>
      <c r="R97" s="2141"/>
      <c r="S97" s="2141"/>
      <c r="T97" s="2141"/>
      <c r="U97" s="2141"/>
      <c r="V97" s="2141"/>
      <c r="W97" s="2141"/>
      <c r="X97" s="2141"/>
      <c r="Y97" s="2141"/>
      <c r="Z97" s="2141"/>
      <c r="AA97" s="2141"/>
      <c r="AB97" s="2141"/>
      <c r="AC97" s="2141"/>
    </row>
    <row r="98" spans="1:29">
      <c r="A98" s="733"/>
      <c r="B98" s="679"/>
      <c r="C98" s="891">
        <v>0.5</v>
      </c>
      <c r="D98" s="891">
        <v>0.6</v>
      </c>
      <c r="E98" s="891">
        <v>0.7</v>
      </c>
      <c r="F98" s="891">
        <v>0.8</v>
      </c>
      <c r="G98" s="891">
        <v>0.9</v>
      </c>
      <c r="H98" s="891">
        <v>1.0001</v>
      </c>
      <c r="I98" s="902"/>
      <c r="J98" s="902"/>
      <c r="K98" s="903"/>
      <c r="L98" s="904"/>
      <c r="M98" s="905"/>
      <c r="N98" s="2160"/>
      <c r="O98" s="2160"/>
      <c r="P98" s="2161"/>
      <c r="Q98" s="2154"/>
      <c r="R98" s="2141"/>
      <c r="S98" s="2141"/>
      <c r="T98" s="2141"/>
      <c r="U98" s="2141"/>
      <c r="V98" s="2141"/>
      <c r="W98" s="2141"/>
      <c r="X98" s="2141"/>
      <c r="Y98" s="2141"/>
      <c r="Z98" s="2141"/>
      <c r="AA98" s="2141"/>
      <c r="AB98" s="2141"/>
      <c r="AC98" s="2141"/>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2"/>
      <c r="O99" s="2162"/>
      <c r="P99" s="2161"/>
      <c r="Q99" s="2154"/>
      <c r="R99" s="2141"/>
      <c r="S99" s="2141"/>
      <c r="T99" s="2141"/>
      <c r="U99" s="2141"/>
      <c r="V99" s="2141"/>
      <c r="W99" s="2141"/>
      <c r="X99" s="2141"/>
      <c r="Y99" s="2141"/>
      <c r="Z99" s="2141"/>
      <c r="AA99" s="2141"/>
      <c r="AB99" s="2141"/>
      <c r="AC99" s="2141"/>
    </row>
    <row r="100" spans="1:29" s="1336" customFormat="1" ht="15" thickTop="1">
      <c r="A100" s="726"/>
      <c r="B100" s="671" t="s">
        <v>753</v>
      </c>
      <c r="C100" s="686"/>
      <c r="D100" s="686"/>
      <c r="E100" s="686"/>
      <c r="F100" s="686"/>
      <c r="G100" s="686"/>
      <c r="H100" s="716"/>
      <c r="I100" s="716"/>
      <c r="J100" s="716"/>
      <c r="K100" s="717"/>
      <c r="L100" s="718"/>
      <c r="M100" s="719"/>
      <c r="N100" s="2163"/>
      <c r="O100" s="2163"/>
      <c r="P100" s="2164"/>
      <c r="Q100" s="2165"/>
      <c r="R100" s="2166"/>
      <c r="S100" s="2166"/>
      <c r="T100" s="2166"/>
      <c r="U100" s="2166"/>
      <c r="V100" s="2166"/>
      <c r="W100" s="2166"/>
      <c r="X100" s="2166"/>
      <c r="Y100" s="2166"/>
      <c r="Z100" s="2166"/>
      <c r="AA100" s="2166"/>
      <c r="AB100" s="2166"/>
      <c r="AC100" s="2166"/>
    </row>
    <row r="101" spans="1:29" s="1336"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3"/>
      <c r="B102" s="1892" t="s">
        <v>2556</v>
      </c>
      <c r="C102" s="686"/>
      <c r="D102" s="686"/>
      <c r="E102" s="686"/>
      <c r="F102" s="686"/>
      <c r="G102" s="686"/>
      <c r="H102" s="716"/>
      <c r="I102" s="716"/>
      <c r="J102" s="716"/>
      <c r="K102" s="717"/>
      <c r="L102" s="718"/>
      <c r="M102" s="719"/>
      <c r="N102" s="2160"/>
      <c r="O102" s="2160"/>
      <c r="P102" s="2161"/>
      <c r="Q102" s="2154"/>
      <c r="R102" s="2141"/>
      <c r="S102" s="2141"/>
      <c r="T102" s="2141"/>
      <c r="U102" s="2141"/>
      <c r="V102" s="2141"/>
      <c r="W102" s="2141"/>
      <c r="X102" s="2141"/>
      <c r="Y102" s="2141"/>
      <c r="Z102" s="2141"/>
      <c r="AA102" s="2141"/>
      <c r="AB102" s="2141"/>
      <c r="AC102" s="2141"/>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3"/>
      <c r="B104" s="671" t="s">
        <v>755</v>
      </c>
      <c r="C104" s="686"/>
      <c r="D104" s="686"/>
      <c r="E104" s="686"/>
      <c r="F104" s="686"/>
      <c r="G104" s="686"/>
      <c r="H104" s="716"/>
      <c r="I104" s="716"/>
      <c r="J104" s="716"/>
      <c r="K104" s="717"/>
      <c r="L104" s="718"/>
      <c r="M104" s="719"/>
      <c r="N104" s="2160"/>
      <c r="O104" s="2160"/>
      <c r="P104" s="2161"/>
      <c r="Q104" s="2154"/>
      <c r="R104" s="2141"/>
      <c r="S104" s="2141"/>
      <c r="T104" s="2141"/>
      <c r="U104" s="2141"/>
      <c r="V104" s="2141"/>
      <c r="W104" s="2141"/>
      <c r="X104" s="2141"/>
      <c r="Y104" s="2141"/>
      <c r="Z104" s="2141"/>
      <c r="AA104" s="2141"/>
      <c r="AB104" s="2141"/>
      <c r="AC104" s="2141"/>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2"/>
      <c r="O105" s="2162"/>
      <c r="P105" s="2161"/>
      <c r="Q105" s="2154"/>
      <c r="R105" s="2141"/>
      <c r="S105" s="2141"/>
      <c r="T105" s="2141"/>
      <c r="U105" s="2141"/>
      <c r="V105" s="2141"/>
      <c r="W105" s="2141"/>
      <c r="X105" s="2141"/>
      <c r="Y105" s="2141"/>
      <c r="Z105" s="2141"/>
      <c r="AA105" s="2141"/>
      <c r="AB105" s="2141"/>
      <c r="AC105" s="2141"/>
    </row>
    <row r="106" spans="1:29" ht="27.75" thickTop="1">
      <c r="A106" s="733"/>
      <c r="B106" s="914" t="s">
        <v>791</v>
      </c>
      <c r="C106" s="706" t="s">
        <v>579</v>
      </c>
      <c r="D106" s="706" t="s">
        <v>580</v>
      </c>
      <c r="E106" s="706" t="s">
        <v>581</v>
      </c>
      <c r="F106" s="706" t="s">
        <v>582</v>
      </c>
      <c r="G106" s="706" t="s">
        <v>583</v>
      </c>
      <c r="H106" s="672"/>
      <c r="I106" s="672"/>
      <c r="J106" s="672"/>
      <c r="K106" s="673"/>
      <c r="L106" s="674"/>
      <c r="M106" s="675"/>
      <c r="N106" s="2162"/>
      <c r="O106" s="2162"/>
      <c r="P106" s="2201"/>
      <c r="Q106" s="2202"/>
      <c r="R106" s="2141"/>
      <c r="S106" s="2141"/>
      <c r="T106" s="2141"/>
      <c r="U106" s="2141"/>
      <c r="V106" s="2141"/>
      <c r="W106" s="2141"/>
      <c r="X106" s="2141"/>
      <c r="Y106" s="2141"/>
      <c r="Z106" s="2141"/>
      <c r="AA106" s="2141"/>
      <c r="AB106" s="2141"/>
      <c r="AC106" s="2141"/>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2"/>
      <c r="O107" s="2162"/>
      <c r="P107" s="2161"/>
      <c r="Q107" s="2154"/>
      <c r="R107" s="2141"/>
      <c r="S107" s="2141"/>
      <c r="T107" s="2141"/>
      <c r="U107" s="2141"/>
      <c r="V107" s="2141"/>
      <c r="W107" s="2141"/>
      <c r="X107" s="2141"/>
      <c r="Y107" s="2141"/>
      <c r="Z107" s="2141"/>
      <c r="AA107" s="2141"/>
      <c r="AB107" s="2141"/>
      <c r="AC107" s="2141"/>
    </row>
    <row r="108" spans="1:29" s="1336" customFormat="1" ht="15" thickTop="1">
      <c r="A108" s="726"/>
      <c r="B108" s="671">
        <f>B38</f>
        <v>111</v>
      </c>
      <c r="C108" s="686"/>
      <c r="D108" s="686"/>
      <c r="E108" s="686"/>
      <c r="F108" s="686"/>
      <c r="G108" s="686"/>
      <c r="H108" s="687"/>
      <c r="I108" s="687"/>
      <c r="J108" s="687"/>
      <c r="K108" s="687"/>
      <c r="L108" s="688"/>
      <c r="M108" s="689"/>
      <c r="N108" s="2163"/>
      <c r="O108" s="2163"/>
      <c r="P108" s="2164"/>
      <c r="Q108" s="2165"/>
      <c r="R108" s="2166"/>
      <c r="S108" s="2166"/>
      <c r="T108" s="2166"/>
      <c r="U108" s="2166"/>
      <c r="V108" s="2166"/>
      <c r="W108" s="2166"/>
      <c r="X108" s="2166"/>
      <c r="Y108" s="2166"/>
      <c r="Z108" s="2166"/>
      <c r="AA108" s="2166"/>
      <c r="AB108" s="2166"/>
      <c r="AC108" s="2166"/>
    </row>
    <row r="109" spans="1:29" s="1336" customFormat="1" ht="15.75" thickBot="1">
      <c r="A109" s="685"/>
      <c r="B109" s="668"/>
      <c r="C109" s="690"/>
      <c r="D109" s="669"/>
      <c r="E109" s="669"/>
      <c r="F109" s="669"/>
      <c r="G109" s="690"/>
      <c r="H109" s="691"/>
      <c r="I109" s="691"/>
      <c r="J109" s="691"/>
      <c r="K109" s="691"/>
      <c r="L109" s="691"/>
      <c r="M109" s="692"/>
      <c r="N109" s="2163"/>
      <c r="O109" s="2163"/>
      <c r="P109" s="2164"/>
      <c r="Q109" s="2165"/>
      <c r="R109" s="2166"/>
      <c r="S109" s="2166"/>
      <c r="T109" s="2166"/>
      <c r="U109" s="2166"/>
      <c r="V109" s="2166"/>
      <c r="W109" s="2166"/>
      <c r="X109" s="2166"/>
      <c r="Y109" s="2166"/>
      <c r="Z109" s="2166"/>
      <c r="AA109" s="2166"/>
      <c r="AB109" s="2166"/>
      <c r="AC109" s="2166"/>
    </row>
    <row r="110" spans="1:29" ht="15" thickTop="1">
      <c r="A110" s="733"/>
      <c r="B110" s="671">
        <f>B39</f>
        <v>111</v>
      </c>
      <c r="C110" s="686"/>
      <c r="D110" s="686"/>
      <c r="E110" s="686"/>
      <c r="F110" s="686"/>
      <c r="G110" s="686"/>
      <c r="H110" s="687"/>
      <c r="I110" s="687"/>
      <c r="J110" s="687"/>
      <c r="K110" s="687"/>
      <c r="L110" s="688"/>
      <c r="M110" s="689"/>
      <c r="N110" s="2160"/>
      <c r="O110" s="2160"/>
      <c r="P110" s="2161"/>
      <c r="Q110" s="2154"/>
      <c r="R110" s="2141"/>
      <c r="S110" s="2141"/>
      <c r="T110" s="2141"/>
      <c r="U110" s="2141"/>
      <c r="V110" s="2141"/>
      <c r="W110" s="2141"/>
      <c r="X110" s="2141"/>
      <c r="Y110" s="2141"/>
      <c r="Z110" s="2141"/>
      <c r="AA110" s="2141"/>
      <c r="AB110" s="2141"/>
      <c r="AC110" s="2141"/>
    </row>
    <row r="111" spans="1:29" ht="15.75" thickBot="1">
      <c r="A111" s="667"/>
      <c r="B111" s="676"/>
      <c r="C111" s="690"/>
      <c r="D111" s="669"/>
      <c r="E111" s="669"/>
      <c r="F111" s="669"/>
      <c r="G111" s="690"/>
      <c r="H111" s="691"/>
      <c r="I111" s="691"/>
      <c r="J111" s="691"/>
      <c r="K111" s="691"/>
      <c r="L111" s="691"/>
      <c r="M111" s="692"/>
      <c r="N111" s="2162"/>
      <c r="O111" s="2162"/>
      <c r="P111" s="2161"/>
      <c r="Q111" s="2154"/>
      <c r="R111" s="2141"/>
      <c r="S111" s="2141"/>
      <c r="T111" s="2141"/>
      <c r="U111" s="2141"/>
      <c r="V111" s="2141"/>
      <c r="W111" s="2141"/>
      <c r="X111" s="2141"/>
      <c r="Y111" s="2141"/>
      <c r="Z111" s="2141"/>
      <c r="AA111" s="2141"/>
      <c r="AB111" s="2141"/>
      <c r="AC111" s="2141"/>
    </row>
    <row r="112" spans="1:29" ht="15" thickTop="1">
      <c r="A112" s="733"/>
      <c r="B112" s="679">
        <f>B40</f>
        <v>111</v>
      </c>
      <c r="C112" s="659"/>
      <c r="D112" s="659"/>
      <c r="E112" s="659"/>
      <c r="F112" s="659"/>
      <c r="G112" s="720"/>
      <c r="H112" s="720"/>
      <c r="I112" s="720"/>
      <c r="J112" s="720"/>
      <c r="K112" s="659"/>
      <c r="L112" s="660"/>
      <c r="M112" s="723"/>
      <c r="N112" s="2160"/>
      <c r="O112" s="2160"/>
      <c r="P112" s="2161"/>
      <c r="Q112" s="2154"/>
      <c r="R112" s="2141"/>
      <c r="S112" s="2141"/>
      <c r="T112" s="2141"/>
      <c r="U112" s="2141"/>
      <c r="V112" s="2141"/>
      <c r="W112" s="2141"/>
      <c r="X112" s="2141"/>
      <c r="Y112" s="2141"/>
      <c r="Z112" s="2141"/>
      <c r="AA112" s="2141"/>
      <c r="AB112" s="2141"/>
      <c r="AC112" s="2141"/>
    </row>
    <row r="113" spans="1:29" ht="15.75" thickBot="1">
      <c r="A113" s="890"/>
      <c r="B113" s="697"/>
      <c r="C113" s="698"/>
      <c r="D113" s="698"/>
      <c r="E113" s="698"/>
      <c r="F113" s="698"/>
      <c r="G113" s="724"/>
      <c r="H113" s="724"/>
      <c r="I113" s="724"/>
      <c r="J113" s="724"/>
      <c r="K113" s="724"/>
      <c r="L113" s="724"/>
      <c r="M113" s="725"/>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920"/>
      <c r="C1" s="502" t="s">
        <v>792</v>
      </c>
      <c r="D1" s="847"/>
      <c r="E1" s="504"/>
      <c r="F1" s="2803"/>
      <c r="G1" s="1596" t="s">
        <v>793</v>
      </c>
      <c r="H1" s="504"/>
      <c r="I1" s="504"/>
      <c r="J1" s="504"/>
      <c r="K1" s="505"/>
      <c r="L1" s="1557"/>
      <c r="M1" s="1558"/>
      <c r="N1" s="1558"/>
      <c r="O1" s="1558"/>
      <c r="P1" s="1559"/>
      <c r="Q1" s="1559"/>
      <c r="R1" s="1559"/>
      <c r="S1" s="1559"/>
      <c r="T1" s="1559"/>
      <c r="U1" s="1559"/>
      <c r="V1" s="1559"/>
      <c r="W1" s="1559"/>
      <c r="X1" s="1559"/>
      <c r="Y1" s="1559"/>
      <c r="Z1" s="1559"/>
      <c r="AA1" s="1559"/>
      <c r="AB1" s="1559"/>
      <c r="AC1" s="1560"/>
    </row>
    <row r="2" spans="1:29" s="1333" customFormat="1" ht="28.5" customHeight="1">
      <c r="A2" s="421" t="s">
        <v>794</v>
      </c>
      <c r="B2" s="848" t="e">
        <f>IF(B37="元/平方米",ROUND(B3*D3/10000,0),ROUND(F3*C39/10000,0))</f>
        <v>#DIV/0!</v>
      </c>
      <c r="C2" s="2123"/>
      <c r="D2" s="2123"/>
      <c r="E2" s="2124"/>
      <c r="F2" s="2125"/>
      <c r="G2" s="2124"/>
      <c r="H2" s="2124"/>
      <c r="I2" s="2124"/>
      <c r="J2" s="2124"/>
      <c r="K2" s="2126"/>
      <c r="L2" s="2127"/>
      <c r="M2" s="2128"/>
      <c r="N2" s="2128"/>
      <c r="O2" s="2128"/>
      <c r="P2" s="1559"/>
      <c r="Q2" s="1559"/>
      <c r="R2" s="1559"/>
      <c r="S2" s="1559"/>
      <c r="T2" s="1559"/>
      <c r="U2" s="1559"/>
      <c r="V2" s="1559"/>
      <c r="W2" s="1559"/>
      <c r="X2" s="1559"/>
      <c r="Y2" s="1559"/>
      <c r="Z2" s="1559"/>
      <c r="AA2" s="1559"/>
      <c r="AB2" s="1559"/>
      <c r="AC2" s="1560"/>
    </row>
    <row r="3" spans="1:29" s="1333" customFormat="1" ht="28.5" customHeight="1" thickBot="1">
      <c r="A3" s="507" t="s">
        <v>795</v>
      </c>
      <c r="B3" s="508" t="e">
        <f>IF(B37="元/平方米",C39,ROUND(B2*10000/D3,0))</f>
        <v>#DIV/0!</v>
      </c>
      <c r="C3" s="850" t="s">
        <v>796</v>
      </c>
      <c r="D3" s="849">
        <f>SUMIF('数据-汇总表'!$C19:$C33,D1,'数据-汇总表'!$E19:$E33)</f>
        <v>0</v>
      </c>
      <c r="E3" s="1844" t="s">
        <v>2076</v>
      </c>
      <c r="F3" s="849">
        <f>SUMIF('数据-取费表'!A5:A15,D1,'数据-取费表'!AH5:AH15)</f>
        <v>0</v>
      </c>
      <c r="G3" s="2124"/>
      <c r="H3" s="2124"/>
      <c r="I3" s="2124"/>
      <c r="J3" s="2124"/>
      <c r="K3" s="2126"/>
      <c r="L3" s="2127"/>
      <c r="M3" s="2128"/>
      <c r="N3" s="2128"/>
      <c r="O3" s="2128"/>
      <c r="P3" s="1559"/>
      <c r="Q3" s="1559"/>
      <c r="R3" s="1559"/>
      <c r="S3" s="1559"/>
      <c r="T3" s="1559"/>
      <c r="U3" s="1559"/>
      <c r="V3" s="1559"/>
      <c r="W3" s="1559"/>
      <c r="X3" s="1559"/>
      <c r="Y3" s="1559"/>
      <c r="Z3" s="1559"/>
      <c r="AA3" s="1559"/>
      <c r="AB3" s="1561"/>
      <c r="AC3" s="426"/>
    </row>
    <row r="4" spans="1:29" ht="15">
      <c r="A4" s="510" t="s">
        <v>797</v>
      </c>
      <c r="B4" s="511"/>
      <c r="C4" s="3685" t="s">
        <v>798</v>
      </c>
      <c r="D4" s="3686"/>
      <c r="E4" s="3685" t="s">
        <v>799</v>
      </c>
      <c r="F4" s="3686"/>
      <c r="G4" s="3685" t="s">
        <v>800</v>
      </c>
      <c r="H4" s="3686"/>
      <c r="I4" s="3685" t="s">
        <v>801</v>
      </c>
      <c r="J4" s="3686"/>
      <c r="K4" s="512" t="s">
        <v>802</v>
      </c>
      <c r="L4" s="2129"/>
      <c r="M4" s="2130"/>
      <c r="N4" s="2130"/>
      <c r="O4" s="2130"/>
      <c r="P4" s="3687" t="s">
        <v>803</v>
      </c>
      <c r="Q4" s="3688"/>
      <c r="R4" s="3673" t="s">
        <v>799</v>
      </c>
      <c r="S4" s="3674"/>
      <c r="T4" s="3673" t="s">
        <v>800</v>
      </c>
      <c r="U4" s="3674"/>
      <c r="V4" s="3693" t="s">
        <v>801</v>
      </c>
      <c r="W4" s="3693"/>
      <c r="X4" s="1562"/>
      <c r="Y4" s="3673" t="s">
        <v>803</v>
      </c>
      <c r="Z4" s="3674"/>
      <c r="AA4" s="3668" t="s">
        <v>799</v>
      </c>
      <c r="AB4" s="3669" t="s">
        <v>800</v>
      </c>
      <c r="AC4" s="3668" t="s">
        <v>801</v>
      </c>
    </row>
    <row r="5" spans="1:29" ht="15">
      <c r="A5" s="513"/>
      <c r="B5" s="514"/>
      <c r="C5" s="3696" t="s">
        <v>2928</v>
      </c>
      <c r="D5" s="3697"/>
      <c r="E5" s="3696" t="s">
        <v>2929</v>
      </c>
      <c r="F5" s="3697"/>
      <c r="G5" s="3696" t="s">
        <v>2930</v>
      </c>
      <c r="H5" s="3697"/>
      <c r="I5" s="3696" t="s">
        <v>2931</v>
      </c>
      <c r="J5" s="3697"/>
      <c r="K5" s="512"/>
      <c r="L5" s="2129"/>
      <c r="M5" s="2130"/>
      <c r="N5" s="2130"/>
      <c r="O5" s="2130"/>
      <c r="P5" s="3689"/>
      <c r="Q5" s="3690"/>
      <c r="R5" s="3675"/>
      <c r="S5" s="3676"/>
      <c r="T5" s="3675"/>
      <c r="U5" s="3676"/>
      <c r="V5" s="3693"/>
      <c r="W5" s="3693"/>
      <c r="X5" s="1562"/>
      <c r="Y5" s="3675"/>
      <c r="Z5" s="3676"/>
      <c r="AA5" s="3669"/>
      <c r="AB5" s="3669"/>
      <c r="AC5" s="3669"/>
    </row>
    <row r="6" spans="1:29" ht="15.75" thickBot="1">
      <c r="A6" s="515"/>
      <c r="B6" s="516"/>
      <c r="C6" s="3694" t="s">
        <v>2932</v>
      </c>
      <c r="D6" s="3695"/>
      <c r="E6" s="3698" t="s">
        <v>2932</v>
      </c>
      <c r="F6" s="3699"/>
      <c r="G6" s="3694" t="s">
        <v>2932</v>
      </c>
      <c r="H6" s="3695"/>
      <c r="I6" s="3694" t="s">
        <v>2932</v>
      </c>
      <c r="J6" s="3695"/>
      <c r="K6" s="512" t="s">
        <v>528</v>
      </c>
      <c r="L6" s="2129"/>
      <c r="M6" s="2130"/>
      <c r="N6" s="2130"/>
      <c r="O6" s="2130"/>
      <c r="P6" s="3691"/>
      <c r="Q6" s="3692"/>
      <c r="R6" s="3675"/>
      <c r="S6" s="3676"/>
      <c r="T6" s="3677"/>
      <c r="U6" s="3678"/>
      <c r="V6" s="3693"/>
      <c r="W6" s="3693"/>
      <c r="X6" s="1562"/>
      <c r="Y6" s="3677"/>
      <c r="Z6" s="3678"/>
      <c r="AA6" s="3670"/>
      <c r="AB6" s="3670"/>
      <c r="AC6" s="3670"/>
    </row>
    <row r="7" spans="1:29" s="1217" customFormat="1" ht="15.75" thickBot="1">
      <c r="A7" s="2908"/>
      <c r="B7" s="2915" t="s">
        <v>529</v>
      </c>
      <c r="C7" s="517">
        <f>'数据-取费表'!B2</f>
        <v>43346</v>
      </c>
      <c r="D7" s="518">
        <v>100</v>
      </c>
      <c r="E7" s="519"/>
      <c r="F7" s="520">
        <f>SUMIF(48:48,YEAR(E7)&amp;"-"&amp;MONTH(E7),49:49)</f>
        <v>0</v>
      </c>
      <c r="G7" s="521"/>
      <c r="H7" s="518">
        <f>SUMIF(48:48,YEAR(G7)&amp;"-"&amp;MONTH(G7),49:49)</f>
        <v>0</v>
      </c>
      <c r="I7" s="521"/>
      <c r="J7" s="518">
        <f>SUMIF(48:48,YEAR(I7)&amp;"-"&amp;MONTH(I7),49:49)</f>
        <v>0</v>
      </c>
      <c r="K7" s="522"/>
      <c r="L7" s="2131"/>
      <c r="M7" s="2132"/>
      <c r="N7" s="2132"/>
      <c r="O7" s="2132"/>
      <c r="P7" s="3671" t="s">
        <v>530</v>
      </c>
      <c r="Q7" s="3680"/>
      <c r="R7" s="1563" t="s">
        <v>8</v>
      </c>
      <c r="S7" s="1564">
        <f t="shared" ref="S7:S14" si="0">F7</f>
        <v>0</v>
      </c>
      <c r="T7" s="1563" t="s">
        <v>8</v>
      </c>
      <c r="U7" s="1564">
        <f t="shared" ref="U7:U14" si="1">H7</f>
        <v>0</v>
      </c>
      <c r="V7" s="1563" t="s">
        <v>8</v>
      </c>
      <c r="W7" s="1564">
        <f t="shared" ref="W7:W14" si="2">J7</f>
        <v>0</v>
      </c>
      <c r="X7" s="1565"/>
      <c r="Y7" s="3671" t="s">
        <v>530</v>
      </c>
      <c r="Z7" s="3672"/>
      <c r="AA7" s="1566" t="e">
        <f>D7/F7</f>
        <v>#DIV/0!</v>
      </c>
      <c r="AB7" s="1566" t="e">
        <f>D7/H7</f>
        <v>#DIV/0!</v>
      </c>
      <c r="AC7" s="1566" t="e">
        <f>D7/J7</f>
        <v>#DIV/0!</v>
      </c>
    </row>
    <row r="8" spans="1:29" s="1217" customFormat="1" ht="15.75" thickBot="1">
      <c r="A8" s="2909"/>
      <c r="B8" s="2916" t="s">
        <v>531</v>
      </c>
      <c r="C8" s="523" t="s">
        <v>576</v>
      </c>
      <c r="D8" s="518">
        <v>100</v>
      </c>
      <c r="E8" s="523"/>
      <c r="F8" s="520">
        <f>SUMIF(51:51,E8,52:52)-SUMIF(51:51,C8,52:52)+100</f>
        <v>0</v>
      </c>
      <c r="G8" s="523"/>
      <c r="H8" s="518">
        <f>SUMIF(51:51,G8,52:52)-SUMIF(51:51,C8,52:52)+100</f>
        <v>0</v>
      </c>
      <c r="I8" s="523"/>
      <c r="J8" s="518">
        <f>SUMIF(51:51,I8,52:52)-SUMIF(51:51,C8,52:52)+100</f>
        <v>0</v>
      </c>
      <c r="K8" s="522"/>
      <c r="L8" s="2131"/>
      <c r="M8" s="2132"/>
      <c r="N8" s="2132"/>
      <c r="O8" s="2132"/>
      <c r="P8" s="3671" t="s">
        <v>533</v>
      </c>
      <c r="Q8" s="3672"/>
      <c r="R8" s="1563" t="s">
        <v>8</v>
      </c>
      <c r="S8" s="1564">
        <f t="shared" si="0"/>
        <v>0</v>
      </c>
      <c r="T8" s="1563" t="s">
        <v>8</v>
      </c>
      <c r="U8" s="1564">
        <f t="shared" si="1"/>
        <v>0</v>
      </c>
      <c r="V8" s="1563" t="s">
        <v>8</v>
      </c>
      <c r="W8" s="1564">
        <f t="shared" si="2"/>
        <v>0</v>
      </c>
      <c r="X8" s="1565"/>
      <c r="Y8" s="3671" t="s">
        <v>533</v>
      </c>
      <c r="Z8" s="3672"/>
      <c r="AA8" s="1566" t="e">
        <f t="shared" ref="AA8:AA36" si="3">D8/F8</f>
        <v>#DIV/0!</v>
      </c>
      <c r="AB8" s="1566" t="e">
        <f t="shared" ref="AB8:AB36" si="4">D8/H8</f>
        <v>#DIV/0!</v>
      </c>
      <c r="AC8" s="1566" t="e">
        <f t="shared" ref="AC8:AC36" si="5">D8/J8</f>
        <v>#DIV/0!</v>
      </c>
    </row>
    <row r="9" spans="1:29" s="1217" customFormat="1" ht="15">
      <c r="A9" s="2910"/>
      <c r="B9" s="2917" t="s">
        <v>2755</v>
      </c>
      <c r="C9" s="855"/>
      <c r="D9" s="252">
        <v>100</v>
      </c>
      <c r="E9" s="858"/>
      <c r="F9" s="252">
        <f>SUMIF(53:53,E9,54:54)-SUMIF(53:53,C9,54:54)+100</f>
        <v>100</v>
      </c>
      <c r="G9" s="856"/>
      <c r="H9" s="252">
        <f>SUMIF(53:53,G9,54:54)-SUMIF(53:53,C9,54:54)+100</f>
        <v>100</v>
      </c>
      <c r="I9" s="856"/>
      <c r="J9" s="252">
        <f>SUMIF(53:53,I9,54:54)-SUMIF(53:53,C9,54:54)+100</f>
        <v>100</v>
      </c>
      <c r="K9" s="522"/>
      <c r="L9" s="2131"/>
      <c r="M9" s="2132"/>
      <c r="N9" s="2132"/>
      <c r="O9" s="2133"/>
      <c r="P9" s="3679" t="s">
        <v>535</v>
      </c>
      <c r="Q9" s="1148" t="str">
        <f t="shared" ref="Q9:Q14" si="6">B9</f>
        <v>用途</v>
      </c>
      <c r="R9" s="1563" t="s">
        <v>8</v>
      </c>
      <c r="S9" s="1564">
        <f t="shared" si="0"/>
        <v>100</v>
      </c>
      <c r="T9" s="1563" t="s">
        <v>8</v>
      </c>
      <c r="U9" s="1564">
        <f t="shared" si="1"/>
        <v>100</v>
      </c>
      <c r="V9" s="1563" t="s">
        <v>8</v>
      </c>
      <c r="W9" s="1564">
        <f t="shared" si="2"/>
        <v>100</v>
      </c>
      <c r="X9" s="1565"/>
      <c r="Y9" s="3636" t="s">
        <v>536</v>
      </c>
      <c r="Z9" s="1147" t="str">
        <f t="shared" ref="Z9:Z14" si="7">Q9</f>
        <v>用途</v>
      </c>
      <c r="AA9" s="1566">
        <f t="shared" si="3"/>
        <v>1</v>
      </c>
      <c r="AB9" s="1566">
        <f t="shared" si="4"/>
        <v>1</v>
      </c>
      <c r="AC9" s="1566">
        <f t="shared" si="5"/>
        <v>1</v>
      </c>
    </row>
    <row r="10" spans="1:29" s="1335" customFormat="1" ht="27">
      <c r="A10" s="2911"/>
      <c r="B10" s="2916" t="s">
        <v>2756</v>
      </c>
      <c r="C10" s="859"/>
      <c r="D10" s="253">
        <v>100</v>
      </c>
      <c r="E10" s="859"/>
      <c r="F10" s="253">
        <f>SUMIF(55:55,E10,56:56)-SUMIF(55:55,C10,56:56)+100</f>
        <v>100</v>
      </c>
      <c r="G10" s="860"/>
      <c r="H10" s="253">
        <f>SUMIF(55:55,G10,56:56)-SUMIF(55:55,C10,56:56)+100</f>
        <v>100</v>
      </c>
      <c r="I10" s="859"/>
      <c r="J10" s="253">
        <f>SUMIF(55:55,I10,56:56)-SUMIF(55:55,C10,56:56)+100</f>
        <v>100</v>
      </c>
      <c r="K10" s="582"/>
      <c r="L10" s="2134"/>
      <c r="M10" s="2174"/>
      <c r="N10" s="2174"/>
      <c r="O10" s="2135"/>
      <c r="P10" s="3679"/>
      <c r="Q10" s="1148" t="str">
        <f t="shared" si="6"/>
        <v>土地使用年限（年）</v>
      </c>
      <c r="R10" s="1563" t="s">
        <v>8</v>
      </c>
      <c r="S10" s="1564">
        <f t="shared" si="0"/>
        <v>100</v>
      </c>
      <c r="T10" s="1563" t="s">
        <v>8</v>
      </c>
      <c r="U10" s="1564">
        <f t="shared" si="1"/>
        <v>100</v>
      </c>
      <c r="V10" s="1563" t="s">
        <v>8</v>
      </c>
      <c r="W10" s="1564">
        <f t="shared" si="2"/>
        <v>100</v>
      </c>
      <c r="X10" s="1565"/>
      <c r="Y10" s="3636"/>
      <c r="Z10" s="1147" t="str">
        <f t="shared" si="7"/>
        <v>土地使用年限（年）</v>
      </c>
      <c r="AA10" s="1566">
        <f t="shared" si="3"/>
        <v>1</v>
      </c>
      <c r="AB10" s="1566">
        <f t="shared" si="4"/>
        <v>1</v>
      </c>
      <c r="AC10" s="1566">
        <f t="shared" si="5"/>
        <v>1</v>
      </c>
    </row>
    <row r="11" spans="1:29" ht="15">
      <c r="A11" s="2913"/>
      <c r="B11" s="2919">
        <v>111</v>
      </c>
      <c r="C11" s="526"/>
      <c r="D11" s="253">
        <v>100</v>
      </c>
      <c r="E11" s="526"/>
      <c r="F11" s="253">
        <f>SUMIF(57:57,E11,58:58)-SUMIF(57:57,C11,58:58)+100</f>
        <v>100</v>
      </c>
      <c r="G11" s="526"/>
      <c r="H11" s="253">
        <f>SUMIF(57:57,G11,58:58)-SUMIF(57:57,C11,58:58)+100</f>
        <v>100</v>
      </c>
      <c r="I11" s="526"/>
      <c r="J11" s="253">
        <f>SUMIF(57:57,I11,58:58)-SUMIF(57:57,C11,58:58)+100</f>
        <v>100</v>
      </c>
      <c r="K11" s="579"/>
      <c r="L11" s="2136"/>
      <c r="M11" s="2130"/>
      <c r="N11" s="2130"/>
      <c r="O11" s="2137"/>
      <c r="P11" s="3679"/>
      <c r="Q11" s="1148">
        <f t="shared" si="6"/>
        <v>111</v>
      </c>
      <c r="R11" s="1563" t="s">
        <v>8</v>
      </c>
      <c r="S11" s="1564">
        <f t="shared" si="0"/>
        <v>100</v>
      </c>
      <c r="T11" s="1563" t="s">
        <v>8</v>
      </c>
      <c r="U11" s="1564">
        <f t="shared" si="1"/>
        <v>100</v>
      </c>
      <c r="V11" s="1563" t="s">
        <v>8</v>
      </c>
      <c r="W11" s="1564">
        <f t="shared" si="2"/>
        <v>100</v>
      </c>
      <c r="X11" s="1565"/>
      <c r="Y11" s="3636"/>
      <c r="Z11" s="1147">
        <f t="shared" si="7"/>
        <v>111</v>
      </c>
      <c r="AA11" s="1566">
        <f t="shared" si="3"/>
        <v>1</v>
      </c>
      <c r="AB11" s="1566">
        <f t="shared" si="4"/>
        <v>1</v>
      </c>
      <c r="AC11" s="1566">
        <f t="shared" si="5"/>
        <v>1</v>
      </c>
    </row>
    <row r="12" spans="1:29" s="1217" customFormat="1" ht="15">
      <c r="A12" s="2913"/>
      <c r="B12" s="2919">
        <v>111</v>
      </c>
      <c r="C12" s="526"/>
      <c r="D12" s="536">
        <v>100</v>
      </c>
      <c r="E12" s="526"/>
      <c r="F12" s="253">
        <f>SUMIF(59:59,E12,60:60)-SUMIF(59:59,C12,60:60)+100</f>
        <v>100</v>
      </c>
      <c r="G12" s="526"/>
      <c r="H12" s="253">
        <f>SUMIF(59:59,G12,60:60)-SUMIF(59:59,C12,60:60)+100</f>
        <v>100</v>
      </c>
      <c r="I12" s="526"/>
      <c r="J12" s="253">
        <f>SUMIF(59:59,I12,60:60)-SUMIF(59:59,C12,60:60)+100</f>
        <v>100</v>
      </c>
      <c r="K12" s="579"/>
      <c r="L12" s="2131"/>
      <c r="M12" s="2132"/>
      <c r="N12" s="2132"/>
      <c r="O12" s="2133"/>
      <c r="P12" s="3679"/>
      <c r="Q12" s="1148">
        <f t="shared" si="6"/>
        <v>111</v>
      </c>
      <c r="R12" s="1563" t="s">
        <v>8</v>
      </c>
      <c r="S12" s="1564">
        <f t="shared" si="0"/>
        <v>100</v>
      </c>
      <c r="T12" s="1563" t="s">
        <v>8</v>
      </c>
      <c r="U12" s="1564">
        <f t="shared" si="1"/>
        <v>100</v>
      </c>
      <c r="V12" s="1563" t="s">
        <v>8</v>
      </c>
      <c r="W12" s="1564">
        <f t="shared" si="2"/>
        <v>100</v>
      </c>
      <c r="X12" s="1565"/>
      <c r="Y12" s="3636"/>
      <c r="Z12" s="1147">
        <f t="shared" si="7"/>
        <v>111</v>
      </c>
      <c r="AA12" s="1566">
        <f>D12/F12</f>
        <v>1</v>
      </c>
      <c r="AB12" s="1566">
        <f>D12/H12</f>
        <v>1</v>
      </c>
      <c r="AC12" s="1566">
        <f>D12/J12</f>
        <v>1</v>
      </c>
    </row>
    <row r="13" spans="1:29" ht="15.75" thickBot="1">
      <c r="A13" s="2914"/>
      <c r="B13" s="2920">
        <v>111</v>
      </c>
      <c r="C13" s="537"/>
      <c r="D13" s="538">
        <v>100</v>
      </c>
      <c r="E13" s="526"/>
      <c r="F13" s="253">
        <f>SUMIF(61:61,E13,62:62)-SUMIF(61:61,C13,62:62)+100</f>
        <v>100</v>
      </c>
      <c r="G13" s="526"/>
      <c r="H13" s="538">
        <f>SUMIF(61:61,G13,62:62)-SUMIF(61:61,C13,62:62)+100</f>
        <v>100</v>
      </c>
      <c r="I13" s="526"/>
      <c r="J13" s="538">
        <f>SUMIF(61:61,I13,62:62)-SUMIF(61:61,C13,62:62)+100</f>
        <v>100</v>
      </c>
      <c r="K13" s="579"/>
      <c r="L13" s="2138"/>
      <c r="M13" s="2130"/>
      <c r="N13" s="2130"/>
      <c r="O13" s="2137"/>
      <c r="P13" s="3679"/>
      <c r="Q13" s="1148">
        <f t="shared" si="6"/>
        <v>111</v>
      </c>
      <c r="R13" s="1563" t="s">
        <v>8</v>
      </c>
      <c r="S13" s="1564">
        <f t="shared" si="0"/>
        <v>100</v>
      </c>
      <c r="T13" s="1563" t="s">
        <v>8</v>
      </c>
      <c r="U13" s="1564">
        <f t="shared" si="1"/>
        <v>100</v>
      </c>
      <c r="V13" s="1563" t="s">
        <v>8</v>
      </c>
      <c r="W13" s="1564">
        <f t="shared" si="2"/>
        <v>100</v>
      </c>
      <c r="X13" s="1565"/>
      <c r="Y13" s="3636"/>
      <c r="Z13" s="1147">
        <f t="shared" si="7"/>
        <v>111</v>
      </c>
      <c r="AA13" s="1566">
        <f t="shared" si="3"/>
        <v>1</v>
      </c>
      <c r="AB13" s="1566">
        <f t="shared" si="4"/>
        <v>1</v>
      </c>
      <c r="AC13" s="1566">
        <f t="shared" si="5"/>
        <v>1</v>
      </c>
    </row>
    <row r="14" spans="1:29" ht="85.5">
      <c r="A14" s="2906" t="s">
        <v>2753</v>
      </c>
      <c r="B14" s="545" t="s">
        <v>543</v>
      </c>
      <c r="C14" s="918"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5"/>
      <c r="L14" s="2138"/>
      <c r="M14" s="2130"/>
      <c r="N14" s="2130"/>
      <c r="O14" s="2137"/>
      <c r="P14" s="3681" t="s">
        <v>540</v>
      </c>
      <c r="Q14" s="1567" t="str">
        <f t="shared" si="6"/>
        <v>交通便捷度</v>
      </c>
      <c r="R14" s="1568" t="s">
        <v>8</v>
      </c>
      <c r="S14" s="1569">
        <f t="shared" si="0"/>
        <v>100</v>
      </c>
      <c r="T14" s="1568" t="s">
        <v>8</v>
      </c>
      <c r="U14" s="1569">
        <f t="shared" si="1"/>
        <v>100</v>
      </c>
      <c r="V14" s="1568" t="s">
        <v>8</v>
      </c>
      <c r="W14" s="1569">
        <f t="shared" si="2"/>
        <v>100</v>
      </c>
      <c r="X14" s="1562"/>
      <c r="Y14" s="3681" t="s">
        <v>540</v>
      </c>
      <c r="Z14" s="1570" t="str">
        <f t="shared" si="7"/>
        <v>交通便捷度</v>
      </c>
      <c r="AA14" s="1571">
        <f t="shared" si="3"/>
        <v>1</v>
      </c>
      <c r="AB14" s="1571">
        <f t="shared" si="4"/>
        <v>1</v>
      </c>
      <c r="AC14" s="1571">
        <f t="shared" si="5"/>
        <v>1</v>
      </c>
    </row>
    <row r="15" spans="1:29" ht="15">
      <c r="A15" s="513"/>
      <c r="B15" s="921"/>
      <c r="C15" s="574"/>
      <c r="D15" s="553"/>
      <c r="E15" s="574"/>
      <c r="F15" s="555"/>
      <c r="G15" s="574"/>
      <c r="H15" s="557"/>
      <c r="I15" s="574"/>
      <c r="J15" s="553"/>
      <c r="K15" s="896"/>
      <c r="L15" s="2138"/>
      <c r="M15" s="2130"/>
      <c r="N15" s="2130"/>
      <c r="O15" s="2137"/>
      <c r="P15" s="3682"/>
      <c r="Q15" s="1567"/>
      <c r="R15" s="1568"/>
      <c r="S15" s="1569"/>
      <c r="T15" s="1568"/>
      <c r="U15" s="1569"/>
      <c r="V15" s="1568"/>
      <c r="W15" s="1569"/>
      <c r="X15" s="1562"/>
      <c r="Y15" s="3682"/>
      <c r="Z15" s="1570"/>
      <c r="AA15" s="1571">
        <v>1</v>
      </c>
      <c r="AB15" s="1571">
        <v>1</v>
      </c>
      <c r="AC15" s="1571">
        <v>1</v>
      </c>
    </row>
    <row r="16" spans="1:29" ht="42.75">
      <c r="A16" s="513"/>
      <c r="B16" s="2599" t="s">
        <v>2546</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5"/>
      <c r="L16" s="2138"/>
      <c r="M16" s="2130"/>
      <c r="N16" s="2130"/>
      <c r="O16" s="2137"/>
      <c r="P16" s="3682"/>
      <c r="Q16" s="1567" t="str">
        <f>B16</f>
        <v>公共配套设施</v>
      </c>
      <c r="R16" s="1568" t="s">
        <v>8</v>
      </c>
      <c r="S16" s="1569">
        <f>F16</f>
        <v>100</v>
      </c>
      <c r="T16" s="1568" t="s">
        <v>8</v>
      </c>
      <c r="U16" s="1569">
        <f>H16</f>
        <v>100</v>
      </c>
      <c r="V16" s="1568" t="s">
        <v>8</v>
      </c>
      <c r="W16" s="1569">
        <f>J16</f>
        <v>100</v>
      </c>
      <c r="X16" s="1562"/>
      <c r="Y16" s="3682"/>
      <c r="Z16" s="1570" t="str">
        <f>Q16</f>
        <v>公共配套设施</v>
      </c>
      <c r="AA16" s="1571">
        <f t="shared" si="3"/>
        <v>1</v>
      </c>
      <c r="AB16" s="1571">
        <f t="shared" si="4"/>
        <v>1</v>
      </c>
      <c r="AC16" s="1571">
        <f t="shared" si="5"/>
        <v>1</v>
      </c>
    </row>
    <row r="17" spans="1:29" ht="15">
      <c r="A17" s="513"/>
      <c r="B17" s="564"/>
      <c r="C17" s="871"/>
      <c r="D17" s="553"/>
      <c r="E17" s="574"/>
      <c r="F17" s="555"/>
      <c r="G17" s="574"/>
      <c r="H17" s="553"/>
      <c r="I17" s="574"/>
      <c r="J17" s="553"/>
      <c r="K17" s="896"/>
      <c r="L17" s="2138"/>
      <c r="M17" s="2130"/>
      <c r="N17" s="2130"/>
      <c r="O17" s="2137"/>
      <c r="P17" s="3682"/>
      <c r="Q17" s="1567"/>
      <c r="R17" s="1568"/>
      <c r="S17" s="1569"/>
      <c r="T17" s="1568"/>
      <c r="U17" s="1569"/>
      <c r="V17" s="1568"/>
      <c r="W17" s="1569"/>
      <c r="X17" s="1562"/>
      <c r="Y17" s="3682"/>
      <c r="Z17" s="1570"/>
      <c r="AA17" s="1571">
        <v>1</v>
      </c>
      <c r="AB17" s="1571">
        <v>1</v>
      </c>
      <c r="AC17" s="1571">
        <v>1</v>
      </c>
    </row>
    <row r="18" spans="1:29" ht="28.5">
      <c r="A18" s="513"/>
      <c r="B18" s="2587" t="s">
        <v>2558</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5"/>
      <c r="L18" s="2138"/>
      <c r="M18" s="2130"/>
      <c r="N18" s="2130"/>
      <c r="O18" s="2137"/>
      <c r="P18" s="3682"/>
      <c r="Q18" s="2575" t="str">
        <f>B18</f>
        <v>基础设施水平</v>
      </c>
      <c r="R18" s="1568" t="s">
        <v>8</v>
      </c>
      <c r="S18" s="1569">
        <f>F18</f>
        <v>100</v>
      </c>
      <c r="T18" s="1568" t="s">
        <v>8</v>
      </c>
      <c r="U18" s="1569">
        <f>H18</f>
        <v>100</v>
      </c>
      <c r="V18" s="1568" t="s">
        <v>8</v>
      </c>
      <c r="W18" s="1569">
        <f>J18</f>
        <v>100</v>
      </c>
      <c r="X18" s="2577"/>
      <c r="Y18" s="3682"/>
      <c r="Z18" s="2576" t="str">
        <f>Q18</f>
        <v>基础设施水平</v>
      </c>
      <c r="AA18" s="1571">
        <f t="shared" ref="AA18" si="8">D18/F18</f>
        <v>1</v>
      </c>
      <c r="AB18" s="1571">
        <f t="shared" ref="AB18" si="9">D18/H18</f>
        <v>1</v>
      </c>
      <c r="AC18" s="1571">
        <f t="shared" ref="AC18" si="10">D18/J18</f>
        <v>1</v>
      </c>
    </row>
    <row r="19" spans="1:29" ht="15">
      <c r="A19" s="513"/>
      <c r="B19" s="576"/>
      <c r="C19" s="871"/>
      <c r="D19" s="557"/>
      <c r="E19" s="574"/>
      <c r="F19" s="555"/>
      <c r="G19" s="574"/>
      <c r="H19" s="553"/>
      <c r="I19" s="574"/>
      <c r="J19" s="553"/>
      <c r="K19" s="2598"/>
      <c r="L19" s="2138"/>
      <c r="M19" s="2130"/>
      <c r="N19" s="2130"/>
      <c r="O19" s="2137"/>
      <c r="P19" s="3682"/>
      <c r="Q19" s="2575"/>
      <c r="R19" s="1568"/>
      <c r="S19" s="1569"/>
      <c r="T19" s="1568"/>
      <c r="U19" s="1569"/>
      <c r="V19" s="1568"/>
      <c r="W19" s="1569"/>
      <c r="X19" s="2577"/>
      <c r="Y19" s="3682"/>
      <c r="Z19" s="2576"/>
      <c r="AA19" s="1571">
        <v>1</v>
      </c>
      <c r="AB19" s="1571">
        <v>1</v>
      </c>
      <c r="AC19" s="1571">
        <v>1</v>
      </c>
    </row>
    <row r="20" spans="1:29" ht="57">
      <c r="A20" s="513"/>
      <c r="B20" s="558" t="s">
        <v>804</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5"/>
      <c r="L20" s="2138"/>
      <c r="M20" s="2130"/>
      <c r="N20" s="2130"/>
      <c r="O20" s="2137"/>
      <c r="P20" s="3682"/>
      <c r="Q20" s="1567" t="str">
        <f>B20</f>
        <v>自然及人文环境</v>
      </c>
      <c r="R20" s="1568" t="s">
        <v>8</v>
      </c>
      <c r="S20" s="1569">
        <f>F20</f>
        <v>100</v>
      </c>
      <c r="T20" s="1568" t="s">
        <v>8</v>
      </c>
      <c r="U20" s="1569">
        <f>H20</f>
        <v>100</v>
      </c>
      <c r="V20" s="1568" t="s">
        <v>8</v>
      </c>
      <c r="W20" s="1569">
        <f>J20</f>
        <v>100</v>
      </c>
      <c r="X20" s="1562"/>
      <c r="Y20" s="3682"/>
      <c r="Z20" s="1570" t="str">
        <f>Q20</f>
        <v>自然及人文环境</v>
      </c>
      <c r="AA20" s="1571">
        <f t="shared" si="3"/>
        <v>1</v>
      </c>
      <c r="AB20" s="1571">
        <f t="shared" si="4"/>
        <v>1</v>
      </c>
      <c r="AC20" s="1571">
        <f t="shared" si="5"/>
        <v>1</v>
      </c>
    </row>
    <row r="21" spans="1:29" ht="15">
      <c r="A21" s="513"/>
      <c r="B21" s="564"/>
      <c r="C21" s="574"/>
      <c r="D21" s="553"/>
      <c r="E21" s="574"/>
      <c r="F21" s="555"/>
      <c r="G21" s="574"/>
      <c r="H21" s="553"/>
      <c r="I21" s="574"/>
      <c r="J21" s="553"/>
      <c r="K21" s="896"/>
      <c r="L21" s="2138"/>
      <c r="M21" s="2130"/>
      <c r="N21" s="2130"/>
      <c r="O21" s="2137"/>
      <c r="P21" s="3682"/>
      <c r="Q21" s="1567"/>
      <c r="R21" s="1568"/>
      <c r="S21" s="1569"/>
      <c r="T21" s="1568"/>
      <c r="U21" s="1569"/>
      <c r="V21" s="1568"/>
      <c r="W21" s="1569"/>
      <c r="X21" s="1562"/>
      <c r="Y21" s="3682"/>
      <c r="Z21" s="1570"/>
      <c r="AA21" s="1571">
        <v>1</v>
      </c>
      <c r="AB21" s="1571">
        <v>1</v>
      </c>
      <c r="AC21" s="1571">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38"/>
      <c r="M22" s="2130"/>
      <c r="N22" s="2130"/>
      <c r="O22" s="2137"/>
      <c r="P22" s="3682"/>
      <c r="Q22" s="1567" t="str">
        <f>B22</f>
        <v>楼层</v>
      </c>
      <c r="R22" s="1568" t="s">
        <v>8</v>
      </c>
      <c r="S22" s="1569">
        <f>F22</f>
        <v>100</v>
      </c>
      <c r="T22" s="1568" t="s">
        <v>8</v>
      </c>
      <c r="U22" s="1569">
        <f>H22</f>
        <v>100</v>
      </c>
      <c r="V22" s="1568" t="s">
        <v>8</v>
      </c>
      <c r="W22" s="1569">
        <f>J22</f>
        <v>100</v>
      </c>
      <c r="X22" s="1562"/>
      <c r="Y22" s="3682"/>
      <c r="Z22" s="1570" t="str">
        <f>Q22</f>
        <v>楼层</v>
      </c>
      <c r="AA22" s="1571">
        <f t="shared" si="3"/>
        <v>1</v>
      </c>
      <c r="AB22" s="1571">
        <f t="shared" si="4"/>
        <v>1</v>
      </c>
      <c r="AC22" s="1571">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38"/>
      <c r="M23" s="2130"/>
      <c r="N23" s="2130"/>
      <c r="O23" s="2137"/>
      <c r="P23" s="3682"/>
      <c r="Q23" s="1567">
        <f>B23</f>
        <v>111</v>
      </c>
      <c r="R23" s="1568" t="s">
        <v>8</v>
      </c>
      <c r="S23" s="1569">
        <f>F23</f>
        <v>100</v>
      </c>
      <c r="T23" s="1568" t="s">
        <v>8</v>
      </c>
      <c r="U23" s="1569">
        <f>H23</f>
        <v>100</v>
      </c>
      <c r="V23" s="1568" t="s">
        <v>8</v>
      </c>
      <c r="W23" s="1569">
        <f>J23</f>
        <v>100</v>
      </c>
      <c r="X23" s="1562"/>
      <c r="Y23" s="3682"/>
      <c r="Z23" s="1570">
        <f>Q23</f>
        <v>111</v>
      </c>
      <c r="AA23" s="1571">
        <f t="shared" si="3"/>
        <v>1</v>
      </c>
      <c r="AB23" s="1571">
        <f t="shared" si="4"/>
        <v>1</v>
      </c>
      <c r="AC23" s="1571">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38"/>
      <c r="M24" s="2130"/>
      <c r="N24" s="2130"/>
      <c r="O24" s="2137"/>
      <c r="P24" s="3682"/>
      <c r="Q24" s="1567">
        <f t="shared" ref="Q24:Q36" si="11">B24</f>
        <v>111</v>
      </c>
      <c r="R24" s="1568" t="s">
        <v>8</v>
      </c>
      <c r="S24" s="1569">
        <f>F24</f>
        <v>100</v>
      </c>
      <c r="T24" s="1568" t="s">
        <v>8</v>
      </c>
      <c r="U24" s="1569">
        <f>H24</f>
        <v>100</v>
      </c>
      <c r="V24" s="1568" t="s">
        <v>8</v>
      </c>
      <c r="W24" s="1569">
        <f>J24</f>
        <v>100</v>
      </c>
      <c r="X24" s="1562"/>
      <c r="Y24" s="3682"/>
      <c r="Z24" s="1570">
        <f>Q24</f>
        <v>111</v>
      </c>
      <c r="AA24" s="1571">
        <f t="shared" si="3"/>
        <v>1</v>
      </c>
      <c r="AB24" s="1571">
        <f t="shared" si="4"/>
        <v>1</v>
      </c>
      <c r="AC24" s="1571">
        <f t="shared" si="5"/>
        <v>1</v>
      </c>
    </row>
    <row r="25" spans="1:29" s="1217"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31"/>
      <c r="M25" s="2132"/>
      <c r="N25" s="2132"/>
      <c r="O25" s="2133"/>
      <c r="P25" s="3682"/>
      <c r="Q25" s="1148">
        <f t="shared" si="11"/>
        <v>111</v>
      </c>
      <c r="R25" s="1563" t="s">
        <v>8</v>
      </c>
      <c r="S25" s="1564">
        <f>F25</f>
        <v>100</v>
      </c>
      <c r="T25" s="1563" t="s">
        <v>8</v>
      </c>
      <c r="U25" s="1564">
        <f>H25</f>
        <v>100</v>
      </c>
      <c r="V25" s="1563" t="s">
        <v>8</v>
      </c>
      <c r="W25" s="1564">
        <f>J25</f>
        <v>100</v>
      </c>
      <c r="X25" s="1565"/>
      <c r="Y25" s="3682"/>
      <c r="Z25" s="1147">
        <f>Q25</f>
        <v>111</v>
      </c>
      <c r="AA25" s="1571">
        <f>D25/F25</f>
        <v>1</v>
      </c>
      <c r="AB25" s="1571">
        <f>D25/H25</f>
        <v>1</v>
      </c>
      <c r="AC25" s="1571">
        <f>D25/J25</f>
        <v>1</v>
      </c>
    </row>
    <row r="26" spans="1:29" ht="15">
      <c r="A26" s="2903" t="s">
        <v>2754</v>
      </c>
      <c r="B26" s="170" t="s">
        <v>806</v>
      </c>
      <c r="C26" s="925">
        <f>B1</f>
        <v>0</v>
      </c>
      <c r="D26" s="553">
        <v>100</v>
      </c>
      <c r="E26" s="574"/>
      <c r="F26" s="555">
        <f>SUMIF(79:79,E26,80:80)-SUMIF(79:79,C26,80:80)+100</f>
        <v>100</v>
      </c>
      <c r="G26" s="574"/>
      <c r="H26" s="553">
        <f>SUMIF(79:79,G26,80:80)-SUMIF(79:79,C26,80:80)+100</f>
        <v>100</v>
      </c>
      <c r="I26" s="574"/>
      <c r="J26" s="553">
        <f>SUMIF(79:79,I26,80:80)-SUMIF(79:79,C26,80:80)+100</f>
        <v>100</v>
      </c>
      <c r="K26" s="582"/>
      <c r="L26" s="2138"/>
      <c r="M26" s="2130"/>
      <c r="N26" s="2130"/>
      <c r="O26" s="2137"/>
      <c r="P26" s="3683" t="s">
        <v>550</v>
      </c>
      <c r="Q26" s="1567" t="str">
        <f t="shared" si="11"/>
        <v>配套类型</v>
      </c>
      <c r="R26" s="1568" t="s">
        <v>8</v>
      </c>
      <c r="S26" s="1569">
        <f t="shared" ref="S26:S36" si="12">F26</f>
        <v>100</v>
      </c>
      <c r="T26" s="1568" t="s">
        <v>8</v>
      </c>
      <c r="U26" s="1569">
        <f t="shared" ref="U26:U36" si="13">H26</f>
        <v>100</v>
      </c>
      <c r="V26" s="1568" t="s">
        <v>8</v>
      </c>
      <c r="W26" s="1569">
        <f t="shared" ref="W26:W36" si="14">J26</f>
        <v>100</v>
      </c>
      <c r="X26" s="1562"/>
      <c r="Y26" s="3684" t="s">
        <v>550</v>
      </c>
      <c r="Z26" s="1570" t="str">
        <f t="shared" ref="Z26:Z36" si="15">Q26</f>
        <v>配套类型</v>
      </c>
      <c r="AA26" s="1571">
        <f t="shared" si="3"/>
        <v>1</v>
      </c>
      <c r="AB26" s="1571">
        <f t="shared" si="4"/>
        <v>1</v>
      </c>
      <c r="AC26" s="1571">
        <f t="shared" si="5"/>
        <v>1</v>
      </c>
    </row>
    <row r="27" spans="1:29" s="1336" customFormat="1" ht="15">
      <c r="A27" s="926"/>
      <c r="B27" s="580" t="s">
        <v>807</v>
      </c>
      <c r="C27" s="927"/>
      <c r="D27" s="253">
        <v>100</v>
      </c>
      <c r="E27" s="927"/>
      <c r="F27" s="573">
        <f>SUMIF(81:81,E27,82:82)-SUMIF(81:81,C27,82:82)+100</f>
        <v>100</v>
      </c>
      <c r="G27" s="927"/>
      <c r="H27" s="538">
        <f>SUMIF(81:81,G27,82:82)-SUMIF(81:81,C27,82:82)+100</f>
        <v>100</v>
      </c>
      <c r="I27" s="927"/>
      <c r="J27" s="538">
        <f>SUMIF(81:81,I27,82:82)-SUMIF(81:81,C27,82:82)+100</f>
        <v>100</v>
      </c>
      <c r="K27" s="579"/>
      <c r="L27" s="2136"/>
      <c r="M27" s="2167"/>
      <c r="N27" s="2167"/>
      <c r="O27" s="2139"/>
      <c r="P27" s="3684"/>
      <c r="Q27" s="1600" t="str">
        <f t="shared" si="11"/>
        <v>项目停车位配比</v>
      </c>
      <c r="R27" s="1572" t="s">
        <v>8</v>
      </c>
      <c r="S27" s="1573">
        <f t="shared" si="12"/>
        <v>100</v>
      </c>
      <c r="T27" s="1572" t="s">
        <v>8</v>
      </c>
      <c r="U27" s="1573">
        <f t="shared" si="13"/>
        <v>100</v>
      </c>
      <c r="V27" s="1572" t="s">
        <v>8</v>
      </c>
      <c r="W27" s="1573">
        <f t="shared" si="14"/>
        <v>100</v>
      </c>
      <c r="X27" s="1574"/>
      <c r="Y27" s="3684"/>
      <c r="Z27" s="1575" t="str">
        <f t="shared" si="15"/>
        <v>项目停车位配比</v>
      </c>
      <c r="AA27" s="1571">
        <f t="shared" si="3"/>
        <v>1</v>
      </c>
      <c r="AB27" s="1571">
        <f t="shared" si="4"/>
        <v>1</v>
      </c>
      <c r="AC27" s="1571">
        <f t="shared" si="5"/>
        <v>1</v>
      </c>
    </row>
    <row r="28" spans="1:29" ht="15">
      <c r="A28" s="928"/>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38"/>
      <c r="M28" s="2130"/>
      <c r="N28" s="2130"/>
      <c r="O28" s="2137"/>
      <c r="P28" s="3684"/>
      <c r="Q28" s="1567" t="str">
        <f t="shared" si="11"/>
        <v>公共部分装修</v>
      </c>
      <c r="R28" s="1568" t="s">
        <v>8</v>
      </c>
      <c r="S28" s="1569">
        <f t="shared" si="12"/>
        <v>100</v>
      </c>
      <c r="T28" s="1568" t="s">
        <v>8</v>
      </c>
      <c r="U28" s="1569">
        <f t="shared" si="13"/>
        <v>100</v>
      </c>
      <c r="V28" s="1568" t="s">
        <v>8</v>
      </c>
      <c r="W28" s="1569">
        <f t="shared" si="14"/>
        <v>100</v>
      </c>
      <c r="X28" s="1562"/>
      <c r="Y28" s="3684"/>
      <c r="Z28" s="1570" t="str">
        <f t="shared" si="15"/>
        <v>公共部分装修</v>
      </c>
      <c r="AA28" s="1571">
        <f t="shared" si="3"/>
        <v>1</v>
      </c>
      <c r="AB28" s="1571">
        <f t="shared" si="4"/>
        <v>1</v>
      </c>
      <c r="AC28" s="1571">
        <f t="shared" si="5"/>
        <v>1</v>
      </c>
    </row>
    <row r="29" spans="1:29" ht="15">
      <c r="A29" s="928"/>
      <c r="B29" s="580" t="s">
        <v>809</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38"/>
      <c r="M29" s="2130"/>
      <c r="N29" s="2130"/>
      <c r="O29" s="2137"/>
      <c r="P29" s="3684"/>
      <c r="Q29" s="1567" t="str">
        <f t="shared" si="11"/>
        <v>成新率</v>
      </c>
      <c r="R29" s="1568" t="s">
        <v>8</v>
      </c>
      <c r="S29" s="1569" t="e">
        <f t="shared" si="12"/>
        <v>#N/A</v>
      </c>
      <c r="T29" s="1568" t="s">
        <v>8</v>
      </c>
      <c r="U29" s="1569" t="e">
        <f t="shared" si="13"/>
        <v>#N/A</v>
      </c>
      <c r="V29" s="1568" t="s">
        <v>8</v>
      </c>
      <c r="W29" s="1569" t="e">
        <f t="shared" si="14"/>
        <v>#N/A</v>
      </c>
      <c r="X29" s="1562"/>
      <c r="Y29" s="3684"/>
      <c r="Z29" s="1570" t="str">
        <f t="shared" si="15"/>
        <v>成新率</v>
      </c>
      <c r="AA29" s="1571" t="e">
        <f t="shared" si="3"/>
        <v>#N/A</v>
      </c>
      <c r="AB29" s="1571" t="e">
        <f t="shared" si="4"/>
        <v>#N/A</v>
      </c>
      <c r="AC29" s="1571" t="e">
        <f t="shared" si="5"/>
        <v>#N/A</v>
      </c>
    </row>
    <row r="30" spans="1:29" ht="15">
      <c r="A30" s="928"/>
      <c r="B30" s="580" t="s">
        <v>810</v>
      </c>
      <c r="C30" s="929"/>
      <c r="D30" s="538">
        <v>100</v>
      </c>
      <c r="E30" s="929"/>
      <c r="F30" s="573">
        <f>SUMIF(88:88,E30,89:89)-SUMIF(88:88,C30,89:89)+100</f>
        <v>100</v>
      </c>
      <c r="G30" s="929"/>
      <c r="H30" s="538">
        <f>SUMIF(88:88,E30,89:89)-SUMIF(88:88,C30,89:89)+100</f>
        <v>100</v>
      </c>
      <c r="I30" s="929"/>
      <c r="J30" s="538">
        <f>SUMIF(88:88,E30,89:89)-SUMIF(88:88,C30,89:89)+100</f>
        <v>100</v>
      </c>
      <c r="K30" s="582"/>
      <c r="L30" s="2138"/>
      <c r="M30" s="2130"/>
      <c r="N30" s="2130"/>
      <c r="O30" s="2137"/>
      <c r="P30" s="3684"/>
      <c r="Q30" s="1567" t="str">
        <f t="shared" si="11"/>
        <v>物业等级</v>
      </c>
      <c r="R30" s="1568" t="s">
        <v>8</v>
      </c>
      <c r="S30" s="1569">
        <f t="shared" si="12"/>
        <v>100</v>
      </c>
      <c r="T30" s="1568" t="s">
        <v>8</v>
      </c>
      <c r="U30" s="1569">
        <f t="shared" si="13"/>
        <v>100</v>
      </c>
      <c r="V30" s="1568" t="s">
        <v>8</v>
      </c>
      <c r="W30" s="1569">
        <f t="shared" si="14"/>
        <v>100</v>
      </c>
      <c r="X30" s="1562"/>
      <c r="Y30" s="3684"/>
      <c r="Z30" s="1570" t="str">
        <f t="shared" si="15"/>
        <v>物业等级</v>
      </c>
      <c r="AA30" s="1571">
        <f t="shared" si="3"/>
        <v>1</v>
      </c>
      <c r="AB30" s="1571">
        <f t="shared" si="4"/>
        <v>1</v>
      </c>
      <c r="AC30" s="1571">
        <f t="shared" si="5"/>
        <v>1</v>
      </c>
    </row>
    <row r="31" spans="1:29" s="1217" customFormat="1" ht="15">
      <c r="A31" s="930"/>
      <c r="B31" s="580" t="s">
        <v>811</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31"/>
      <c r="M31" s="2132"/>
      <c r="N31" s="2132"/>
      <c r="O31" s="2133"/>
      <c r="P31" s="3684"/>
      <c r="Q31" s="1148" t="str">
        <f t="shared" si="11"/>
        <v>停车位面积</v>
      </c>
      <c r="R31" s="1563" t="s">
        <v>8</v>
      </c>
      <c r="S31" s="1564" t="e">
        <f t="shared" si="12"/>
        <v>#N/A</v>
      </c>
      <c r="T31" s="1563" t="s">
        <v>8</v>
      </c>
      <c r="U31" s="1564" t="e">
        <f t="shared" si="13"/>
        <v>#N/A</v>
      </c>
      <c r="V31" s="1563" t="s">
        <v>8</v>
      </c>
      <c r="W31" s="1564" t="e">
        <f t="shared" si="14"/>
        <v>#N/A</v>
      </c>
      <c r="X31" s="1565"/>
      <c r="Y31" s="3684"/>
      <c r="Z31" s="1147" t="str">
        <f t="shared" si="15"/>
        <v>停车位面积</v>
      </c>
      <c r="AA31" s="1566" t="e">
        <f t="shared" si="3"/>
        <v>#N/A</v>
      </c>
      <c r="AB31" s="1566" t="e">
        <f t="shared" si="4"/>
        <v>#N/A</v>
      </c>
      <c r="AC31" s="1566" t="e">
        <f t="shared" si="5"/>
        <v>#N/A</v>
      </c>
    </row>
    <row r="32" spans="1:29" ht="15">
      <c r="A32" s="928"/>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38"/>
      <c r="M32" s="2130"/>
      <c r="N32" s="2130"/>
      <c r="O32" s="2137"/>
      <c r="P32" s="3684" t="s">
        <v>550</v>
      </c>
      <c r="Q32" s="1567" t="str">
        <f t="shared" si="11"/>
        <v>车位类型</v>
      </c>
      <c r="R32" s="1568" t="s">
        <v>8</v>
      </c>
      <c r="S32" s="1569">
        <f t="shared" si="12"/>
        <v>100</v>
      </c>
      <c r="T32" s="1568" t="s">
        <v>8</v>
      </c>
      <c r="U32" s="1569">
        <f t="shared" si="13"/>
        <v>100</v>
      </c>
      <c r="V32" s="1568" t="s">
        <v>8</v>
      </c>
      <c r="W32" s="1569">
        <f t="shared" si="14"/>
        <v>100</v>
      </c>
      <c r="X32" s="1562"/>
      <c r="Y32" s="3684" t="s">
        <v>550</v>
      </c>
      <c r="Z32" s="1570" t="str">
        <f t="shared" si="15"/>
        <v>车位类型</v>
      </c>
      <c r="AA32" s="1571">
        <f t="shared" si="3"/>
        <v>1</v>
      </c>
      <c r="AB32" s="1571">
        <f t="shared" si="4"/>
        <v>1</v>
      </c>
      <c r="AC32" s="1571">
        <f t="shared" si="5"/>
        <v>1</v>
      </c>
    </row>
    <row r="33" spans="1:29" ht="15">
      <c r="A33" s="928"/>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38"/>
      <c r="M33" s="2130"/>
      <c r="N33" s="2130"/>
      <c r="O33" s="2137"/>
      <c r="P33" s="3684"/>
      <c r="Q33" s="1567" t="str">
        <f t="shared" si="11"/>
        <v>是否直接入户</v>
      </c>
      <c r="R33" s="1568" t="s">
        <v>8</v>
      </c>
      <c r="S33" s="1569">
        <f t="shared" si="12"/>
        <v>100</v>
      </c>
      <c r="T33" s="1568" t="s">
        <v>8</v>
      </c>
      <c r="U33" s="1569">
        <f t="shared" si="13"/>
        <v>100</v>
      </c>
      <c r="V33" s="1568" t="s">
        <v>8</v>
      </c>
      <c r="W33" s="1569">
        <f t="shared" si="14"/>
        <v>100</v>
      </c>
      <c r="X33" s="1562"/>
      <c r="Y33" s="3684"/>
      <c r="Z33" s="1570" t="str">
        <f t="shared" si="15"/>
        <v>是否直接入户</v>
      </c>
      <c r="AA33" s="1571">
        <f t="shared" si="3"/>
        <v>1</v>
      </c>
      <c r="AB33" s="1571">
        <f t="shared" si="4"/>
        <v>1</v>
      </c>
      <c r="AC33" s="1571">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38"/>
      <c r="M34" s="2130"/>
      <c r="N34" s="2130"/>
      <c r="O34" s="2137"/>
      <c r="P34" s="3684"/>
      <c r="Q34" s="1567">
        <f t="shared" si="11"/>
        <v>111</v>
      </c>
      <c r="R34" s="1568" t="s">
        <v>8</v>
      </c>
      <c r="S34" s="1569">
        <f t="shared" si="12"/>
        <v>100</v>
      </c>
      <c r="T34" s="1568" t="s">
        <v>8</v>
      </c>
      <c r="U34" s="1569">
        <f t="shared" si="13"/>
        <v>100</v>
      </c>
      <c r="V34" s="1568" t="s">
        <v>8</v>
      </c>
      <c r="W34" s="1569">
        <f t="shared" si="14"/>
        <v>100</v>
      </c>
      <c r="X34" s="1562"/>
      <c r="Y34" s="3684"/>
      <c r="Z34" s="1570">
        <f t="shared" si="15"/>
        <v>111</v>
      </c>
      <c r="AA34" s="1571">
        <f t="shared" si="3"/>
        <v>1</v>
      </c>
      <c r="AB34" s="1571">
        <f t="shared" si="4"/>
        <v>1</v>
      </c>
      <c r="AC34" s="1571">
        <f t="shared" si="5"/>
        <v>1</v>
      </c>
    </row>
    <row r="35" spans="1:29" s="1336"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6"/>
      <c r="M35" s="2167"/>
      <c r="N35" s="2167"/>
      <c r="O35" s="2139"/>
      <c r="P35" s="3684"/>
      <c r="Q35" s="1600">
        <f t="shared" si="11"/>
        <v>111</v>
      </c>
      <c r="R35" s="1572" t="s">
        <v>8</v>
      </c>
      <c r="S35" s="1573">
        <f t="shared" si="12"/>
        <v>100</v>
      </c>
      <c r="T35" s="1572" t="s">
        <v>8</v>
      </c>
      <c r="U35" s="1573">
        <f t="shared" si="13"/>
        <v>100</v>
      </c>
      <c r="V35" s="1572" t="s">
        <v>8</v>
      </c>
      <c r="W35" s="1573">
        <f t="shared" si="14"/>
        <v>100</v>
      </c>
      <c r="X35" s="1574"/>
      <c r="Y35" s="3684"/>
      <c r="Z35" s="1575">
        <f t="shared" si="15"/>
        <v>111</v>
      </c>
      <c r="AA35" s="1571">
        <f t="shared" si="3"/>
        <v>1</v>
      </c>
      <c r="AB35" s="1571">
        <f t="shared" si="4"/>
        <v>1</v>
      </c>
      <c r="AC35" s="1571">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38"/>
      <c r="M36" s="2130"/>
      <c r="N36" s="2130"/>
      <c r="O36" s="2137"/>
      <c r="P36" s="3684"/>
      <c r="Q36" s="1567">
        <f t="shared" si="11"/>
        <v>111</v>
      </c>
      <c r="R36" s="1568" t="s">
        <v>8</v>
      </c>
      <c r="S36" s="1569">
        <f t="shared" si="12"/>
        <v>100</v>
      </c>
      <c r="T36" s="1568" t="s">
        <v>8</v>
      </c>
      <c r="U36" s="1569">
        <f t="shared" si="13"/>
        <v>100</v>
      </c>
      <c r="V36" s="1568" t="s">
        <v>8</v>
      </c>
      <c r="W36" s="1569">
        <f t="shared" si="14"/>
        <v>100</v>
      </c>
      <c r="X36" s="1562"/>
      <c r="Y36" s="3684"/>
      <c r="Z36" s="1570">
        <f t="shared" si="15"/>
        <v>111</v>
      </c>
      <c r="AA36" s="1571">
        <f t="shared" si="3"/>
        <v>1</v>
      </c>
      <c r="AB36" s="1571">
        <f t="shared" si="4"/>
        <v>1</v>
      </c>
      <c r="AC36" s="1571">
        <f t="shared" si="5"/>
        <v>1</v>
      </c>
    </row>
    <row r="37" spans="1:29" ht="15">
      <c r="A37" s="1842" t="s">
        <v>2077</v>
      </c>
      <c r="B37" s="1843" t="s">
        <v>2078</v>
      </c>
      <c r="C37" s="2623" t="s">
        <v>1</v>
      </c>
      <c r="D37" s="2624"/>
      <c r="E37" s="2625"/>
      <c r="F37" s="2626"/>
      <c r="G37" s="2627"/>
      <c r="H37" s="2628"/>
      <c r="I37" s="2625"/>
      <c r="J37" s="2628"/>
      <c r="K37" s="1606"/>
      <c r="L37" s="2140"/>
      <c r="M37" s="2141"/>
      <c r="N37" s="2130"/>
      <c r="O37" s="2141"/>
      <c r="P37" s="3679" t="str">
        <f>A37</f>
        <v>成交单价</v>
      </c>
      <c r="Q37" s="3679"/>
      <c r="R37" s="3763">
        <f>E37</f>
        <v>0</v>
      </c>
      <c r="S37" s="3763"/>
      <c r="T37" s="3763">
        <f>G37</f>
        <v>0</v>
      </c>
      <c r="U37" s="3763"/>
      <c r="V37" s="3763">
        <f>I37</f>
        <v>0</v>
      </c>
      <c r="W37" s="3763"/>
      <c r="X37" s="1554"/>
      <c r="Y37" s="1576"/>
      <c r="Z37" s="1554"/>
      <c r="AA37" s="1554"/>
      <c r="AB37" s="1554"/>
      <c r="AC37" s="1554"/>
    </row>
    <row r="38" spans="1:29" ht="15.75" thickBot="1">
      <c r="A38" s="613" t="s">
        <v>2759</v>
      </c>
      <c r="B38" s="885"/>
      <c r="C38" s="2629" t="e">
        <f>R39</f>
        <v>#DIV/0!</v>
      </c>
      <c r="D38" s="2630"/>
      <c r="E38" s="2631" t="e">
        <f>R38</f>
        <v>#DIV/0!</v>
      </c>
      <c r="F38" s="2631"/>
      <c r="G38" s="2629" t="e">
        <f>T38</f>
        <v>#DIV/0!</v>
      </c>
      <c r="H38" s="2630"/>
      <c r="I38" s="2631" t="e">
        <f>V38</f>
        <v>#DIV/0!</v>
      </c>
      <c r="J38" s="2630"/>
      <c r="K38" s="1607"/>
      <c r="L38" s="2140"/>
      <c r="M38" s="2141"/>
      <c r="N38" s="2141"/>
      <c r="O38" s="2141"/>
      <c r="P38" s="3679" t="str">
        <f>A38</f>
        <v>比较价格（元/平方米）</v>
      </c>
      <c r="Q38" s="3679"/>
      <c r="R38" s="3763" t="e">
        <f>IF(F1="售价",ROUND(PRODUCT(R37,AA7:AA36),0),ROUND(PRODUCT(R37,AA7:AA36),1))</f>
        <v>#DIV/0!</v>
      </c>
      <c r="S38" s="3763"/>
      <c r="T38" s="3763" t="e">
        <f>IF(F1="售价",ROUND(PRODUCT(T37,AB7:AB36),0),ROUND(PRODUCT(T37,AB7:AB36),1))</f>
        <v>#DIV/0!</v>
      </c>
      <c r="U38" s="3763"/>
      <c r="V38" s="3763" t="e">
        <f>IF(F1="售价",ROUND(PRODUCT(V37,AC7:AC36),0),ROUND(PRODUCT(V37,AC7:AC36),1))</f>
        <v>#DIV/0!</v>
      </c>
      <c r="W38" s="3763"/>
      <c r="X38" s="1554"/>
      <c r="Y38" s="1554"/>
      <c r="Z38" s="1554"/>
      <c r="AA38" s="1554"/>
      <c r="AB38" s="1554"/>
      <c r="AC38" s="1554"/>
    </row>
    <row r="39" spans="1:29" ht="15.75" thickBot="1">
      <c r="A39" s="619" t="s">
        <v>2934</v>
      </c>
      <c r="B39" s="620"/>
      <c r="C39" s="2632" t="e">
        <f>R39</f>
        <v>#DIV/0!</v>
      </c>
      <c r="D39" s="2632"/>
      <c r="E39" s="2632"/>
      <c r="F39" s="2632"/>
      <c r="G39" s="2632"/>
      <c r="H39" s="2632"/>
      <c r="I39" s="2632"/>
      <c r="J39" s="2632"/>
      <c r="K39" s="1608"/>
      <c r="L39" s="2140"/>
      <c r="M39" s="2141"/>
      <c r="N39" s="2141"/>
      <c r="O39" s="2141"/>
      <c r="P39" s="3700" t="str">
        <f>A39</f>
        <v>估价对象XX用房的比较价格（楼面单价，元/平方米）</v>
      </c>
      <c r="Q39" s="3701"/>
      <c r="R39" s="3762" t="e">
        <f>IF(F1="售价",ROUND(AVERAGE(R38:V38),0),ROUND(AVERAGE(R38:V38),1))</f>
        <v>#DIV/0!</v>
      </c>
      <c r="S39" s="3762"/>
      <c r="T39" s="3762"/>
      <c r="U39" s="3762"/>
      <c r="V39" s="3762"/>
      <c r="W39" s="3762"/>
      <c r="X39" s="1554"/>
      <c r="Y39" s="1554"/>
      <c r="Z39" s="1554"/>
      <c r="AA39" s="1554"/>
      <c r="AB39" s="1554"/>
      <c r="AC39" s="1554"/>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5"/>
      <c r="L43" s="2146"/>
      <c r="M43" s="2141"/>
      <c r="N43" s="2141"/>
      <c r="O43" s="2141"/>
      <c r="P43" s="2141"/>
      <c r="Q43" s="2141"/>
      <c r="R43" s="2141"/>
      <c r="S43" s="2141"/>
      <c r="T43" s="2141"/>
      <c r="U43" s="2141"/>
      <c r="V43" s="2141"/>
      <c r="W43" s="2141"/>
      <c r="X43" s="2141"/>
      <c r="Y43" s="2141"/>
      <c r="Z43" s="2141"/>
      <c r="AA43" s="2141"/>
      <c r="AB43" s="2141"/>
      <c r="AC43" s="2141"/>
    </row>
    <row r="44" spans="1:29" s="1342" customFormat="1" ht="13.5" customHeight="1">
      <c r="A44" s="2142"/>
      <c r="B44" s="2142"/>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48"/>
      <c r="L44" s="2149"/>
      <c r="M44" s="2142"/>
      <c r="N44" s="2142"/>
      <c r="O44" s="2142"/>
      <c r="P44" s="2142"/>
      <c r="Q44" s="2142"/>
      <c r="R44" s="2142"/>
      <c r="S44" s="2142"/>
      <c r="T44" s="2142"/>
      <c r="U44" s="2142"/>
      <c r="V44" s="2142"/>
      <c r="W44" s="2142"/>
      <c r="X44" s="2142"/>
      <c r="Y44" s="2142"/>
      <c r="Z44" s="2142"/>
      <c r="AA44" s="2142"/>
      <c r="AB44" s="2142"/>
      <c r="AC44" s="2142"/>
    </row>
    <row r="45" spans="1:29" s="1342"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79" t="s">
        <v>574</v>
      </c>
      <c r="B47" s="1554"/>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4" customFormat="1" ht="15">
      <c r="A48" s="643" t="s">
        <v>529</v>
      </c>
      <c r="B48" s="644"/>
      <c r="C48" s="2798" t="str">
        <f>YEAR(C7)&amp;"-"&amp;MONTH(C7)</f>
        <v>2018-9</v>
      </c>
      <c r="D48" s="2800">
        <f>EDATE(C48,-1)</f>
        <v>43313</v>
      </c>
      <c r="E48" s="2800">
        <f t="shared" ref="E48:O48" si="16">EDATE(D48,-1)</f>
        <v>43282</v>
      </c>
      <c r="F48" s="2800">
        <f t="shared" si="16"/>
        <v>43252</v>
      </c>
      <c r="G48" s="2800">
        <f t="shared" si="16"/>
        <v>43221</v>
      </c>
      <c r="H48" s="2800">
        <f t="shared" si="16"/>
        <v>43191</v>
      </c>
      <c r="I48" s="2800">
        <f t="shared" si="16"/>
        <v>43160</v>
      </c>
      <c r="J48" s="2800">
        <f t="shared" si="16"/>
        <v>43132</v>
      </c>
      <c r="K48" s="2800">
        <f t="shared" si="16"/>
        <v>43101</v>
      </c>
      <c r="L48" s="2800">
        <f t="shared" si="16"/>
        <v>43070</v>
      </c>
      <c r="M48" s="2800">
        <f t="shared" si="16"/>
        <v>43040</v>
      </c>
      <c r="N48" s="2800">
        <f t="shared" si="16"/>
        <v>43009</v>
      </c>
      <c r="O48" s="2800">
        <f t="shared" si="16"/>
        <v>42979</v>
      </c>
      <c r="P48" s="2156"/>
      <c r="Q48" s="2157"/>
      <c r="R48" s="2157"/>
      <c r="S48" s="2157"/>
      <c r="T48" s="2157"/>
      <c r="U48" s="2157"/>
      <c r="V48" s="2157"/>
      <c r="W48" s="2157"/>
      <c r="X48" s="2157"/>
      <c r="Y48" s="2157"/>
      <c r="Z48" s="2157"/>
      <c r="AA48" s="2157"/>
      <c r="AB48" s="2157"/>
      <c r="AC48" s="2157"/>
    </row>
    <row r="49" spans="1:29" s="1217" customFormat="1" ht="15">
      <c r="A49" s="645"/>
      <c r="B49" s="646"/>
      <c r="C49" s="2799">
        <v>100</v>
      </c>
      <c r="D49" s="648"/>
      <c r="E49" s="648"/>
      <c r="F49" s="648"/>
      <c r="G49" s="648"/>
      <c r="H49" s="648"/>
      <c r="I49" s="648"/>
      <c r="J49" s="648"/>
      <c r="K49" s="648"/>
      <c r="L49" s="648"/>
      <c r="M49" s="649"/>
      <c r="N49" s="648"/>
      <c r="O49" s="650"/>
      <c r="P49" s="2154"/>
      <c r="Q49" s="1989"/>
      <c r="R49" s="1989"/>
      <c r="S49" s="1989"/>
      <c r="T49" s="1989"/>
      <c r="U49" s="1989"/>
      <c r="V49" s="1989"/>
      <c r="W49" s="1989"/>
      <c r="X49" s="1989"/>
      <c r="Y49" s="1989"/>
      <c r="Z49" s="1989"/>
      <c r="AA49" s="1989"/>
      <c r="AB49" s="1989"/>
      <c r="AC49" s="1989"/>
    </row>
    <row r="50" spans="1:29" s="1217" customFormat="1" ht="15.75" thickBot="1">
      <c r="A50" s="651" t="s">
        <v>575</v>
      </c>
      <c r="B50" s="652"/>
      <c r="C50" s="653"/>
      <c r="D50" s="654"/>
      <c r="E50" s="654"/>
      <c r="F50" s="654"/>
      <c r="G50" s="654"/>
      <c r="H50" s="654"/>
      <c r="I50" s="654"/>
      <c r="J50" s="654"/>
      <c r="K50" s="654"/>
      <c r="L50" s="654"/>
      <c r="M50" s="655"/>
      <c r="N50" s="654"/>
      <c r="O50" s="656"/>
      <c r="P50" s="2154"/>
      <c r="Q50" s="2154"/>
      <c r="R50" s="1989"/>
      <c r="S50" s="1989"/>
      <c r="T50" s="1989"/>
      <c r="U50" s="1989"/>
      <c r="V50" s="1989"/>
      <c r="W50" s="1989"/>
      <c r="X50" s="1989"/>
      <c r="Y50" s="1989"/>
      <c r="Z50" s="1989"/>
      <c r="AA50" s="1989"/>
      <c r="AB50" s="1989"/>
      <c r="AC50" s="1989"/>
    </row>
    <row r="51" spans="1:29" s="1217" customFormat="1" ht="15">
      <c r="A51" s="657" t="s">
        <v>531</v>
      </c>
      <c r="B51" s="646"/>
      <c r="C51" s="658" t="s">
        <v>576</v>
      </c>
      <c r="D51" s="659"/>
      <c r="E51" s="659"/>
      <c r="F51" s="659"/>
      <c r="G51" s="659"/>
      <c r="H51" s="659"/>
      <c r="I51" s="659"/>
      <c r="J51" s="659"/>
      <c r="K51" s="659"/>
      <c r="L51" s="660"/>
      <c r="M51" s="661"/>
      <c r="N51" s="2158"/>
      <c r="O51" s="2158"/>
      <c r="P51" s="2159"/>
      <c r="Q51" s="2154"/>
      <c r="R51" s="1989"/>
      <c r="S51" s="1989"/>
      <c r="T51" s="1989"/>
      <c r="U51" s="1989"/>
      <c r="V51" s="1989"/>
      <c r="W51" s="1989"/>
      <c r="X51" s="1989"/>
      <c r="Y51" s="1989"/>
      <c r="Z51" s="1989"/>
      <c r="AA51" s="1989"/>
      <c r="AB51" s="1989"/>
      <c r="AC51" s="1989"/>
    </row>
    <row r="52" spans="1:29" s="1217" customFormat="1" ht="15.75" thickBot="1">
      <c r="A52" s="657"/>
      <c r="B52" s="646"/>
      <c r="C52" s="647">
        <v>100</v>
      </c>
      <c r="D52" s="648"/>
      <c r="E52" s="648"/>
      <c r="F52" s="648"/>
      <c r="G52" s="648"/>
      <c r="H52" s="648"/>
      <c r="I52" s="648"/>
      <c r="J52" s="648"/>
      <c r="K52" s="648"/>
      <c r="L52" s="648"/>
      <c r="M52" s="650"/>
      <c r="N52" s="2158"/>
      <c r="O52" s="2158"/>
      <c r="P52" s="2154"/>
      <c r="Q52" s="2154"/>
      <c r="R52" s="1989"/>
      <c r="S52" s="1989"/>
      <c r="T52" s="1989"/>
      <c r="U52" s="1989"/>
      <c r="V52" s="1989"/>
      <c r="W52" s="1989"/>
      <c r="X52" s="1989"/>
      <c r="Y52" s="1989"/>
      <c r="Z52" s="1989"/>
      <c r="AA52" s="1989"/>
      <c r="AB52" s="1989"/>
      <c r="AC52" s="1989"/>
    </row>
    <row r="53" spans="1:29">
      <c r="A53" s="662" t="s">
        <v>577</v>
      </c>
      <c r="B53" s="663" t="s">
        <v>534</v>
      </c>
      <c r="C53" s="702">
        <f>C9</f>
        <v>0</v>
      </c>
      <c r="D53" s="596"/>
      <c r="E53" s="596"/>
      <c r="F53" s="596"/>
      <c r="G53" s="596"/>
      <c r="H53" s="596"/>
      <c r="I53" s="596"/>
      <c r="J53" s="596"/>
      <c r="K53" s="664"/>
      <c r="L53" s="665"/>
      <c r="M53" s="666"/>
      <c r="N53" s="2160"/>
      <c r="O53" s="2160"/>
      <c r="P53" s="2161"/>
      <c r="Q53" s="2154"/>
      <c r="R53" s="2141"/>
      <c r="S53" s="2141"/>
      <c r="T53" s="2141"/>
      <c r="U53" s="2141"/>
      <c r="V53" s="2141"/>
      <c r="W53" s="2141"/>
      <c r="X53" s="2141"/>
      <c r="Y53" s="2141"/>
      <c r="Z53" s="2141"/>
      <c r="AA53" s="2141"/>
      <c r="AB53" s="2141"/>
      <c r="AC53" s="2141"/>
    </row>
    <row r="54" spans="1:29" ht="15.75" thickBot="1">
      <c r="A54" s="667"/>
      <c r="B54" s="668"/>
      <c r="C54" s="669"/>
      <c r="D54" s="669"/>
      <c r="E54" s="669"/>
      <c r="F54" s="669"/>
      <c r="G54" s="669"/>
      <c r="H54" s="669"/>
      <c r="I54" s="669"/>
      <c r="J54" s="669"/>
      <c r="K54" s="669"/>
      <c r="L54" s="669"/>
      <c r="M54" s="670"/>
      <c r="N54" s="2162"/>
      <c r="O54" s="2162"/>
      <c r="P54" s="2161"/>
      <c r="Q54" s="2154"/>
      <c r="R54" s="2141"/>
      <c r="S54" s="2141"/>
      <c r="T54" s="2141"/>
      <c r="U54" s="2141"/>
      <c r="V54" s="2141"/>
      <c r="W54" s="2141"/>
      <c r="X54" s="2141"/>
      <c r="Y54" s="2141"/>
      <c r="Z54" s="2141"/>
      <c r="AA54" s="2141"/>
      <c r="AB54" s="2141"/>
      <c r="AC54" s="2141"/>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60"/>
      <c r="O55" s="2160"/>
      <c r="P55" s="2161"/>
      <c r="Q55" s="2154"/>
      <c r="R55" s="2141"/>
      <c r="S55" s="2141"/>
      <c r="T55" s="2141"/>
      <c r="U55" s="2141"/>
      <c r="V55" s="2141"/>
      <c r="W55" s="2141"/>
      <c r="X55" s="2141"/>
      <c r="Y55" s="2141"/>
      <c r="Z55" s="2141"/>
      <c r="AA55" s="2141"/>
      <c r="AB55" s="2141"/>
      <c r="AC55" s="2141"/>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2"/>
      <c r="O56" s="2162"/>
      <c r="P56" s="2161"/>
      <c r="Q56" s="2154"/>
      <c r="R56" s="2141"/>
      <c r="S56" s="2141"/>
      <c r="T56" s="2141"/>
      <c r="U56" s="2141"/>
      <c r="V56" s="2141"/>
      <c r="W56" s="2141"/>
      <c r="X56" s="2141"/>
      <c r="Y56" s="2141"/>
      <c r="Z56" s="2141"/>
      <c r="AA56" s="2141"/>
      <c r="AB56" s="2141"/>
      <c r="AC56" s="2141"/>
    </row>
    <row r="57" spans="1:29" ht="15.75" thickTop="1">
      <c r="A57" s="667"/>
      <c r="B57" s="932">
        <f>B11</f>
        <v>111</v>
      </c>
      <c r="C57" s="539"/>
      <c r="D57" s="539"/>
      <c r="E57" s="539"/>
      <c r="F57" s="539"/>
      <c r="G57" s="539"/>
      <c r="H57" s="539"/>
      <c r="I57" s="539"/>
      <c r="J57" s="539"/>
      <c r="K57" s="682"/>
      <c r="L57" s="683"/>
      <c r="M57" s="684"/>
      <c r="N57" s="2160"/>
      <c r="O57" s="2160"/>
      <c r="P57" s="2161"/>
      <c r="Q57" s="2154"/>
      <c r="R57" s="2141"/>
      <c r="S57" s="2141"/>
      <c r="T57" s="2141"/>
      <c r="U57" s="2141"/>
      <c r="V57" s="2141"/>
      <c r="W57" s="2141"/>
      <c r="X57" s="2141"/>
      <c r="Y57" s="2141"/>
      <c r="Z57" s="2141"/>
      <c r="AA57" s="2141"/>
      <c r="AB57" s="2141"/>
      <c r="AC57" s="2141"/>
    </row>
    <row r="58" spans="1:29" ht="15.75" thickBot="1">
      <c r="A58" s="667"/>
      <c r="B58" s="668"/>
      <c r="C58" s="690"/>
      <c r="D58" s="669"/>
      <c r="E58" s="669"/>
      <c r="F58" s="669"/>
      <c r="G58" s="669"/>
      <c r="H58" s="669"/>
      <c r="I58" s="669"/>
      <c r="J58" s="669"/>
      <c r="K58" s="669"/>
      <c r="L58" s="669"/>
      <c r="M58" s="670"/>
      <c r="N58" s="2162"/>
      <c r="O58" s="2162"/>
      <c r="P58" s="2161"/>
      <c r="Q58" s="2154"/>
      <c r="R58" s="2141"/>
      <c r="S58" s="2141"/>
      <c r="T58" s="2141"/>
      <c r="U58" s="2141"/>
      <c r="V58" s="2141"/>
      <c r="W58" s="2141"/>
      <c r="X58" s="2141"/>
      <c r="Y58" s="2141"/>
      <c r="Z58" s="2141"/>
      <c r="AA58" s="2141"/>
      <c r="AB58" s="2141"/>
      <c r="AC58" s="2141"/>
    </row>
    <row r="59" spans="1:29" s="1336" customFormat="1" ht="15.75" thickTop="1">
      <c r="A59" s="685"/>
      <c r="B59" s="671">
        <f>B12</f>
        <v>111</v>
      </c>
      <c r="C59" s="539"/>
      <c r="D59" s="539"/>
      <c r="E59" s="539"/>
      <c r="F59" s="539"/>
      <c r="G59" s="686"/>
      <c r="H59" s="687"/>
      <c r="I59" s="687"/>
      <c r="J59" s="687"/>
      <c r="K59" s="687"/>
      <c r="L59" s="688"/>
      <c r="M59" s="689"/>
      <c r="N59" s="2163"/>
      <c r="O59" s="2163"/>
      <c r="P59" s="2164"/>
      <c r="Q59" s="2165"/>
      <c r="R59" s="2166"/>
      <c r="S59" s="2166"/>
      <c r="T59" s="2166"/>
      <c r="U59" s="2166"/>
      <c r="V59" s="2166"/>
      <c r="W59" s="2166"/>
      <c r="X59" s="2166"/>
      <c r="Y59" s="2166"/>
      <c r="Z59" s="2166"/>
      <c r="AA59" s="2166"/>
      <c r="AB59" s="2166"/>
      <c r="AC59" s="2166"/>
    </row>
    <row r="60" spans="1:29" s="1336" customFormat="1" ht="15.75" thickBot="1">
      <c r="A60" s="685"/>
      <c r="B60" s="676"/>
      <c r="C60" s="690"/>
      <c r="D60" s="669"/>
      <c r="E60" s="669"/>
      <c r="F60" s="669"/>
      <c r="G60" s="669"/>
      <c r="H60" s="669"/>
      <c r="I60" s="669"/>
      <c r="J60" s="669"/>
      <c r="K60" s="669"/>
      <c r="L60" s="669"/>
      <c r="M60" s="670"/>
      <c r="N60" s="2162"/>
      <c r="O60" s="2162"/>
      <c r="P60" s="2164"/>
      <c r="Q60" s="2165"/>
      <c r="R60" s="2166"/>
      <c r="S60" s="2166"/>
      <c r="T60" s="2166"/>
      <c r="U60" s="2166"/>
      <c r="V60" s="2166"/>
      <c r="W60" s="2166"/>
      <c r="X60" s="2166"/>
      <c r="Y60" s="2166"/>
      <c r="Z60" s="2166"/>
      <c r="AA60" s="2166"/>
      <c r="AB60" s="2166"/>
      <c r="AC60" s="2166"/>
    </row>
    <row r="61" spans="1:29" s="1336" customFormat="1" ht="15.75" thickTop="1">
      <c r="A61" s="685"/>
      <c r="B61" s="671">
        <f>B13</f>
        <v>111</v>
      </c>
      <c r="C61" s="686"/>
      <c r="D61" s="686"/>
      <c r="E61" s="686"/>
      <c r="F61" s="686"/>
      <c r="G61" s="686"/>
      <c r="H61" s="687"/>
      <c r="I61" s="687"/>
      <c r="J61" s="687"/>
      <c r="K61" s="687"/>
      <c r="L61" s="688"/>
      <c r="M61" s="689"/>
      <c r="N61" s="2163"/>
      <c r="O61" s="2163"/>
      <c r="P61" s="2167"/>
      <c r="Q61" s="2168"/>
      <c r="R61" s="2166"/>
      <c r="S61" s="2166"/>
      <c r="T61" s="2166"/>
      <c r="U61" s="2166"/>
      <c r="V61" s="2166"/>
      <c r="W61" s="2166"/>
      <c r="X61" s="2166"/>
      <c r="Y61" s="2166"/>
      <c r="Z61" s="2166"/>
      <c r="AA61" s="2166"/>
      <c r="AB61" s="2166"/>
      <c r="AC61" s="2166"/>
    </row>
    <row r="62" spans="1:29" s="1336" customFormat="1" ht="15.75" thickBot="1">
      <c r="A62" s="685"/>
      <c r="B62" s="676"/>
      <c r="C62" s="690"/>
      <c r="D62" s="690"/>
      <c r="E62" s="690"/>
      <c r="F62" s="690"/>
      <c r="G62" s="690"/>
      <c r="H62" s="691"/>
      <c r="I62" s="691"/>
      <c r="J62" s="691"/>
      <c r="K62" s="691"/>
      <c r="L62" s="691"/>
      <c r="M62" s="692"/>
      <c r="N62" s="2163"/>
      <c r="O62" s="2163"/>
      <c r="P62" s="2164"/>
      <c r="Q62" s="2165"/>
      <c r="R62" s="2166"/>
      <c r="S62" s="2166"/>
      <c r="T62" s="2166"/>
      <c r="U62" s="2166"/>
      <c r="V62" s="2166"/>
      <c r="W62" s="2166"/>
      <c r="X62" s="2166"/>
      <c r="Y62" s="2166"/>
      <c r="Z62" s="2166"/>
      <c r="AA62" s="2166"/>
      <c r="AB62" s="2166"/>
      <c r="AC62" s="2166"/>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0"/>
      <c r="O63" s="2160"/>
      <c r="P63" s="2170"/>
      <c r="Q63" s="2154"/>
      <c r="R63" s="2141"/>
      <c r="S63" s="2141"/>
      <c r="T63" s="2141"/>
      <c r="U63" s="2141"/>
      <c r="V63" s="2141"/>
      <c r="W63" s="2141"/>
      <c r="X63" s="2141"/>
      <c r="Y63" s="2141"/>
      <c r="Z63" s="2141"/>
      <c r="AA63" s="2141"/>
      <c r="AB63" s="2141"/>
      <c r="AC63" s="2141"/>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2"/>
      <c r="O64" s="2162"/>
      <c r="P64" s="2161"/>
      <c r="Q64" s="2154"/>
      <c r="R64" s="2141"/>
      <c r="S64" s="2141"/>
      <c r="T64" s="2141"/>
      <c r="U64" s="2141"/>
      <c r="V64" s="2141"/>
      <c r="W64" s="2141"/>
      <c r="X64" s="2141"/>
      <c r="Y64" s="2141"/>
      <c r="Z64" s="2141"/>
      <c r="AA64" s="2141"/>
      <c r="AB64" s="2141"/>
      <c r="AC64" s="2141"/>
    </row>
    <row r="65" spans="1:29" ht="15.75" thickTop="1">
      <c r="A65" s="667"/>
      <c r="B65" s="1892" t="s">
        <v>2557</v>
      </c>
      <c r="C65" s="706" t="s">
        <v>579</v>
      </c>
      <c r="D65" s="706" t="s">
        <v>580</v>
      </c>
      <c r="E65" s="706" t="s">
        <v>581</v>
      </c>
      <c r="F65" s="706" t="s">
        <v>582</v>
      </c>
      <c r="G65" s="706" t="s">
        <v>583</v>
      </c>
      <c r="H65" s="672"/>
      <c r="I65" s="672"/>
      <c r="J65" s="672"/>
      <c r="K65" s="673"/>
      <c r="L65" s="674"/>
      <c r="M65" s="675"/>
      <c r="N65" s="2160"/>
      <c r="O65" s="2160"/>
      <c r="P65" s="2161"/>
      <c r="Q65" s="2154"/>
      <c r="R65" s="2141"/>
      <c r="S65" s="2141"/>
      <c r="T65" s="2141"/>
      <c r="U65" s="2141"/>
      <c r="V65" s="2141"/>
      <c r="W65" s="2141"/>
      <c r="X65" s="2141"/>
      <c r="Y65" s="2141"/>
      <c r="Z65" s="2141"/>
      <c r="AA65" s="2141"/>
      <c r="AB65" s="2141"/>
      <c r="AC65" s="2141"/>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2"/>
      <c r="O66" s="2162"/>
      <c r="P66" s="2161"/>
      <c r="Q66" s="2154"/>
      <c r="R66" s="2141"/>
      <c r="S66" s="2141"/>
      <c r="T66" s="2141"/>
      <c r="U66" s="2141"/>
      <c r="V66" s="2141"/>
      <c r="W66" s="2141"/>
      <c r="X66" s="2141"/>
      <c r="Y66" s="2141"/>
      <c r="Z66" s="2141"/>
      <c r="AA66" s="2141"/>
      <c r="AB66" s="2141"/>
      <c r="AC66" s="2141"/>
    </row>
    <row r="67" spans="1:29" ht="15.75" thickTop="1">
      <c r="A67" s="667"/>
      <c r="B67" s="2593" t="s">
        <v>2558</v>
      </c>
      <c r="C67" s="2594" t="s">
        <v>2559</v>
      </c>
      <c r="D67" s="2594" t="s">
        <v>2560</v>
      </c>
      <c r="E67" s="2594" t="s">
        <v>2561</v>
      </c>
      <c r="F67" s="2594" t="s">
        <v>2562</v>
      </c>
      <c r="G67" s="2594" t="s">
        <v>2563</v>
      </c>
      <c r="H67" s="672"/>
      <c r="I67" s="672"/>
      <c r="J67" s="672"/>
      <c r="K67" s="672"/>
      <c r="L67" s="672"/>
      <c r="M67" s="2597"/>
      <c r="N67" s="2162"/>
      <c r="O67" s="2162"/>
      <c r="P67" s="2161"/>
      <c r="Q67" s="2154"/>
      <c r="R67" s="2141"/>
      <c r="S67" s="2141"/>
      <c r="T67" s="2141"/>
      <c r="U67" s="2141"/>
      <c r="V67" s="2141"/>
      <c r="W67" s="2141"/>
      <c r="X67" s="2141"/>
      <c r="Y67" s="2141"/>
      <c r="Z67" s="2141"/>
      <c r="AA67" s="2141"/>
      <c r="AB67" s="2141"/>
      <c r="AC67" s="2141"/>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62"/>
      <c r="O68" s="2162"/>
      <c r="P68" s="2161"/>
      <c r="Q68" s="2154"/>
      <c r="R68" s="2141"/>
      <c r="S68" s="2141"/>
      <c r="T68" s="2141"/>
      <c r="U68" s="2141"/>
      <c r="V68" s="2141"/>
      <c r="W68" s="2141"/>
      <c r="X68" s="2141"/>
      <c r="Y68" s="2141"/>
      <c r="Z68" s="2141"/>
      <c r="AA68" s="2141"/>
      <c r="AB68" s="2141"/>
      <c r="AC68" s="2141"/>
    </row>
    <row r="69" spans="1:29" ht="15.75" thickTop="1">
      <c r="A69" s="667"/>
      <c r="B69" s="671" t="s">
        <v>744</v>
      </c>
      <c r="C69" s="706" t="s">
        <v>579</v>
      </c>
      <c r="D69" s="706" t="s">
        <v>580</v>
      </c>
      <c r="E69" s="706" t="s">
        <v>581</v>
      </c>
      <c r="F69" s="706" t="s">
        <v>582</v>
      </c>
      <c r="G69" s="706" t="s">
        <v>583</v>
      </c>
      <c r="H69" s="672"/>
      <c r="I69" s="672"/>
      <c r="J69" s="672"/>
      <c r="K69" s="673"/>
      <c r="L69" s="674"/>
      <c r="M69" s="675"/>
      <c r="N69" s="2160"/>
      <c r="O69" s="2160"/>
      <c r="P69" s="2161"/>
      <c r="Q69" s="2154"/>
      <c r="R69" s="2141"/>
      <c r="S69" s="2141"/>
      <c r="T69" s="2141"/>
      <c r="U69" s="2141"/>
      <c r="V69" s="2141"/>
      <c r="W69" s="2141"/>
      <c r="X69" s="2141"/>
      <c r="Y69" s="2141"/>
      <c r="Z69" s="2141"/>
      <c r="AA69" s="2141"/>
      <c r="AB69" s="2141"/>
      <c r="AC69" s="2141"/>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2"/>
      <c r="O70" s="2162"/>
      <c r="P70" s="2161"/>
      <c r="Q70" s="2154"/>
      <c r="R70" s="2141"/>
      <c r="S70" s="2141"/>
      <c r="T70" s="2141"/>
      <c r="U70" s="2141"/>
      <c r="V70" s="2141"/>
      <c r="W70" s="2141"/>
      <c r="X70" s="2141"/>
      <c r="Y70" s="2141"/>
      <c r="Z70" s="2141"/>
      <c r="AA70" s="2141"/>
      <c r="AB70" s="2141"/>
      <c r="AC70" s="2141"/>
    </row>
    <row r="71" spans="1:29" ht="15.75" thickTop="1">
      <c r="A71" s="667"/>
      <c r="B71" s="671" t="s">
        <v>745</v>
      </c>
      <c r="C71" s="686"/>
      <c r="D71" s="686"/>
      <c r="E71" s="686"/>
      <c r="F71" s="686"/>
      <c r="G71" s="686"/>
      <c r="H71" s="716"/>
      <c r="I71" s="716"/>
      <c r="J71" s="716"/>
      <c r="K71" s="717"/>
      <c r="L71" s="718"/>
      <c r="M71" s="719"/>
      <c r="N71" s="2160"/>
      <c r="O71" s="2160"/>
      <c r="P71" s="2161"/>
      <c r="Q71" s="2154"/>
      <c r="R71" s="2141"/>
      <c r="S71" s="2141"/>
      <c r="T71" s="2141"/>
      <c r="U71" s="2141"/>
      <c r="V71" s="2141"/>
      <c r="W71" s="2141"/>
      <c r="X71" s="2141"/>
      <c r="Y71" s="2141"/>
      <c r="Z71" s="2141"/>
      <c r="AA71" s="2141"/>
      <c r="AB71" s="2141"/>
      <c r="AC71" s="2141"/>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2"/>
      <c r="O72" s="2162"/>
      <c r="P72" s="2161"/>
      <c r="Q72" s="2154"/>
      <c r="R72" s="2141"/>
      <c r="S72" s="2141"/>
      <c r="T72" s="2141"/>
      <c r="U72" s="2141"/>
      <c r="V72" s="2141"/>
      <c r="W72" s="2141"/>
      <c r="X72" s="2141"/>
      <c r="Y72" s="2141"/>
      <c r="Z72" s="2141"/>
      <c r="AA72" s="2141"/>
      <c r="AB72" s="2141"/>
      <c r="AC72" s="2141"/>
    </row>
    <row r="73" spans="1:29" s="1217" customFormat="1" ht="15.75" thickTop="1">
      <c r="A73" s="707"/>
      <c r="B73" s="671">
        <f>B23</f>
        <v>111</v>
      </c>
      <c r="C73" s="539"/>
      <c r="D73" s="539"/>
      <c r="E73" s="539"/>
      <c r="F73" s="539"/>
      <c r="G73" s="686"/>
      <c r="H73" s="686"/>
      <c r="I73" s="686"/>
      <c r="J73" s="686"/>
      <c r="K73" s="686"/>
      <c r="L73" s="887"/>
      <c r="M73" s="888"/>
      <c r="N73" s="2158"/>
      <c r="O73" s="2158"/>
      <c r="P73" s="2161"/>
      <c r="Q73" s="2154"/>
      <c r="R73" s="1989"/>
      <c r="S73" s="1989"/>
      <c r="T73" s="1989"/>
      <c r="U73" s="1989"/>
      <c r="V73" s="1989"/>
      <c r="W73" s="1989"/>
      <c r="X73" s="1989"/>
      <c r="Y73" s="1989"/>
      <c r="Z73" s="1989"/>
      <c r="AA73" s="1989"/>
      <c r="AB73" s="1989"/>
      <c r="AC73" s="1989"/>
    </row>
    <row r="74" spans="1:29" s="1217" customFormat="1" ht="15.75" thickBot="1">
      <c r="A74" s="707"/>
      <c r="B74" s="676"/>
      <c r="C74" s="690"/>
      <c r="D74" s="669"/>
      <c r="E74" s="669"/>
      <c r="F74" s="669"/>
      <c r="G74" s="669"/>
      <c r="H74" s="669"/>
      <c r="I74" s="669"/>
      <c r="J74" s="669"/>
      <c r="K74" s="669"/>
      <c r="L74" s="669"/>
      <c r="M74" s="670"/>
      <c r="N74" s="2162"/>
      <c r="O74" s="2162"/>
      <c r="P74" s="2161"/>
      <c r="Q74" s="2154"/>
      <c r="R74" s="1989"/>
      <c r="S74" s="1989"/>
      <c r="T74" s="1989"/>
      <c r="U74" s="1989"/>
      <c r="V74" s="1989"/>
      <c r="W74" s="1989"/>
      <c r="X74" s="1989"/>
      <c r="Y74" s="1989"/>
      <c r="Z74" s="1989"/>
      <c r="AA74" s="1989"/>
      <c r="AB74" s="1989"/>
      <c r="AC74" s="1989"/>
    </row>
    <row r="75" spans="1:29" s="1217" customFormat="1" ht="15.75" thickTop="1">
      <c r="A75" s="707"/>
      <c r="B75" s="671">
        <f>B24</f>
        <v>111</v>
      </c>
      <c r="C75" s="539"/>
      <c r="D75" s="539"/>
      <c r="E75" s="539"/>
      <c r="F75" s="539"/>
      <c r="G75" s="686"/>
      <c r="H75" s="686"/>
      <c r="I75" s="686"/>
      <c r="J75" s="686"/>
      <c r="K75" s="686"/>
      <c r="L75" s="686"/>
      <c r="M75" s="888"/>
      <c r="N75" s="2158"/>
      <c r="O75" s="2158"/>
      <c r="P75" s="2161"/>
      <c r="Q75" s="2154"/>
      <c r="R75" s="1989"/>
      <c r="S75" s="1989"/>
      <c r="T75" s="1989"/>
      <c r="U75" s="1989"/>
      <c r="V75" s="1989"/>
      <c r="W75" s="1989"/>
      <c r="X75" s="1989"/>
      <c r="Y75" s="1989"/>
      <c r="Z75" s="1989"/>
      <c r="AA75" s="1989"/>
      <c r="AB75" s="1989"/>
      <c r="AC75" s="1989"/>
    </row>
    <row r="76" spans="1:29" s="1217" customFormat="1" ht="15.75" thickBot="1">
      <c r="A76" s="707"/>
      <c r="B76" s="676"/>
      <c r="C76" s="690"/>
      <c r="D76" s="669"/>
      <c r="E76" s="669"/>
      <c r="F76" s="669"/>
      <c r="G76" s="669"/>
      <c r="H76" s="669"/>
      <c r="I76" s="669"/>
      <c r="J76" s="669"/>
      <c r="K76" s="669"/>
      <c r="L76" s="669"/>
      <c r="M76" s="670"/>
      <c r="N76" s="2162"/>
      <c r="O76" s="2162"/>
      <c r="P76" s="2161"/>
      <c r="Q76" s="2154"/>
      <c r="R76" s="1989"/>
      <c r="S76" s="1989"/>
      <c r="T76" s="1989"/>
      <c r="U76" s="1989"/>
      <c r="V76" s="1989"/>
      <c r="W76" s="1989"/>
      <c r="X76" s="1989"/>
      <c r="Y76" s="1989"/>
      <c r="Z76" s="1989"/>
      <c r="AA76" s="1989"/>
      <c r="AB76" s="1989"/>
      <c r="AC76" s="1989"/>
    </row>
    <row r="77" spans="1:29" s="1336" customFormat="1" ht="15.75" thickTop="1">
      <c r="A77" s="685"/>
      <c r="B77" s="671">
        <f>B25</f>
        <v>111</v>
      </c>
      <c r="C77" s="686"/>
      <c r="D77" s="686"/>
      <c r="E77" s="686"/>
      <c r="F77" s="686"/>
      <c r="G77" s="686"/>
      <c r="H77" s="687"/>
      <c r="I77" s="687"/>
      <c r="J77" s="687"/>
      <c r="K77" s="687"/>
      <c r="L77" s="688"/>
      <c r="M77" s="689"/>
      <c r="N77" s="2163"/>
      <c r="O77" s="2163"/>
      <c r="P77" s="2164"/>
      <c r="Q77" s="2165"/>
      <c r="R77" s="2166"/>
      <c r="S77" s="2166"/>
      <c r="T77" s="2166"/>
      <c r="U77" s="2166"/>
      <c r="V77" s="2166"/>
      <c r="W77" s="2166"/>
      <c r="X77" s="2166"/>
      <c r="Y77" s="2166"/>
      <c r="Z77" s="2166"/>
      <c r="AA77" s="2166"/>
      <c r="AB77" s="2166"/>
      <c r="AC77" s="2166"/>
    </row>
    <row r="78" spans="1:29" s="1336" customFormat="1" ht="15.75" thickBot="1">
      <c r="A78" s="685"/>
      <c r="B78" s="676"/>
      <c r="C78" s="690"/>
      <c r="D78" s="690"/>
      <c r="E78" s="690"/>
      <c r="F78" s="690"/>
      <c r="G78" s="669"/>
      <c r="H78" s="669"/>
      <c r="I78" s="669"/>
      <c r="J78" s="669"/>
      <c r="K78" s="669"/>
      <c r="L78" s="669"/>
      <c r="M78" s="670"/>
      <c r="N78" s="2163"/>
      <c r="O78" s="2163"/>
      <c r="P78" s="2164"/>
      <c r="Q78" s="2165"/>
      <c r="R78" s="2166"/>
      <c r="S78" s="2166"/>
      <c r="T78" s="2166"/>
      <c r="U78" s="2166"/>
      <c r="V78" s="2166"/>
      <c r="W78" s="2166"/>
      <c r="X78" s="2166"/>
      <c r="Y78" s="2166"/>
      <c r="Z78" s="2166"/>
      <c r="AA78" s="2166"/>
      <c r="AB78" s="2166"/>
      <c r="AC78" s="2166"/>
    </row>
    <row r="79" spans="1:29" ht="27.75" thickTop="1">
      <c r="A79" s="662" t="s">
        <v>551</v>
      </c>
      <c r="B79" s="663" t="s">
        <v>814</v>
      </c>
      <c r="C79" s="702">
        <f>C26</f>
        <v>0</v>
      </c>
      <c r="D79" s="596"/>
      <c r="E79" s="596"/>
      <c r="F79" s="596"/>
      <c r="G79" s="596"/>
      <c r="H79" s="596"/>
      <c r="I79" s="596"/>
      <c r="J79" s="596"/>
      <c r="K79" s="664"/>
      <c r="L79" s="665"/>
      <c r="M79" s="666"/>
      <c r="N79" s="2160"/>
      <c r="O79" s="2160"/>
      <c r="P79" s="2161"/>
      <c r="Q79" s="2154"/>
      <c r="R79" s="2141"/>
      <c r="S79" s="2141"/>
      <c r="T79" s="2141"/>
      <c r="U79" s="2141"/>
      <c r="V79" s="2141"/>
      <c r="W79" s="2141"/>
      <c r="X79" s="2141"/>
      <c r="Y79" s="2141"/>
      <c r="Z79" s="2141"/>
      <c r="AA79" s="2141"/>
      <c r="AB79" s="2141"/>
      <c r="AC79" s="2141"/>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2"/>
      <c r="O80" s="2162"/>
      <c r="P80" s="2161"/>
      <c r="Q80" s="2154"/>
      <c r="R80" s="2141"/>
      <c r="S80" s="2141"/>
      <c r="T80" s="2141"/>
      <c r="U80" s="2141"/>
      <c r="V80" s="2141"/>
      <c r="W80" s="2141"/>
      <c r="X80" s="2141"/>
      <c r="Y80" s="2141"/>
      <c r="Z80" s="2141"/>
      <c r="AA80" s="2141"/>
      <c r="AB80" s="2141"/>
      <c r="AC80" s="2141"/>
    </row>
    <row r="81" spans="1:29" ht="15.75" thickTop="1">
      <c r="A81" s="667"/>
      <c r="B81" s="671" t="s">
        <v>815</v>
      </c>
      <c r="C81" s="933"/>
      <c r="D81" s="933"/>
      <c r="E81" s="933"/>
      <c r="F81" s="933"/>
      <c r="G81" s="933"/>
      <c r="H81" s="933"/>
      <c r="I81" s="933"/>
      <c r="J81" s="933"/>
      <c r="K81" s="934"/>
      <c r="L81" s="935"/>
      <c r="M81" s="936"/>
      <c r="N81" s="2158"/>
      <c r="O81" s="2158"/>
      <c r="P81" s="2161"/>
      <c r="Q81" s="2154"/>
      <c r="R81" s="2141"/>
      <c r="S81" s="2141"/>
      <c r="T81" s="2141"/>
      <c r="U81" s="2141"/>
      <c r="V81" s="2141"/>
      <c r="W81" s="2141"/>
      <c r="X81" s="2141"/>
      <c r="Y81" s="2141"/>
      <c r="Z81" s="2141"/>
      <c r="AA81" s="2141"/>
      <c r="AB81" s="2141"/>
      <c r="AC81" s="2141"/>
    </row>
    <row r="82" spans="1:29" s="1336" customFormat="1" ht="15.75" thickBot="1">
      <c r="A82" s="685"/>
      <c r="B82" s="676"/>
      <c r="C82" s="690"/>
      <c r="D82" s="669"/>
      <c r="E82" s="669"/>
      <c r="F82" s="669"/>
      <c r="G82" s="669"/>
      <c r="H82" s="669"/>
      <c r="I82" s="669"/>
      <c r="J82" s="669"/>
      <c r="K82" s="669"/>
      <c r="L82" s="669"/>
      <c r="M82" s="670"/>
      <c r="N82" s="2162"/>
      <c r="O82" s="2162"/>
      <c r="P82" s="2164"/>
      <c r="Q82" s="2165"/>
      <c r="R82" s="2166"/>
      <c r="S82" s="2166"/>
      <c r="T82" s="2166"/>
      <c r="U82" s="2166"/>
      <c r="V82" s="2166"/>
      <c r="W82" s="2166"/>
      <c r="X82" s="2166"/>
      <c r="Y82" s="2166"/>
      <c r="Z82" s="2166"/>
      <c r="AA82" s="2166"/>
      <c r="AB82" s="2166"/>
      <c r="AC82" s="2166"/>
    </row>
    <row r="83" spans="1:29" ht="15" thickTop="1">
      <c r="A83" s="733"/>
      <c r="B83" s="671" t="s">
        <v>751</v>
      </c>
      <c r="C83" s="686"/>
      <c r="D83" s="686"/>
      <c r="E83" s="716"/>
      <c r="F83" s="716"/>
      <c r="G83" s="716"/>
      <c r="H83" s="716"/>
      <c r="I83" s="716"/>
      <c r="J83" s="716"/>
      <c r="K83" s="717"/>
      <c r="L83" s="718"/>
      <c r="M83" s="719"/>
      <c r="N83" s="2160"/>
      <c r="O83" s="2160"/>
      <c r="P83" s="2161"/>
      <c r="Q83" s="2154"/>
      <c r="R83" s="2141"/>
      <c r="S83" s="2141"/>
      <c r="T83" s="2141"/>
      <c r="U83" s="2141"/>
      <c r="V83" s="2141"/>
      <c r="W83" s="2141"/>
      <c r="X83" s="2141"/>
      <c r="Y83" s="2141"/>
      <c r="Z83" s="2141"/>
      <c r="AA83" s="2141"/>
      <c r="AB83" s="2141"/>
      <c r="AC83" s="2141"/>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0"/>
      <c r="O85" s="2160"/>
      <c r="P85" s="2161"/>
      <c r="Q85" s="2154"/>
      <c r="R85" s="2141"/>
      <c r="S85" s="2141"/>
      <c r="T85" s="2141"/>
      <c r="U85" s="2141"/>
      <c r="V85" s="2141"/>
      <c r="W85" s="2141"/>
      <c r="X85" s="2141"/>
      <c r="Y85" s="2141"/>
      <c r="Z85" s="2141"/>
      <c r="AA85" s="2141"/>
      <c r="AB85" s="2141"/>
      <c r="AC85" s="2141"/>
    </row>
    <row r="86" spans="1:29">
      <c r="A86" s="733"/>
      <c r="B86" s="679"/>
      <c r="C86" s="891">
        <v>0.5</v>
      </c>
      <c r="D86" s="891">
        <v>0.6</v>
      </c>
      <c r="E86" s="891">
        <v>0.7</v>
      </c>
      <c r="F86" s="891">
        <v>0.8</v>
      </c>
      <c r="G86" s="891">
        <v>0.9</v>
      </c>
      <c r="H86" s="891">
        <v>1.0001</v>
      </c>
      <c r="I86" s="902"/>
      <c r="J86" s="902"/>
      <c r="K86" s="903"/>
      <c r="L86" s="904"/>
      <c r="M86" s="905"/>
      <c r="N86" s="2160"/>
      <c r="O86" s="2160"/>
      <c r="P86" s="2161"/>
      <c r="Q86" s="2154"/>
      <c r="R86" s="2141"/>
      <c r="S86" s="2141"/>
      <c r="T86" s="2141"/>
      <c r="U86" s="2141"/>
      <c r="V86" s="2141"/>
      <c r="W86" s="2141"/>
      <c r="X86" s="2141"/>
      <c r="Y86" s="2141"/>
      <c r="Z86" s="2141"/>
      <c r="AA86" s="2141"/>
      <c r="AB86" s="2141"/>
      <c r="AC86" s="2141"/>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3"/>
      <c r="B88" s="679" t="s">
        <v>817</v>
      </c>
      <c r="C88" s="596"/>
      <c r="D88" s="596"/>
      <c r="E88" s="596"/>
      <c r="F88" s="596"/>
      <c r="G88" s="596"/>
      <c r="H88" s="596"/>
      <c r="I88" s="596"/>
      <c r="J88" s="596"/>
      <c r="K88" s="664"/>
      <c r="L88" s="665"/>
      <c r="M88" s="666"/>
      <c r="N88" s="2160"/>
      <c r="O88" s="2160"/>
      <c r="P88" s="2161"/>
      <c r="Q88" s="2154"/>
      <c r="R88" s="2141"/>
      <c r="S88" s="2141"/>
      <c r="T88" s="2141"/>
      <c r="U88" s="2141"/>
      <c r="V88" s="2141"/>
      <c r="W88" s="2141"/>
      <c r="X88" s="2141"/>
      <c r="Y88" s="2141"/>
      <c r="Z88" s="2141"/>
      <c r="AA88" s="2141"/>
      <c r="AB88" s="2141"/>
      <c r="AC88" s="2141"/>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2"/>
      <c r="O89" s="2162"/>
      <c r="P89" s="2161"/>
      <c r="Q89" s="2154"/>
      <c r="R89" s="2141"/>
      <c r="S89" s="2141"/>
      <c r="T89" s="2141"/>
      <c r="U89" s="2141"/>
      <c r="V89" s="2141"/>
      <c r="W89" s="2141"/>
      <c r="X89" s="2141"/>
      <c r="Y89" s="2141"/>
      <c r="Z89" s="2141"/>
      <c r="AA89" s="2141"/>
      <c r="AB89" s="2141"/>
      <c r="AC89" s="2141"/>
    </row>
    <row r="90" spans="1:29" s="1336"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3"/>
      <c r="O90" s="2163"/>
      <c r="P90" s="2164"/>
      <c r="Q90" s="2165"/>
      <c r="R90" s="2166"/>
      <c r="S90" s="2166"/>
      <c r="T90" s="2166"/>
      <c r="U90" s="2166"/>
      <c r="V90" s="2166"/>
      <c r="W90" s="2166"/>
      <c r="X90" s="2166"/>
      <c r="Y90" s="2166"/>
      <c r="Z90" s="2166"/>
      <c r="AA90" s="2166"/>
      <c r="AB90" s="2166"/>
      <c r="AC90" s="2166"/>
    </row>
    <row r="91" spans="1:29" s="1336" customFormat="1">
      <c r="A91" s="726"/>
      <c r="B91" s="679"/>
      <c r="C91" s="728"/>
      <c r="D91" s="728"/>
      <c r="E91" s="728"/>
      <c r="F91" s="728"/>
      <c r="G91" s="728"/>
      <c r="H91" s="728"/>
      <c r="I91" s="728"/>
      <c r="J91" s="729"/>
      <c r="K91" s="729"/>
      <c r="L91" s="730"/>
      <c r="M91" s="731"/>
      <c r="N91" s="2163"/>
      <c r="O91" s="2163"/>
      <c r="P91" s="2164"/>
      <c r="Q91" s="2165"/>
      <c r="R91" s="2166"/>
      <c r="S91" s="2166"/>
      <c r="T91" s="2166"/>
      <c r="U91" s="2166"/>
      <c r="V91" s="2166"/>
      <c r="W91" s="2166"/>
      <c r="X91" s="2166"/>
      <c r="Y91" s="2166"/>
      <c r="Z91" s="2166"/>
      <c r="AA91" s="2166"/>
      <c r="AB91" s="2166"/>
      <c r="AC91" s="2166"/>
    </row>
    <row r="92" spans="1:29" s="1336" customFormat="1" ht="15.75" thickBot="1">
      <c r="A92" s="685"/>
      <c r="B92" s="676"/>
      <c r="C92" s="690"/>
      <c r="D92" s="669"/>
      <c r="E92" s="669"/>
      <c r="F92" s="669"/>
      <c r="G92" s="669"/>
      <c r="H92" s="669"/>
      <c r="I92" s="669"/>
      <c r="J92" s="669"/>
      <c r="K92" s="669"/>
      <c r="L92" s="669"/>
      <c r="M92" s="670"/>
      <c r="N92" s="2163"/>
      <c r="O92" s="2163"/>
      <c r="P92" s="2164"/>
      <c r="Q92" s="2165"/>
      <c r="R92" s="2166"/>
      <c r="S92" s="2166"/>
      <c r="T92" s="2166"/>
      <c r="U92" s="2166"/>
      <c r="V92" s="2166"/>
      <c r="W92" s="2166"/>
      <c r="X92" s="2166"/>
      <c r="Y92" s="2166"/>
      <c r="Z92" s="2166"/>
      <c r="AA92" s="2166"/>
      <c r="AB92" s="2166"/>
      <c r="AC92" s="2166"/>
    </row>
    <row r="93" spans="1:29" ht="15" thickTop="1">
      <c r="A93" s="733"/>
      <c r="B93" s="671" t="s">
        <v>819</v>
      </c>
      <c r="C93" s="686"/>
      <c r="D93" s="686"/>
      <c r="E93" s="716"/>
      <c r="F93" s="716"/>
      <c r="G93" s="716"/>
      <c r="H93" s="716"/>
      <c r="I93" s="716"/>
      <c r="J93" s="716"/>
      <c r="K93" s="717"/>
      <c r="L93" s="718"/>
      <c r="M93" s="719"/>
      <c r="N93" s="2160"/>
      <c r="O93" s="2160"/>
      <c r="P93" s="2161"/>
      <c r="Q93" s="2154"/>
      <c r="R93" s="2141"/>
      <c r="S93" s="2141"/>
      <c r="T93" s="2141"/>
      <c r="U93" s="2141"/>
      <c r="V93" s="2141"/>
      <c r="W93" s="2141"/>
      <c r="X93" s="2141"/>
      <c r="Y93" s="2141"/>
      <c r="Z93" s="2141"/>
      <c r="AA93" s="2141"/>
      <c r="AB93" s="2141"/>
      <c r="AC93" s="2141"/>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3"/>
      <c r="B95" s="671" t="s">
        <v>820</v>
      </c>
      <c r="C95" s="596"/>
      <c r="D95" s="596"/>
      <c r="E95" s="596"/>
      <c r="F95" s="596"/>
      <c r="G95" s="596"/>
      <c r="H95" s="596"/>
      <c r="I95" s="596"/>
      <c r="J95" s="596"/>
      <c r="K95" s="664"/>
      <c r="L95" s="665"/>
      <c r="M95" s="666"/>
      <c r="N95" s="2160"/>
      <c r="O95" s="2160"/>
      <c r="P95" s="2161"/>
      <c r="Q95" s="2154"/>
      <c r="R95" s="2141"/>
      <c r="S95" s="2141"/>
      <c r="T95" s="2141"/>
      <c r="U95" s="2141"/>
      <c r="V95" s="2141"/>
      <c r="W95" s="2141"/>
      <c r="X95" s="2141"/>
      <c r="Y95" s="2141"/>
      <c r="Z95" s="2141"/>
      <c r="AA95" s="2141"/>
      <c r="AB95" s="2141"/>
      <c r="AC95" s="2141"/>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2"/>
      <c r="O96" s="2162"/>
      <c r="P96" s="2161"/>
      <c r="Q96" s="2154"/>
      <c r="R96" s="2141"/>
      <c r="S96" s="2141"/>
      <c r="T96" s="2141"/>
      <c r="U96" s="2141"/>
      <c r="V96" s="2141"/>
      <c r="W96" s="2141"/>
      <c r="X96" s="2141"/>
      <c r="Y96" s="2141"/>
      <c r="Z96" s="2141"/>
      <c r="AA96" s="2141"/>
      <c r="AB96" s="2141"/>
      <c r="AC96" s="2141"/>
    </row>
    <row r="97" spans="1:29" ht="15" thickTop="1">
      <c r="A97" s="733"/>
      <c r="B97" s="914">
        <f>B34</f>
        <v>111</v>
      </c>
      <c r="C97" s="539"/>
      <c r="D97" s="539"/>
      <c r="E97" s="539"/>
      <c r="F97" s="539"/>
      <c r="G97" s="686"/>
      <c r="H97" s="687"/>
      <c r="I97" s="687"/>
      <c r="J97" s="687"/>
      <c r="K97" s="687"/>
      <c r="L97" s="688"/>
      <c r="M97" s="689"/>
      <c r="N97" s="2162"/>
      <c r="O97" s="2162"/>
      <c r="P97" s="2201"/>
      <c r="Q97" s="2202"/>
      <c r="R97" s="2141"/>
      <c r="S97" s="2141"/>
      <c r="T97" s="2141"/>
      <c r="U97" s="2141"/>
      <c r="V97" s="2141"/>
      <c r="W97" s="2141"/>
      <c r="X97" s="2141"/>
      <c r="Y97" s="2141"/>
      <c r="Z97" s="2141"/>
      <c r="AA97" s="2141"/>
      <c r="AB97" s="2141"/>
      <c r="AC97" s="2141"/>
    </row>
    <row r="98" spans="1:29" ht="15.75" thickBot="1">
      <c r="A98" s="667"/>
      <c r="B98" s="676"/>
      <c r="C98" s="690"/>
      <c r="D98" s="669"/>
      <c r="E98" s="669"/>
      <c r="F98" s="669"/>
      <c r="G98" s="690"/>
      <c r="H98" s="691"/>
      <c r="I98" s="691"/>
      <c r="J98" s="691"/>
      <c r="K98" s="691"/>
      <c r="L98" s="691"/>
      <c r="M98" s="692"/>
      <c r="N98" s="2162"/>
      <c r="O98" s="2162"/>
      <c r="P98" s="2161"/>
      <c r="Q98" s="2154"/>
      <c r="R98" s="2141"/>
      <c r="S98" s="2141"/>
      <c r="T98" s="2141"/>
      <c r="U98" s="2141"/>
      <c r="V98" s="2141"/>
      <c r="W98" s="2141"/>
      <c r="X98" s="2141"/>
      <c r="Y98" s="2141"/>
      <c r="Z98" s="2141"/>
      <c r="AA98" s="2141"/>
      <c r="AB98" s="2141"/>
      <c r="AC98" s="2141"/>
    </row>
    <row r="99" spans="1:29" s="1336" customFormat="1" ht="15" thickTop="1">
      <c r="A99" s="726"/>
      <c r="B99" s="671">
        <f>B35</f>
        <v>111</v>
      </c>
      <c r="C99" s="539"/>
      <c r="D99" s="539"/>
      <c r="E99" s="539"/>
      <c r="F99" s="539"/>
      <c r="G99" s="686"/>
      <c r="H99" s="687"/>
      <c r="I99" s="687"/>
      <c r="J99" s="687"/>
      <c r="K99" s="687"/>
      <c r="L99" s="688"/>
      <c r="M99" s="689"/>
      <c r="N99" s="2163"/>
      <c r="O99" s="2163"/>
      <c r="P99" s="2164"/>
      <c r="Q99" s="2165"/>
      <c r="R99" s="2166"/>
      <c r="S99" s="2166"/>
      <c r="T99" s="2166"/>
      <c r="U99" s="2166"/>
      <c r="V99" s="2166"/>
      <c r="W99" s="2166"/>
      <c r="X99" s="2166"/>
      <c r="Y99" s="2166"/>
      <c r="Z99" s="2166"/>
      <c r="AA99" s="2166"/>
      <c r="AB99" s="2166"/>
      <c r="AC99" s="2166"/>
    </row>
    <row r="100" spans="1:29" s="1336" customFormat="1" ht="15.75" thickBot="1">
      <c r="A100" s="685"/>
      <c r="B100" s="668"/>
      <c r="C100" s="690"/>
      <c r="D100" s="669"/>
      <c r="E100" s="669"/>
      <c r="F100" s="669"/>
      <c r="G100" s="690"/>
      <c r="H100" s="691"/>
      <c r="I100" s="691"/>
      <c r="J100" s="691"/>
      <c r="K100" s="691"/>
      <c r="L100" s="691"/>
      <c r="M100" s="692"/>
      <c r="N100" s="2163"/>
      <c r="O100" s="2163"/>
      <c r="P100" s="2164"/>
      <c r="Q100" s="2165"/>
      <c r="R100" s="2166"/>
      <c r="S100" s="2166"/>
      <c r="T100" s="2166"/>
      <c r="U100" s="2166"/>
      <c r="V100" s="2166"/>
      <c r="W100" s="2166"/>
      <c r="X100" s="2166"/>
      <c r="Y100" s="2166"/>
      <c r="Z100" s="2166"/>
      <c r="AA100" s="2166"/>
      <c r="AB100" s="2166"/>
      <c r="AC100" s="2166"/>
    </row>
    <row r="101" spans="1:29" ht="15" thickTop="1">
      <c r="A101" s="733"/>
      <c r="B101" s="671">
        <f>B36</f>
        <v>111</v>
      </c>
      <c r="C101" s="686"/>
      <c r="D101" s="686"/>
      <c r="E101" s="686"/>
      <c r="F101" s="686"/>
      <c r="G101" s="686"/>
      <c r="H101" s="687"/>
      <c r="I101" s="687"/>
      <c r="J101" s="687"/>
      <c r="K101" s="687"/>
      <c r="L101" s="688"/>
      <c r="M101" s="689"/>
      <c r="N101" s="2160"/>
      <c r="O101" s="2160"/>
      <c r="P101" s="2161"/>
      <c r="Q101" s="2154"/>
      <c r="R101" s="2141"/>
      <c r="S101" s="2141"/>
      <c r="T101" s="2141"/>
      <c r="U101" s="2141"/>
      <c r="V101" s="2141"/>
      <c r="W101" s="2141"/>
      <c r="X101" s="2141"/>
      <c r="Y101" s="2141"/>
      <c r="Z101" s="2141"/>
      <c r="AA101" s="2141"/>
      <c r="AB101" s="2141"/>
      <c r="AC101" s="2141"/>
    </row>
    <row r="102" spans="1:29" ht="15.75" thickBot="1">
      <c r="A102" s="667"/>
      <c r="B102" s="676"/>
      <c r="C102" s="690"/>
      <c r="D102" s="690"/>
      <c r="E102" s="690"/>
      <c r="F102" s="690"/>
      <c r="G102" s="690"/>
      <c r="H102" s="691"/>
      <c r="I102" s="691"/>
      <c r="J102" s="691"/>
      <c r="K102" s="691"/>
      <c r="L102" s="691"/>
      <c r="M102" s="692"/>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718</v>
      </c>
      <c r="B1" s="920"/>
      <c r="C1" s="502" t="s">
        <v>792</v>
      </c>
      <c r="D1" s="847"/>
      <c r="E1" s="504"/>
      <c r="F1" s="2803"/>
      <c r="G1" s="1596" t="s">
        <v>793</v>
      </c>
      <c r="H1" s="504"/>
      <c r="I1" s="504"/>
      <c r="J1" s="504"/>
      <c r="K1" s="505"/>
      <c r="L1" s="1557"/>
      <c r="M1" s="1558"/>
      <c r="N1" s="1558"/>
      <c r="O1" s="1558"/>
      <c r="P1" s="1559"/>
      <c r="Q1" s="1559"/>
      <c r="R1" s="1559"/>
      <c r="S1" s="1559"/>
      <c r="T1" s="1559"/>
      <c r="U1" s="1559"/>
      <c r="V1" s="1559"/>
      <c r="W1" s="1559"/>
      <c r="X1" s="1559"/>
      <c r="Y1" s="1559"/>
      <c r="Z1" s="1559"/>
      <c r="AA1" s="1559"/>
      <c r="AB1" s="1559"/>
      <c r="AC1" s="1560"/>
    </row>
    <row r="2" spans="1:29" s="1333" customFormat="1" ht="28.5" customHeight="1">
      <c r="A2" s="421" t="s">
        <v>794</v>
      </c>
      <c r="B2" s="848" t="e">
        <f>ROUND(B3*D3/10000,0)</f>
        <v>#DIV/0!</v>
      </c>
      <c r="C2" s="2123"/>
      <c r="D2" s="2123"/>
      <c r="E2" s="2124"/>
      <c r="F2" s="2125"/>
      <c r="G2" s="2124"/>
      <c r="H2" s="2124"/>
      <c r="I2" s="2124"/>
      <c r="J2" s="2124"/>
      <c r="K2" s="2126"/>
      <c r="L2" s="2127"/>
      <c r="M2" s="2128"/>
      <c r="N2" s="2128"/>
      <c r="O2" s="2128"/>
      <c r="P2" s="1559"/>
      <c r="Q2" s="1559"/>
      <c r="R2" s="1559"/>
      <c r="S2" s="1559"/>
      <c r="T2" s="1559"/>
      <c r="U2" s="1559"/>
      <c r="V2" s="1559"/>
      <c r="W2" s="1559"/>
      <c r="X2" s="1559"/>
      <c r="Y2" s="1559"/>
      <c r="Z2" s="1559"/>
      <c r="AA2" s="1559"/>
      <c r="AB2" s="1559"/>
      <c r="AC2" s="1560"/>
    </row>
    <row r="3" spans="1:29" s="1333" customFormat="1" ht="28.5" customHeight="1" thickBot="1">
      <c r="A3" s="507" t="s">
        <v>795</v>
      </c>
      <c r="B3" s="508" t="e">
        <f>C37</f>
        <v>#DIV/0!</v>
      </c>
      <c r="C3" s="850" t="s">
        <v>796</v>
      </c>
      <c r="D3" s="849">
        <f>SUMIF('数据-汇总表'!$C19:$C33,D1,'数据-汇总表'!$E19:$E33)</f>
        <v>0</v>
      </c>
      <c r="E3" s="2124"/>
      <c r="F3" s="2125"/>
      <c r="G3" s="2124"/>
      <c r="H3" s="2124"/>
      <c r="I3" s="2124"/>
      <c r="J3" s="2124"/>
      <c r="K3" s="2126"/>
      <c r="L3" s="2127"/>
      <c r="M3" s="2128"/>
      <c r="N3" s="2128"/>
      <c r="O3" s="2128"/>
      <c r="P3" s="1559"/>
      <c r="Q3" s="1559"/>
      <c r="R3" s="1559"/>
      <c r="S3" s="1559"/>
      <c r="T3" s="1559"/>
      <c r="U3" s="1559"/>
      <c r="V3" s="1559"/>
      <c r="W3" s="1559"/>
      <c r="X3" s="1559"/>
      <c r="Y3" s="1559"/>
      <c r="Z3" s="1559"/>
      <c r="AA3" s="1559"/>
      <c r="AB3" s="1561"/>
      <c r="AC3" s="426"/>
    </row>
    <row r="4" spans="1:29" ht="15">
      <c r="A4" s="510" t="s">
        <v>797</v>
      </c>
      <c r="B4" s="511"/>
      <c r="C4" s="3685" t="s">
        <v>798</v>
      </c>
      <c r="D4" s="3686"/>
      <c r="E4" s="3710" t="s">
        <v>799</v>
      </c>
      <c r="F4" s="3711"/>
      <c r="G4" s="3685" t="s">
        <v>800</v>
      </c>
      <c r="H4" s="3686"/>
      <c r="I4" s="3685" t="s">
        <v>801</v>
      </c>
      <c r="J4" s="3686"/>
      <c r="K4" s="512" t="s">
        <v>802</v>
      </c>
      <c r="L4" s="2129"/>
      <c r="M4" s="2130"/>
      <c r="N4" s="2130"/>
      <c r="O4" s="2130"/>
      <c r="P4" s="3687" t="s">
        <v>803</v>
      </c>
      <c r="Q4" s="3688"/>
      <c r="R4" s="3673" t="s">
        <v>799</v>
      </c>
      <c r="S4" s="3674"/>
      <c r="T4" s="3673" t="s">
        <v>800</v>
      </c>
      <c r="U4" s="3674"/>
      <c r="V4" s="3693" t="s">
        <v>801</v>
      </c>
      <c r="W4" s="3693"/>
      <c r="X4" s="1562"/>
      <c r="Y4" s="3673" t="s">
        <v>803</v>
      </c>
      <c r="Z4" s="3674"/>
      <c r="AA4" s="3668" t="s">
        <v>799</v>
      </c>
      <c r="AB4" s="3669" t="s">
        <v>800</v>
      </c>
      <c r="AC4" s="3668" t="s">
        <v>801</v>
      </c>
    </row>
    <row r="5" spans="1:29" ht="15">
      <c r="A5" s="513"/>
      <c r="B5" s="514"/>
      <c r="C5" s="3696" t="s">
        <v>2928</v>
      </c>
      <c r="D5" s="3697"/>
      <c r="E5" s="3712" t="s">
        <v>2929</v>
      </c>
      <c r="F5" s="3713"/>
      <c r="G5" s="3696" t="s">
        <v>2930</v>
      </c>
      <c r="H5" s="3697"/>
      <c r="I5" s="3696" t="s">
        <v>2931</v>
      </c>
      <c r="J5" s="3697"/>
      <c r="K5" s="512"/>
      <c r="L5" s="2129"/>
      <c r="M5" s="2130"/>
      <c r="N5" s="2130"/>
      <c r="O5" s="2130"/>
      <c r="P5" s="3689"/>
      <c r="Q5" s="3690"/>
      <c r="R5" s="3675"/>
      <c r="S5" s="3676"/>
      <c r="T5" s="3675"/>
      <c r="U5" s="3676"/>
      <c r="V5" s="3693"/>
      <c r="W5" s="3693"/>
      <c r="X5" s="1562"/>
      <c r="Y5" s="3675"/>
      <c r="Z5" s="3676"/>
      <c r="AA5" s="3669"/>
      <c r="AB5" s="3669"/>
      <c r="AC5" s="3669"/>
    </row>
    <row r="6" spans="1:29" ht="15.75" thickBot="1">
      <c r="A6" s="515"/>
      <c r="B6" s="516"/>
      <c r="C6" s="3694" t="s">
        <v>2932</v>
      </c>
      <c r="D6" s="3695"/>
      <c r="E6" s="3714" t="s">
        <v>2932</v>
      </c>
      <c r="F6" s="3715"/>
      <c r="G6" s="3694" t="s">
        <v>2932</v>
      </c>
      <c r="H6" s="3695"/>
      <c r="I6" s="3694" t="s">
        <v>2932</v>
      </c>
      <c r="J6" s="3695"/>
      <c r="K6" s="512" t="s">
        <v>528</v>
      </c>
      <c r="L6" s="2129"/>
      <c r="M6" s="2130"/>
      <c r="N6" s="2130"/>
      <c r="O6" s="2130"/>
      <c r="P6" s="3691"/>
      <c r="Q6" s="3692"/>
      <c r="R6" s="3675"/>
      <c r="S6" s="3676"/>
      <c r="T6" s="3677"/>
      <c r="U6" s="3678"/>
      <c r="V6" s="3693"/>
      <c r="W6" s="3693"/>
      <c r="X6" s="1562"/>
      <c r="Y6" s="3677"/>
      <c r="Z6" s="3678"/>
      <c r="AA6" s="3670"/>
      <c r="AB6" s="3670"/>
      <c r="AC6" s="3670"/>
    </row>
    <row r="7" spans="1:29" s="1217" customFormat="1" ht="15.75" thickBot="1">
      <c r="A7" s="2908"/>
      <c r="B7" s="2915" t="s">
        <v>529</v>
      </c>
      <c r="C7" s="517">
        <f>'数据-取费表'!B2</f>
        <v>43346</v>
      </c>
      <c r="D7" s="518">
        <v>100</v>
      </c>
      <c r="E7" s="519"/>
      <c r="F7" s="520">
        <f>SUMIF(46:46,YEAR(E7)&amp;"-"&amp;MONTH(E7),47:47)</f>
        <v>0</v>
      </c>
      <c r="G7" s="521"/>
      <c r="H7" s="518">
        <f>SUMIF(46:46,YEAR(G7)&amp;"-"&amp;MONTH(G7),47:47)</f>
        <v>0</v>
      </c>
      <c r="I7" s="521"/>
      <c r="J7" s="518">
        <f>SUMIF(46:46,YEAR(I7)&amp;"-"&amp;MONTH(I7),47:47)</f>
        <v>0</v>
      </c>
      <c r="K7" s="522"/>
      <c r="L7" s="2131"/>
      <c r="M7" s="2132"/>
      <c r="N7" s="2132"/>
      <c r="O7" s="2132"/>
      <c r="P7" s="3671" t="s">
        <v>530</v>
      </c>
      <c r="Q7" s="3680"/>
      <c r="R7" s="1563" t="s">
        <v>8</v>
      </c>
      <c r="S7" s="1564">
        <f t="shared" ref="S7:S14" si="0">F7</f>
        <v>0</v>
      </c>
      <c r="T7" s="1563" t="s">
        <v>8</v>
      </c>
      <c r="U7" s="1564">
        <f t="shared" ref="U7:U14" si="1">H7</f>
        <v>0</v>
      </c>
      <c r="V7" s="1563" t="s">
        <v>8</v>
      </c>
      <c r="W7" s="1564">
        <f t="shared" ref="W7:W14" si="2">J7</f>
        <v>0</v>
      </c>
      <c r="X7" s="1565"/>
      <c r="Y7" s="3671" t="s">
        <v>530</v>
      </c>
      <c r="Z7" s="3672"/>
      <c r="AA7" s="1566" t="e">
        <f>D7/F7</f>
        <v>#DIV/0!</v>
      </c>
      <c r="AB7" s="1566" t="e">
        <f>D7/H7</f>
        <v>#DIV/0!</v>
      </c>
      <c r="AC7" s="1566" t="e">
        <f>D7/J7</f>
        <v>#DIV/0!</v>
      </c>
    </row>
    <row r="8" spans="1:29" s="1217" customFormat="1" ht="15.75" thickBot="1">
      <c r="A8" s="2909"/>
      <c r="B8" s="2916" t="s">
        <v>531</v>
      </c>
      <c r="C8" s="523" t="s">
        <v>576</v>
      </c>
      <c r="D8" s="518">
        <v>100</v>
      </c>
      <c r="E8" s="523"/>
      <c r="F8" s="520">
        <f>SUMIF(49:49,E8,50:50)-SUMIF(49:49,C8,50:50)+100</f>
        <v>0</v>
      </c>
      <c r="G8" s="523"/>
      <c r="H8" s="518">
        <f>SUMIF(49:49,G8,50:50)-SUMIF(49:49,C8,50:50)+100</f>
        <v>0</v>
      </c>
      <c r="I8" s="523"/>
      <c r="J8" s="518">
        <f>SUMIF(49:49,I8,50:50)-SUMIF(49:49,C8,50:50)+100</f>
        <v>0</v>
      </c>
      <c r="K8" s="522"/>
      <c r="L8" s="2131"/>
      <c r="M8" s="2132"/>
      <c r="N8" s="2132"/>
      <c r="O8" s="2132"/>
      <c r="P8" s="3671" t="s">
        <v>533</v>
      </c>
      <c r="Q8" s="3672"/>
      <c r="R8" s="1563" t="s">
        <v>8</v>
      </c>
      <c r="S8" s="1564">
        <f t="shared" si="0"/>
        <v>0</v>
      </c>
      <c r="T8" s="1563" t="s">
        <v>8</v>
      </c>
      <c r="U8" s="1564">
        <f t="shared" si="1"/>
        <v>0</v>
      </c>
      <c r="V8" s="1563" t="s">
        <v>8</v>
      </c>
      <c r="W8" s="1564">
        <f t="shared" si="2"/>
        <v>0</v>
      </c>
      <c r="X8" s="1565"/>
      <c r="Y8" s="3671" t="s">
        <v>533</v>
      </c>
      <c r="Z8" s="3672"/>
      <c r="AA8" s="1566" t="e">
        <f t="shared" ref="AA8:AA34" si="3">D8/F8</f>
        <v>#DIV/0!</v>
      </c>
      <c r="AB8" s="1566" t="e">
        <f t="shared" ref="AB8:AB34" si="4">D8/H8</f>
        <v>#DIV/0!</v>
      </c>
      <c r="AC8" s="1566" t="e">
        <f t="shared" ref="AC8:AC34" si="5">D8/J8</f>
        <v>#DIV/0!</v>
      </c>
    </row>
    <row r="9" spans="1:29" s="1217" customFormat="1" ht="15">
      <c r="A9" s="2910"/>
      <c r="B9" s="2917" t="s">
        <v>2755</v>
      </c>
      <c r="C9" s="855"/>
      <c r="D9" s="252">
        <v>100</v>
      </c>
      <c r="E9" s="858"/>
      <c r="F9" s="252">
        <f>SUMIF(51:51,E9,52:52)-SUMIF(51:51,C9,52:52)+100</f>
        <v>100</v>
      </c>
      <c r="G9" s="858"/>
      <c r="H9" s="252">
        <f>SUMIF(51:51,G9,52:52)-SUMIF(51:51,C9,52:52)+100</f>
        <v>100</v>
      </c>
      <c r="I9" s="858"/>
      <c r="J9" s="252">
        <f>SUMIF(51:51,I9,52:52)-SUMIF(51:51,C9,52:52)+100</f>
        <v>100</v>
      </c>
      <c r="K9" s="522"/>
      <c r="L9" s="2131"/>
      <c r="M9" s="2132"/>
      <c r="N9" s="2132"/>
      <c r="O9" s="2133"/>
      <c r="P9" s="3679" t="s">
        <v>535</v>
      </c>
      <c r="Q9" s="1148" t="str">
        <f t="shared" ref="Q9:Q14" si="6">B9</f>
        <v>用途</v>
      </c>
      <c r="R9" s="1563" t="s">
        <v>8</v>
      </c>
      <c r="S9" s="1564">
        <f t="shared" si="0"/>
        <v>100</v>
      </c>
      <c r="T9" s="1563" t="s">
        <v>8</v>
      </c>
      <c r="U9" s="1564">
        <f t="shared" si="1"/>
        <v>100</v>
      </c>
      <c r="V9" s="1563" t="s">
        <v>8</v>
      </c>
      <c r="W9" s="1564">
        <f t="shared" si="2"/>
        <v>100</v>
      </c>
      <c r="X9" s="1565"/>
      <c r="Y9" s="3636" t="s">
        <v>536</v>
      </c>
      <c r="Z9" s="1147" t="str">
        <f t="shared" ref="Z9:Z14" si="7">Q9</f>
        <v>用途</v>
      </c>
      <c r="AA9" s="1566">
        <f t="shared" si="3"/>
        <v>1</v>
      </c>
      <c r="AB9" s="1566">
        <f t="shared" si="4"/>
        <v>1</v>
      </c>
      <c r="AC9" s="1566">
        <f t="shared" si="5"/>
        <v>1</v>
      </c>
    </row>
    <row r="10" spans="1:29" s="1335" customFormat="1" ht="27">
      <c r="A10" s="2911"/>
      <c r="B10" s="2916" t="s">
        <v>2756</v>
      </c>
      <c r="C10" s="859"/>
      <c r="D10" s="253">
        <v>100</v>
      </c>
      <c r="E10" s="859"/>
      <c r="F10" s="253">
        <f>SUMIF(53:53,E10,54:54)-SUMIF(53:53,C10,54:54)+100</f>
        <v>100</v>
      </c>
      <c r="G10" s="860"/>
      <c r="H10" s="253">
        <f>SUMIF(53:53,G10,54:54)-SUMIF(53:53,C10,54:54)+100</f>
        <v>100</v>
      </c>
      <c r="I10" s="859"/>
      <c r="J10" s="253">
        <f>SUMIF(53:53,I10,54:54)-SUMIF(53:53,C10,54:54)+100</f>
        <v>100</v>
      </c>
      <c r="K10" s="582"/>
      <c r="L10" s="2134"/>
      <c r="M10" s="2174"/>
      <c r="N10" s="2174"/>
      <c r="O10" s="2135"/>
      <c r="P10" s="3679"/>
      <c r="Q10" s="1148" t="str">
        <f t="shared" si="6"/>
        <v>土地使用年限（年）</v>
      </c>
      <c r="R10" s="1563" t="s">
        <v>8</v>
      </c>
      <c r="S10" s="1564">
        <f t="shared" si="0"/>
        <v>100</v>
      </c>
      <c r="T10" s="1563" t="s">
        <v>8</v>
      </c>
      <c r="U10" s="1564">
        <f t="shared" si="1"/>
        <v>100</v>
      </c>
      <c r="V10" s="1563" t="s">
        <v>8</v>
      </c>
      <c r="W10" s="1564">
        <f t="shared" si="2"/>
        <v>100</v>
      </c>
      <c r="X10" s="1565"/>
      <c r="Y10" s="3636"/>
      <c r="Z10" s="1147" t="str">
        <f t="shared" si="7"/>
        <v>土地使用年限（年）</v>
      </c>
      <c r="AA10" s="1566">
        <f t="shared" si="3"/>
        <v>1</v>
      </c>
      <c r="AB10" s="1566">
        <f t="shared" si="4"/>
        <v>1</v>
      </c>
      <c r="AC10" s="1566">
        <f t="shared" si="5"/>
        <v>1</v>
      </c>
    </row>
    <row r="11" spans="1:29" ht="15">
      <c r="A11" s="2913"/>
      <c r="B11" s="2919">
        <v>111</v>
      </c>
      <c r="C11" s="526"/>
      <c r="D11" s="253">
        <v>100</v>
      </c>
      <c r="E11" s="877"/>
      <c r="F11" s="253">
        <f>SUMIF(55:55,E11,56:56)-SUMIF(55:55,C11,56:56)+100</f>
        <v>100</v>
      </c>
      <c r="G11" s="877"/>
      <c r="H11" s="253">
        <f>SUMIF(55:55,G11,56:56)-SUMIF(55:55,C11,56:56)+100</f>
        <v>100</v>
      </c>
      <c r="I11" s="877"/>
      <c r="J11" s="253">
        <f>SUMIF(55:55,I11,56:56)-SUMIF(55:55,C11,56:56)+100</f>
        <v>100</v>
      </c>
      <c r="K11" s="579"/>
      <c r="L11" s="2136"/>
      <c r="M11" s="2130"/>
      <c r="N11" s="2130"/>
      <c r="O11" s="2137"/>
      <c r="P11" s="3679"/>
      <c r="Q11" s="1148">
        <f t="shared" si="6"/>
        <v>111</v>
      </c>
      <c r="R11" s="1563" t="s">
        <v>8</v>
      </c>
      <c r="S11" s="1564">
        <f t="shared" si="0"/>
        <v>100</v>
      </c>
      <c r="T11" s="1563" t="s">
        <v>8</v>
      </c>
      <c r="U11" s="1564">
        <f t="shared" si="1"/>
        <v>100</v>
      </c>
      <c r="V11" s="1563" t="s">
        <v>8</v>
      </c>
      <c r="W11" s="1564">
        <f t="shared" si="2"/>
        <v>100</v>
      </c>
      <c r="X11" s="1565"/>
      <c r="Y11" s="3636"/>
      <c r="Z11" s="1147">
        <f t="shared" si="7"/>
        <v>111</v>
      </c>
      <c r="AA11" s="1566">
        <f t="shared" si="3"/>
        <v>1</v>
      </c>
      <c r="AB11" s="1566">
        <f t="shared" si="4"/>
        <v>1</v>
      </c>
      <c r="AC11" s="1566">
        <f t="shared" si="5"/>
        <v>1</v>
      </c>
    </row>
    <row r="12" spans="1:29" s="1217" customFormat="1" ht="15">
      <c r="A12" s="2913"/>
      <c r="B12" s="2919">
        <v>111</v>
      </c>
      <c r="C12" s="526"/>
      <c r="D12" s="536">
        <v>100</v>
      </c>
      <c r="E12" s="877"/>
      <c r="F12" s="253">
        <f>SUMIF(57:57,E12,58:58)-SUMIF(57:57,C12,58:58)+100</f>
        <v>100</v>
      </c>
      <c r="G12" s="877"/>
      <c r="H12" s="253">
        <f>SUMIF(57:57,G12,58:58)-SUMIF(57:57,C12,58:58)+100</f>
        <v>100</v>
      </c>
      <c r="I12" s="877"/>
      <c r="J12" s="253">
        <f>SUMIF(57:57,I12,58:58)-SUMIF(57:57,C12,58:58)+100</f>
        <v>100</v>
      </c>
      <c r="K12" s="579"/>
      <c r="L12" s="2131"/>
      <c r="M12" s="2132"/>
      <c r="N12" s="2132"/>
      <c r="O12" s="2133"/>
      <c r="P12" s="3679"/>
      <c r="Q12" s="1148">
        <f t="shared" si="6"/>
        <v>111</v>
      </c>
      <c r="R12" s="1563" t="s">
        <v>8</v>
      </c>
      <c r="S12" s="1564">
        <f t="shared" si="0"/>
        <v>100</v>
      </c>
      <c r="T12" s="1563" t="s">
        <v>8</v>
      </c>
      <c r="U12" s="1564">
        <f t="shared" si="1"/>
        <v>100</v>
      </c>
      <c r="V12" s="1563" t="s">
        <v>8</v>
      </c>
      <c r="W12" s="1564">
        <f t="shared" si="2"/>
        <v>100</v>
      </c>
      <c r="X12" s="1565"/>
      <c r="Y12" s="3636"/>
      <c r="Z12" s="1147">
        <f t="shared" si="7"/>
        <v>111</v>
      </c>
      <c r="AA12" s="1566">
        <f>D12/F12</f>
        <v>1</v>
      </c>
      <c r="AB12" s="1566">
        <f>D12/H12</f>
        <v>1</v>
      </c>
      <c r="AC12" s="1566">
        <f>D12/J12</f>
        <v>1</v>
      </c>
    </row>
    <row r="13" spans="1:29" ht="15.75" thickBot="1">
      <c r="A13" s="2914"/>
      <c r="B13" s="2920">
        <v>111</v>
      </c>
      <c r="C13" s="537"/>
      <c r="D13" s="538">
        <v>100</v>
      </c>
      <c r="E13" s="877"/>
      <c r="F13" s="253">
        <f>SUMIF(59:59,E13,60:60)-SUMIF(59:59,C13,60:60)+100</f>
        <v>100</v>
      </c>
      <c r="G13" s="877"/>
      <c r="H13" s="538">
        <f>SUMIF(59:59,G13,60:60)-SUMIF(59:59,C13,60:60)+100</f>
        <v>100</v>
      </c>
      <c r="I13" s="877"/>
      <c r="J13" s="538">
        <f>SUMIF(59:59,I13,60:60)-SUMIF(59:59,C13,60:60)+100</f>
        <v>100</v>
      </c>
      <c r="K13" s="579"/>
      <c r="L13" s="2138"/>
      <c r="M13" s="2130"/>
      <c r="N13" s="2130"/>
      <c r="O13" s="2137"/>
      <c r="P13" s="3679"/>
      <c r="Q13" s="1148">
        <f t="shared" si="6"/>
        <v>111</v>
      </c>
      <c r="R13" s="1563" t="s">
        <v>8</v>
      </c>
      <c r="S13" s="1564">
        <f t="shared" si="0"/>
        <v>100</v>
      </c>
      <c r="T13" s="1563" t="s">
        <v>8</v>
      </c>
      <c r="U13" s="1564">
        <f t="shared" si="1"/>
        <v>100</v>
      </c>
      <c r="V13" s="1563" t="s">
        <v>8</v>
      </c>
      <c r="W13" s="1564">
        <f t="shared" si="2"/>
        <v>100</v>
      </c>
      <c r="X13" s="1565"/>
      <c r="Y13" s="3636"/>
      <c r="Z13" s="1147">
        <f t="shared" si="7"/>
        <v>111</v>
      </c>
      <c r="AA13" s="1566">
        <f t="shared" si="3"/>
        <v>1</v>
      </c>
      <c r="AB13" s="1566">
        <f t="shared" si="4"/>
        <v>1</v>
      </c>
      <c r="AC13" s="1566">
        <f t="shared" si="5"/>
        <v>1</v>
      </c>
    </row>
    <row r="14" spans="1:29" ht="85.5">
      <c r="A14" s="2906" t="s">
        <v>2753</v>
      </c>
      <c r="B14" s="166" t="s">
        <v>543</v>
      </c>
      <c r="C14" s="918"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5"/>
      <c r="L14" s="2138"/>
      <c r="M14" s="2130"/>
      <c r="N14" s="2130"/>
      <c r="O14" s="2137"/>
      <c r="P14" s="3681" t="s">
        <v>540</v>
      </c>
      <c r="Q14" s="1567" t="str">
        <f t="shared" si="6"/>
        <v>交通便捷度</v>
      </c>
      <c r="R14" s="1568" t="s">
        <v>8</v>
      </c>
      <c r="S14" s="1569">
        <f t="shared" si="0"/>
        <v>100</v>
      </c>
      <c r="T14" s="1568" t="s">
        <v>8</v>
      </c>
      <c r="U14" s="1569">
        <f t="shared" si="1"/>
        <v>100</v>
      </c>
      <c r="V14" s="1568" t="s">
        <v>8</v>
      </c>
      <c r="W14" s="1569">
        <f t="shared" si="2"/>
        <v>100</v>
      </c>
      <c r="X14" s="1562"/>
      <c r="Y14" s="3681" t="s">
        <v>540</v>
      </c>
      <c r="Z14" s="1570" t="str">
        <f t="shared" si="7"/>
        <v>交通便捷度</v>
      </c>
      <c r="AA14" s="1571">
        <f t="shared" si="3"/>
        <v>1</v>
      </c>
      <c r="AB14" s="1571">
        <f t="shared" si="4"/>
        <v>1</v>
      </c>
      <c r="AC14" s="1571">
        <f t="shared" si="5"/>
        <v>1</v>
      </c>
    </row>
    <row r="15" spans="1:29" ht="15">
      <c r="A15" s="530"/>
      <c r="B15" s="867"/>
      <c r="C15" s="574"/>
      <c r="D15" s="553"/>
      <c r="E15" s="574"/>
      <c r="F15" s="555"/>
      <c r="G15" s="574"/>
      <c r="H15" s="557"/>
      <c r="I15" s="574"/>
      <c r="J15" s="553"/>
      <c r="K15" s="896"/>
      <c r="L15" s="2138"/>
      <c r="M15" s="2130"/>
      <c r="N15" s="2130"/>
      <c r="O15" s="2137"/>
      <c r="P15" s="3682"/>
      <c r="Q15" s="1567"/>
      <c r="R15" s="1568"/>
      <c r="S15" s="1569"/>
      <c r="T15" s="1568"/>
      <c r="U15" s="1569"/>
      <c r="V15" s="1568"/>
      <c r="W15" s="1569"/>
      <c r="X15" s="1562"/>
      <c r="Y15" s="3682"/>
      <c r="Z15" s="1570"/>
      <c r="AA15" s="1571">
        <v>1</v>
      </c>
      <c r="AB15" s="1571">
        <v>1</v>
      </c>
      <c r="AC15" s="1571">
        <v>1</v>
      </c>
    </row>
    <row r="16" spans="1:29" ht="42.75">
      <c r="A16" s="530"/>
      <c r="B16" s="2599" t="s">
        <v>2546</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5"/>
      <c r="L16" s="2138"/>
      <c r="M16" s="2130"/>
      <c r="N16" s="2130"/>
      <c r="O16" s="2137"/>
      <c r="P16" s="3682"/>
      <c r="Q16" s="1567" t="str">
        <f>B16</f>
        <v>公共配套设施</v>
      </c>
      <c r="R16" s="1568" t="s">
        <v>8</v>
      </c>
      <c r="S16" s="1569">
        <f>F16</f>
        <v>100</v>
      </c>
      <c r="T16" s="1568" t="s">
        <v>8</v>
      </c>
      <c r="U16" s="1569">
        <f>H16</f>
        <v>100</v>
      </c>
      <c r="V16" s="1568" t="s">
        <v>8</v>
      </c>
      <c r="W16" s="1569">
        <f>J16</f>
        <v>100</v>
      </c>
      <c r="X16" s="1562"/>
      <c r="Y16" s="3682"/>
      <c r="Z16" s="1570" t="str">
        <f>Q16</f>
        <v>公共配套设施</v>
      </c>
      <c r="AA16" s="1571">
        <f t="shared" si="3"/>
        <v>1</v>
      </c>
      <c r="AB16" s="1571">
        <f t="shared" si="4"/>
        <v>1</v>
      </c>
      <c r="AC16" s="1571">
        <f t="shared" si="5"/>
        <v>1</v>
      </c>
    </row>
    <row r="17" spans="1:29" ht="15">
      <c r="A17" s="530"/>
      <c r="B17" s="564"/>
      <c r="C17" s="871"/>
      <c r="D17" s="553"/>
      <c r="E17" s="574"/>
      <c r="F17" s="555"/>
      <c r="G17" s="574"/>
      <c r="H17" s="553"/>
      <c r="I17" s="574"/>
      <c r="J17" s="553"/>
      <c r="K17" s="896"/>
      <c r="L17" s="2138"/>
      <c r="M17" s="2130"/>
      <c r="N17" s="2130"/>
      <c r="O17" s="2137"/>
      <c r="P17" s="3682"/>
      <c r="Q17" s="1567"/>
      <c r="R17" s="1568"/>
      <c r="S17" s="1569"/>
      <c r="T17" s="1568"/>
      <c r="U17" s="1569"/>
      <c r="V17" s="1568"/>
      <c r="W17" s="1569"/>
      <c r="X17" s="1562"/>
      <c r="Y17" s="3682"/>
      <c r="Z17" s="1570"/>
      <c r="AA17" s="1571">
        <v>1</v>
      </c>
      <c r="AB17" s="1571">
        <v>1</v>
      </c>
      <c r="AC17" s="1571">
        <v>1</v>
      </c>
    </row>
    <row r="18" spans="1:29" ht="28.5">
      <c r="A18" s="530"/>
      <c r="B18" s="2587" t="s">
        <v>2558</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5"/>
      <c r="L18" s="2138"/>
      <c r="M18" s="2130"/>
      <c r="N18" s="2130"/>
      <c r="O18" s="2137"/>
      <c r="P18" s="3682"/>
      <c r="Q18" s="2575" t="str">
        <f>B18</f>
        <v>基础设施水平</v>
      </c>
      <c r="R18" s="1568" t="s">
        <v>8</v>
      </c>
      <c r="S18" s="1569">
        <f>F18</f>
        <v>100</v>
      </c>
      <c r="T18" s="1568" t="s">
        <v>8</v>
      </c>
      <c r="U18" s="1569">
        <f>H18</f>
        <v>100</v>
      </c>
      <c r="V18" s="1568" t="s">
        <v>8</v>
      </c>
      <c r="W18" s="1569">
        <f>J18</f>
        <v>100</v>
      </c>
      <c r="X18" s="2577"/>
      <c r="Y18" s="3682"/>
      <c r="Z18" s="2576" t="str">
        <f>Q18</f>
        <v>基础设施水平</v>
      </c>
      <c r="AA18" s="1571">
        <f t="shared" ref="AA18" si="8">D18/F18</f>
        <v>1</v>
      </c>
      <c r="AB18" s="1571">
        <f t="shared" ref="AB18" si="9">D18/H18</f>
        <v>1</v>
      </c>
      <c r="AC18" s="1571">
        <f t="shared" ref="AC18" si="10">D18/J18</f>
        <v>1</v>
      </c>
    </row>
    <row r="19" spans="1:29" ht="15">
      <c r="A19" s="530"/>
      <c r="B19" s="576"/>
      <c r="C19" s="871"/>
      <c r="D19" s="557"/>
      <c r="E19" s="871"/>
      <c r="F19" s="561"/>
      <c r="G19" s="871"/>
      <c r="H19" s="553"/>
      <c r="I19" s="574"/>
      <c r="J19" s="553"/>
      <c r="K19" s="2598"/>
      <c r="L19" s="2138"/>
      <c r="M19" s="2130"/>
      <c r="N19" s="2130"/>
      <c r="O19" s="2137"/>
      <c r="P19" s="3682"/>
      <c r="Q19" s="2575"/>
      <c r="R19" s="1568"/>
      <c r="S19" s="1569"/>
      <c r="T19" s="1568"/>
      <c r="U19" s="1569"/>
      <c r="V19" s="1568"/>
      <c r="W19" s="1569"/>
      <c r="X19" s="2577"/>
      <c r="Y19" s="3682"/>
      <c r="Z19" s="2576"/>
      <c r="AA19" s="1571">
        <v>1</v>
      </c>
      <c r="AB19" s="1571">
        <v>1</v>
      </c>
      <c r="AC19" s="1571">
        <v>1</v>
      </c>
    </row>
    <row r="20" spans="1:29" ht="57">
      <c r="A20" s="530"/>
      <c r="B20" s="869" t="s">
        <v>804</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5"/>
      <c r="L20" s="2138"/>
      <c r="M20" s="2130"/>
      <c r="N20" s="2130"/>
      <c r="O20" s="2137"/>
      <c r="P20" s="3682"/>
      <c r="Q20" s="1567" t="str">
        <f>B20</f>
        <v>自然及人文环境</v>
      </c>
      <c r="R20" s="1568" t="s">
        <v>8</v>
      </c>
      <c r="S20" s="1569">
        <f>F20</f>
        <v>100</v>
      </c>
      <c r="T20" s="1568" t="s">
        <v>8</v>
      </c>
      <c r="U20" s="1569">
        <f>H20</f>
        <v>100</v>
      </c>
      <c r="V20" s="1568" t="s">
        <v>8</v>
      </c>
      <c r="W20" s="1569">
        <f>J20</f>
        <v>100</v>
      </c>
      <c r="X20" s="1562"/>
      <c r="Y20" s="3682"/>
      <c r="Z20" s="1570" t="str">
        <f>Q20</f>
        <v>自然及人文环境</v>
      </c>
      <c r="AA20" s="1571">
        <f t="shared" si="3"/>
        <v>1</v>
      </c>
      <c r="AB20" s="1571">
        <f t="shared" si="4"/>
        <v>1</v>
      </c>
      <c r="AC20" s="1571">
        <f t="shared" si="5"/>
        <v>1</v>
      </c>
    </row>
    <row r="21" spans="1:29" ht="15">
      <c r="A21" s="530"/>
      <c r="B21" s="593"/>
      <c r="C21" s="574"/>
      <c r="D21" s="553"/>
      <c r="E21" s="574"/>
      <c r="F21" s="555"/>
      <c r="G21" s="574"/>
      <c r="H21" s="553"/>
      <c r="I21" s="574"/>
      <c r="J21" s="553"/>
      <c r="K21" s="896"/>
      <c r="L21" s="2138"/>
      <c r="M21" s="2130"/>
      <c r="N21" s="2130"/>
      <c r="O21" s="2137"/>
      <c r="P21" s="3682"/>
      <c r="Q21" s="1567"/>
      <c r="R21" s="1568"/>
      <c r="S21" s="1569"/>
      <c r="T21" s="1568"/>
      <c r="U21" s="1569"/>
      <c r="V21" s="1568"/>
      <c r="W21" s="1569"/>
      <c r="X21" s="1562"/>
      <c r="Y21" s="3682"/>
      <c r="Z21" s="1570"/>
      <c r="AA21" s="1571">
        <v>1</v>
      </c>
      <c r="AB21" s="1571">
        <v>1</v>
      </c>
      <c r="AC21" s="1571">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38"/>
      <c r="M22" s="2130"/>
      <c r="N22" s="2130"/>
      <c r="O22" s="2137"/>
      <c r="P22" s="3682"/>
      <c r="Q22" s="1567" t="str">
        <f>B22</f>
        <v>楼层</v>
      </c>
      <c r="R22" s="1568" t="s">
        <v>8</v>
      </c>
      <c r="S22" s="1569">
        <f>F22</f>
        <v>100</v>
      </c>
      <c r="T22" s="1568" t="s">
        <v>8</v>
      </c>
      <c r="U22" s="1569">
        <f>H22</f>
        <v>100</v>
      </c>
      <c r="V22" s="1568" t="s">
        <v>8</v>
      </c>
      <c r="W22" s="1569">
        <f>J22</f>
        <v>100</v>
      </c>
      <c r="X22" s="1562"/>
      <c r="Y22" s="3682"/>
      <c r="Z22" s="1570" t="str">
        <f>Q22</f>
        <v>楼层</v>
      </c>
      <c r="AA22" s="1571">
        <f t="shared" si="3"/>
        <v>1</v>
      </c>
      <c r="AB22" s="1571">
        <f t="shared" si="4"/>
        <v>1</v>
      </c>
      <c r="AC22" s="1571">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38"/>
      <c r="M23" s="2130"/>
      <c r="N23" s="2130"/>
      <c r="O23" s="2137"/>
      <c r="P23" s="3682"/>
      <c r="Q23" s="1567">
        <f>B23</f>
        <v>111</v>
      </c>
      <c r="R23" s="1568" t="s">
        <v>8</v>
      </c>
      <c r="S23" s="1569">
        <f>F23</f>
        <v>100</v>
      </c>
      <c r="T23" s="1568" t="s">
        <v>8</v>
      </c>
      <c r="U23" s="1569">
        <f>H23</f>
        <v>100</v>
      </c>
      <c r="V23" s="1568" t="s">
        <v>8</v>
      </c>
      <c r="W23" s="1569">
        <f>J23</f>
        <v>100</v>
      </c>
      <c r="X23" s="1562"/>
      <c r="Y23" s="3682"/>
      <c r="Z23" s="1570">
        <f>Q23</f>
        <v>111</v>
      </c>
      <c r="AA23" s="1571">
        <f t="shared" si="3"/>
        <v>1</v>
      </c>
      <c r="AB23" s="1571">
        <f t="shared" si="4"/>
        <v>1</v>
      </c>
      <c r="AC23" s="1571">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38"/>
      <c r="M24" s="2130"/>
      <c r="N24" s="2130"/>
      <c r="O24" s="2137"/>
      <c r="P24" s="3682"/>
      <c r="Q24" s="1567">
        <f t="shared" ref="Q24:Q34" si="11">B24</f>
        <v>111</v>
      </c>
      <c r="R24" s="1568" t="s">
        <v>8</v>
      </c>
      <c r="S24" s="1569">
        <f>F24</f>
        <v>100</v>
      </c>
      <c r="T24" s="1568" t="s">
        <v>8</v>
      </c>
      <c r="U24" s="1569">
        <f>H24</f>
        <v>100</v>
      </c>
      <c r="V24" s="1568" t="s">
        <v>8</v>
      </c>
      <c r="W24" s="1569">
        <f>J24</f>
        <v>100</v>
      </c>
      <c r="X24" s="1562"/>
      <c r="Y24" s="3682"/>
      <c r="Z24" s="1570">
        <f>Q24</f>
        <v>111</v>
      </c>
      <c r="AA24" s="1571">
        <f t="shared" si="3"/>
        <v>1</v>
      </c>
      <c r="AB24" s="1571">
        <f t="shared" si="4"/>
        <v>1</v>
      </c>
      <c r="AC24" s="1571">
        <f t="shared" si="5"/>
        <v>1</v>
      </c>
    </row>
    <row r="25" spans="1:29" s="1217"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31"/>
      <c r="M25" s="2132"/>
      <c r="N25" s="2132"/>
      <c r="O25" s="2133"/>
      <c r="P25" s="3682"/>
      <c r="Q25" s="1148">
        <f t="shared" si="11"/>
        <v>111</v>
      </c>
      <c r="R25" s="1563" t="s">
        <v>8</v>
      </c>
      <c r="S25" s="1564">
        <f>F25</f>
        <v>100</v>
      </c>
      <c r="T25" s="1563" t="s">
        <v>8</v>
      </c>
      <c r="U25" s="1564">
        <f>H25</f>
        <v>100</v>
      </c>
      <c r="V25" s="1563" t="s">
        <v>8</v>
      </c>
      <c r="W25" s="1564">
        <f>J25</f>
        <v>100</v>
      </c>
      <c r="X25" s="1565"/>
      <c r="Y25" s="3682"/>
      <c r="Z25" s="1147">
        <f>Q25</f>
        <v>111</v>
      </c>
      <c r="AA25" s="1571">
        <f>D25/F25</f>
        <v>1</v>
      </c>
      <c r="AB25" s="1571">
        <f>D25/H25</f>
        <v>1</v>
      </c>
      <c r="AC25" s="1571">
        <f>D25/J25</f>
        <v>1</v>
      </c>
    </row>
    <row r="26" spans="1:29" ht="15">
      <c r="A26" s="2903" t="s">
        <v>2754</v>
      </c>
      <c r="B26" s="172" t="s">
        <v>808</v>
      </c>
      <c r="C26" s="913"/>
      <c r="D26" s="595">
        <v>100</v>
      </c>
      <c r="E26" s="913"/>
      <c r="F26" s="940">
        <f>SUMIF(77:77,E26,78:78)-SUMIF(77:77,C26,78:78)+100</f>
        <v>100</v>
      </c>
      <c r="G26" s="913"/>
      <c r="H26" s="595">
        <f>SUMIF(77:77,G26,78:78)-SUMIF(77:77,C26,78:78)+100</f>
        <v>100</v>
      </c>
      <c r="I26" s="913"/>
      <c r="J26" s="595">
        <f>SUMIF(77:77,I26,78:78)-SUMIF(77:77,C26,78:78)+100</f>
        <v>100</v>
      </c>
      <c r="K26" s="582"/>
      <c r="L26" s="2138"/>
      <c r="M26" s="2130"/>
      <c r="N26" s="2130"/>
      <c r="O26" s="2137"/>
      <c r="P26" s="3683" t="s">
        <v>821</v>
      </c>
      <c r="Q26" s="1567" t="str">
        <f t="shared" si="11"/>
        <v>公共部分装修</v>
      </c>
      <c r="R26" s="1568" t="s">
        <v>8</v>
      </c>
      <c r="S26" s="1569">
        <f t="shared" ref="S26:S34" si="12">F26</f>
        <v>100</v>
      </c>
      <c r="T26" s="1568" t="s">
        <v>8</v>
      </c>
      <c r="U26" s="1569">
        <f t="shared" ref="U26:U34" si="13">H26</f>
        <v>100</v>
      </c>
      <c r="V26" s="1568" t="s">
        <v>8</v>
      </c>
      <c r="W26" s="1569">
        <f t="shared" ref="W26:W34" si="14">J26</f>
        <v>100</v>
      </c>
      <c r="X26" s="1562"/>
      <c r="Y26" s="3684" t="s">
        <v>821</v>
      </c>
      <c r="Z26" s="1570" t="str">
        <f t="shared" ref="Z26:Z34" si="15">Q26</f>
        <v>公共部分装修</v>
      </c>
      <c r="AA26" s="1571">
        <f t="shared" si="3"/>
        <v>1</v>
      </c>
      <c r="AB26" s="1571">
        <f t="shared" si="4"/>
        <v>1</v>
      </c>
      <c r="AC26" s="1571">
        <f t="shared" si="5"/>
        <v>1</v>
      </c>
    </row>
    <row r="27" spans="1:29" s="1336" customFormat="1" ht="15">
      <c r="A27" s="601"/>
      <c r="B27" s="525" t="s">
        <v>809</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36"/>
      <c r="M27" s="2167"/>
      <c r="N27" s="2167"/>
      <c r="O27" s="2139"/>
      <c r="P27" s="3684"/>
      <c r="Q27" s="1600" t="str">
        <f t="shared" si="11"/>
        <v>成新率</v>
      </c>
      <c r="R27" s="1572" t="s">
        <v>8</v>
      </c>
      <c r="S27" s="1573" t="e">
        <f t="shared" si="12"/>
        <v>#N/A</v>
      </c>
      <c r="T27" s="1572" t="s">
        <v>8</v>
      </c>
      <c r="U27" s="1573" t="e">
        <f t="shared" si="13"/>
        <v>#N/A</v>
      </c>
      <c r="V27" s="1572" t="s">
        <v>8</v>
      </c>
      <c r="W27" s="1573" t="e">
        <f t="shared" si="14"/>
        <v>#N/A</v>
      </c>
      <c r="X27" s="1574"/>
      <c r="Y27" s="3684"/>
      <c r="Z27" s="1575" t="str">
        <f t="shared" si="15"/>
        <v>成新率</v>
      </c>
      <c r="AA27" s="1571" t="e">
        <f t="shared" si="3"/>
        <v>#N/A</v>
      </c>
      <c r="AB27" s="1571" t="e">
        <f t="shared" si="4"/>
        <v>#N/A</v>
      </c>
      <c r="AC27" s="1571"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38"/>
      <c r="M28" s="2130"/>
      <c r="N28" s="2130"/>
      <c r="O28" s="2137"/>
      <c r="P28" s="3684"/>
      <c r="Q28" s="1567" t="str">
        <f t="shared" si="11"/>
        <v>物业等级</v>
      </c>
      <c r="R28" s="1568" t="s">
        <v>8</v>
      </c>
      <c r="S28" s="1569">
        <f t="shared" si="12"/>
        <v>100</v>
      </c>
      <c r="T28" s="1568" t="s">
        <v>8</v>
      </c>
      <c r="U28" s="1569">
        <f t="shared" si="13"/>
        <v>100</v>
      </c>
      <c r="V28" s="1568" t="s">
        <v>8</v>
      </c>
      <c r="W28" s="1569">
        <f t="shared" si="14"/>
        <v>100</v>
      </c>
      <c r="X28" s="1562"/>
      <c r="Y28" s="3684"/>
      <c r="Z28" s="1570" t="str">
        <f t="shared" si="15"/>
        <v>物业等级</v>
      </c>
      <c r="AA28" s="1571">
        <f t="shared" si="3"/>
        <v>1</v>
      </c>
      <c r="AB28" s="1571">
        <f t="shared" si="4"/>
        <v>1</v>
      </c>
      <c r="AC28" s="1571">
        <f t="shared" si="5"/>
        <v>1</v>
      </c>
    </row>
    <row r="29" spans="1:29" ht="15">
      <c r="A29" s="592"/>
      <c r="B29" s="525" t="s">
        <v>822</v>
      </c>
      <c r="C29" s="929"/>
      <c r="D29" s="538">
        <v>100</v>
      </c>
      <c r="E29" s="929"/>
      <c r="F29" s="573">
        <f>SUMIF(84:84,E29,85:85)-SUMIF(84:84,C29,85:85)+100</f>
        <v>100</v>
      </c>
      <c r="G29" s="929"/>
      <c r="H29" s="538">
        <f>SUMIF(84:84,G29,85:85)-SUMIF(84:84,C29,85:85)+100</f>
        <v>100</v>
      </c>
      <c r="I29" s="929"/>
      <c r="J29" s="538">
        <f>SUMIF(84:84,I29,85:85)-SUMIF(84:84,C29,85:85)+100</f>
        <v>100</v>
      </c>
      <c r="K29" s="582"/>
      <c r="L29" s="2138"/>
      <c r="M29" s="2130"/>
      <c r="N29" s="2130"/>
      <c r="O29" s="2137"/>
      <c r="P29" s="3684"/>
      <c r="Q29" s="1567" t="str">
        <f t="shared" si="11"/>
        <v>有无电梯</v>
      </c>
      <c r="R29" s="1568" t="s">
        <v>8</v>
      </c>
      <c r="S29" s="1569">
        <f t="shared" si="12"/>
        <v>100</v>
      </c>
      <c r="T29" s="1568" t="s">
        <v>8</v>
      </c>
      <c r="U29" s="1569">
        <f t="shared" si="13"/>
        <v>100</v>
      </c>
      <c r="V29" s="1568" t="s">
        <v>8</v>
      </c>
      <c r="W29" s="1569">
        <f t="shared" si="14"/>
        <v>100</v>
      </c>
      <c r="X29" s="1562"/>
      <c r="Y29" s="3684"/>
      <c r="Z29" s="1570" t="str">
        <f t="shared" si="15"/>
        <v>有无电梯</v>
      </c>
      <c r="AA29" s="1571">
        <f t="shared" si="3"/>
        <v>1</v>
      </c>
      <c r="AB29" s="1571">
        <f t="shared" si="4"/>
        <v>1</v>
      </c>
      <c r="AC29" s="1571">
        <f t="shared" si="5"/>
        <v>1</v>
      </c>
    </row>
    <row r="30" spans="1:29" ht="15">
      <c r="A30" s="592"/>
      <c r="B30" s="525" t="s">
        <v>823</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38"/>
      <c r="M30" s="2130"/>
      <c r="N30" s="2130"/>
      <c r="O30" s="2137"/>
      <c r="P30" s="3684"/>
      <c r="Q30" s="1567" t="str">
        <f t="shared" si="11"/>
        <v>建筑面积</v>
      </c>
      <c r="R30" s="1568" t="s">
        <v>8</v>
      </c>
      <c r="S30" s="1569" t="e">
        <f t="shared" si="12"/>
        <v>#N/A</v>
      </c>
      <c r="T30" s="1568" t="s">
        <v>8</v>
      </c>
      <c r="U30" s="1569" t="e">
        <f t="shared" si="13"/>
        <v>#N/A</v>
      </c>
      <c r="V30" s="1568" t="s">
        <v>8</v>
      </c>
      <c r="W30" s="1569" t="e">
        <f t="shared" si="14"/>
        <v>#N/A</v>
      </c>
      <c r="X30" s="1562"/>
      <c r="Y30" s="3684"/>
      <c r="Z30" s="1570" t="str">
        <f t="shared" si="15"/>
        <v>建筑面积</v>
      </c>
      <c r="AA30" s="1571" t="e">
        <f t="shared" si="3"/>
        <v>#N/A</v>
      </c>
      <c r="AB30" s="1571" t="e">
        <f t="shared" si="4"/>
        <v>#N/A</v>
      </c>
      <c r="AC30" s="1571" t="e">
        <f t="shared" si="5"/>
        <v>#N/A</v>
      </c>
    </row>
    <row r="31" spans="1:29" s="1217" customFormat="1" ht="15">
      <c r="A31" s="598"/>
      <c r="B31" s="525" t="s">
        <v>824</v>
      </c>
      <c r="C31" s="929"/>
      <c r="D31" s="253">
        <v>100</v>
      </c>
      <c r="E31" s="929"/>
      <c r="F31" s="573">
        <f>SUMIF(89:89,E31,90:90)-SUMIF(89:89,C31,90:90)+100</f>
        <v>100</v>
      </c>
      <c r="G31" s="929"/>
      <c r="H31" s="538">
        <f>SUMIF(89:89,G31,90:90)-SUMIF(89:89,C31,90:90)+100</f>
        <v>100</v>
      </c>
      <c r="I31" s="929"/>
      <c r="J31" s="538">
        <f>SUMIF(89:89,I31,90:90)-SUMIF(89:89,C31,90:90)+100</f>
        <v>100</v>
      </c>
      <c r="K31" s="582"/>
      <c r="L31" s="2131"/>
      <c r="M31" s="2132"/>
      <c r="N31" s="2132"/>
      <c r="O31" s="2133"/>
      <c r="P31" s="3684"/>
      <c r="Q31" s="1148" t="str">
        <f t="shared" si="11"/>
        <v>是否封闭</v>
      </c>
      <c r="R31" s="1563" t="s">
        <v>8</v>
      </c>
      <c r="S31" s="1564">
        <f t="shared" si="12"/>
        <v>100</v>
      </c>
      <c r="T31" s="1563" t="s">
        <v>8</v>
      </c>
      <c r="U31" s="1564">
        <f t="shared" si="13"/>
        <v>100</v>
      </c>
      <c r="V31" s="1563" t="s">
        <v>8</v>
      </c>
      <c r="W31" s="1564">
        <f t="shared" si="14"/>
        <v>100</v>
      </c>
      <c r="X31" s="1565"/>
      <c r="Y31" s="3684"/>
      <c r="Z31" s="1147" t="str">
        <f t="shared" si="15"/>
        <v>是否封闭</v>
      </c>
      <c r="AA31" s="1566">
        <f t="shared" si="3"/>
        <v>1</v>
      </c>
      <c r="AB31" s="1566">
        <f t="shared" si="4"/>
        <v>1</v>
      </c>
      <c r="AC31" s="1566">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38"/>
      <c r="M32" s="2130"/>
      <c r="N32" s="2130"/>
      <c r="O32" s="2137"/>
      <c r="P32" s="3684" t="s">
        <v>550</v>
      </c>
      <c r="Q32" s="1567">
        <f t="shared" si="11"/>
        <v>111</v>
      </c>
      <c r="R32" s="1568" t="s">
        <v>8</v>
      </c>
      <c r="S32" s="1569">
        <f t="shared" si="12"/>
        <v>100</v>
      </c>
      <c r="T32" s="1568" t="s">
        <v>8</v>
      </c>
      <c r="U32" s="1569">
        <f t="shared" si="13"/>
        <v>100</v>
      </c>
      <c r="V32" s="1568" t="s">
        <v>8</v>
      </c>
      <c r="W32" s="1569">
        <f t="shared" si="14"/>
        <v>100</v>
      </c>
      <c r="X32" s="1562"/>
      <c r="Y32" s="3684" t="s">
        <v>550</v>
      </c>
      <c r="Z32" s="1570">
        <f t="shared" si="15"/>
        <v>111</v>
      </c>
      <c r="AA32" s="1571">
        <f t="shared" si="3"/>
        <v>1</v>
      </c>
      <c r="AB32" s="1571">
        <f t="shared" si="4"/>
        <v>1</v>
      </c>
      <c r="AC32" s="1571">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38"/>
      <c r="M33" s="2130"/>
      <c r="N33" s="2130"/>
      <c r="O33" s="2137"/>
      <c r="P33" s="3684"/>
      <c r="Q33" s="1567">
        <f t="shared" si="11"/>
        <v>111</v>
      </c>
      <c r="R33" s="1568" t="s">
        <v>8</v>
      </c>
      <c r="S33" s="1569">
        <f t="shared" si="12"/>
        <v>100</v>
      </c>
      <c r="T33" s="1568" t="s">
        <v>8</v>
      </c>
      <c r="U33" s="1569">
        <f t="shared" si="13"/>
        <v>100</v>
      </c>
      <c r="V33" s="1568" t="s">
        <v>8</v>
      </c>
      <c r="W33" s="1569">
        <f t="shared" si="14"/>
        <v>100</v>
      </c>
      <c r="X33" s="1562"/>
      <c r="Y33" s="3684"/>
      <c r="Z33" s="1570">
        <f t="shared" si="15"/>
        <v>111</v>
      </c>
      <c r="AA33" s="1571">
        <f t="shared" si="3"/>
        <v>1</v>
      </c>
      <c r="AB33" s="1571">
        <f t="shared" si="4"/>
        <v>1</v>
      </c>
      <c r="AC33" s="1571">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38"/>
      <c r="M34" s="2130"/>
      <c r="N34" s="2130"/>
      <c r="O34" s="2137"/>
      <c r="P34" s="3684"/>
      <c r="Q34" s="1567">
        <f t="shared" si="11"/>
        <v>111</v>
      </c>
      <c r="R34" s="1568" t="s">
        <v>8</v>
      </c>
      <c r="S34" s="1569">
        <f t="shared" si="12"/>
        <v>100</v>
      </c>
      <c r="T34" s="1568" t="s">
        <v>8</v>
      </c>
      <c r="U34" s="1569">
        <f t="shared" si="13"/>
        <v>100</v>
      </c>
      <c r="V34" s="1568" t="s">
        <v>8</v>
      </c>
      <c r="W34" s="1569">
        <f t="shared" si="14"/>
        <v>100</v>
      </c>
      <c r="X34" s="1562"/>
      <c r="Y34" s="3684"/>
      <c r="Z34" s="1570">
        <f t="shared" si="15"/>
        <v>111</v>
      </c>
      <c r="AA34" s="1571">
        <f t="shared" si="3"/>
        <v>1</v>
      </c>
      <c r="AB34" s="1571">
        <f t="shared" si="4"/>
        <v>1</v>
      </c>
      <c r="AC34" s="1571">
        <f t="shared" si="5"/>
        <v>1</v>
      </c>
    </row>
    <row r="35" spans="1:29" ht="15">
      <c r="A35" s="605" t="s">
        <v>736</v>
      </c>
      <c r="B35" s="884"/>
      <c r="C35" s="2623" t="s">
        <v>1</v>
      </c>
      <c r="D35" s="2624"/>
      <c r="E35" s="2625"/>
      <c r="F35" s="2626"/>
      <c r="G35" s="2627"/>
      <c r="H35" s="2628"/>
      <c r="I35" s="2625"/>
      <c r="J35" s="2628"/>
      <c r="K35" s="1606"/>
      <c r="L35" s="2140"/>
      <c r="M35" s="2141"/>
      <c r="N35" s="2130"/>
      <c r="O35" s="2141"/>
      <c r="P35" s="3679" t="str">
        <f>A35</f>
        <v>成交单价（元/平方米）</v>
      </c>
      <c r="Q35" s="3679"/>
      <c r="R35" s="3763">
        <f>E35</f>
        <v>0</v>
      </c>
      <c r="S35" s="3763"/>
      <c r="T35" s="3763">
        <f>G35</f>
        <v>0</v>
      </c>
      <c r="U35" s="3763"/>
      <c r="V35" s="3763">
        <f>I35</f>
        <v>0</v>
      </c>
      <c r="W35" s="3763"/>
      <c r="X35" s="1554"/>
      <c r="Y35" s="1576"/>
      <c r="Z35" s="1554"/>
      <c r="AA35" s="1554"/>
      <c r="AB35" s="1554"/>
      <c r="AC35" s="1554"/>
    </row>
    <row r="36" spans="1:29" ht="15.75" thickBot="1">
      <c r="A36" s="613" t="s">
        <v>2759</v>
      </c>
      <c r="B36" s="885"/>
      <c r="C36" s="2629" t="e">
        <f>R37</f>
        <v>#DIV/0!</v>
      </c>
      <c r="D36" s="2630"/>
      <c r="E36" s="2631" t="e">
        <f>R36</f>
        <v>#DIV/0!</v>
      </c>
      <c r="F36" s="2631"/>
      <c r="G36" s="2629" t="e">
        <f>T36</f>
        <v>#DIV/0!</v>
      </c>
      <c r="H36" s="2630"/>
      <c r="I36" s="2631" t="e">
        <f>V36</f>
        <v>#DIV/0!</v>
      </c>
      <c r="J36" s="2630"/>
      <c r="K36" s="1607"/>
      <c r="L36" s="2140"/>
      <c r="M36" s="2141"/>
      <c r="N36" s="2130"/>
      <c r="O36" s="2141"/>
      <c r="P36" s="3679" t="str">
        <f>A36</f>
        <v>比较价格（元/平方米）</v>
      </c>
      <c r="Q36" s="3679"/>
      <c r="R36" s="3763" t="e">
        <f>IF(F1="售价",ROUND(PRODUCT(R35,AA7:AA34),0),ROUND(PRODUCT(R35,AA7:AA34),1))</f>
        <v>#DIV/0!</v>
      </c>
      <c r="S36" s="3763"/>
      <c r="T36" s="3763" t="e">
        <f>IF(F1="售价",ROUND(PRODUCT(T35,AB7:AB34),0),ROUND(PRODUCT(T35,AB7:AB34),1))</f>
        <v>#DIV/0!</v>
      </c>
      <c r="U36" s="3763"/>
      <c r="V36" s="3763" t="e">
        <f>IF(F1="售价",ROUND(PRODUCT(V35,AC7:AC34),0),ROUND(PRODUCT(V35,AC7:AC34),1))</f>
        <v>#DIV/0!</v>
      </c>
      <c r="W36" s="3763"/>
      <c r="X36" s="1554"/>
      <c r="Y36" s="1554"/>
      <c r="Z36" s="1554"/>
      <c r="AA36" s="1554"/>
      <c r="AB36" s="1554"/>
      <c r="AC36" s="1554"/>
    </row>
    <row r="37" spans="1:29" ht="15.75" thickBot="1">
      <c r="A37" s="619" t="s">
        <v>2934</v>
      </c>
      <c r="B37" s="620"/>
      <c r="C37" s="2632" t="e">
        <f>R37</f>
        <v>#DIV/0!</v>
      </c>
      <c r="D37" s="2632"/>
      <c r="E37" s="2632"/>
      <c r="F37" s="2632"/>
      <c r="G37" s="2632"/>
      <c r="H37" s="2632"/>
      <c r="I37" s="2632"/>
      <c r="J37" s="2632"/>
      <c r="K37" s="1608"/>
      <c r="L37" s="2140"/>
      <c r="M37" s="2141"/>
      <c r="N37" s="2141"/>
      <c r="O37" s="2141"/>
      <c r="P37" s="3700" t="str">
        <f>A37</f>
        <v>估价对象XX用房的比较价格（楼面单价，元/平方米）</v>
      </c>
      <c r="Q37" s="3701"/>
      <c r="R37" s="3762" t="e">
        <f>IF(F1="售价",ROUND(AVERAGE(R36:V36),0),ROUND(AVERAGE(R36:V36),1))</f>
        <v>#DIV/0!</v>
      </c>
      <c r="S37" s="3762"/>
      <c r="T37" s="3762"/>
      <c r="U37" s="3762"/>
      <c r="V37" s="3762"/>
      <c r="W37" s="3762"/>
      <c r="X37" s="1554"/>
      <c r="Y37" s="1554"/>
      <c r="Z37" s="1554"/>
      <c r="AA37" s="1554"/>
      <c r="AB37" s="1554"/>
      <c r="AC37" s="1554"/>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42" customFormat="1" ht="13.5" customHeight="1">
      <c r="A42" s="2142"/>
      <c r="B42" s="2142"/>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42"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79" t="s">
        <v>574</v>
      </c>
      <c r="B45" s="1554"/>
      <c r="C45" s="1578"/>
      <c r="D45" s="1578"/>
      <c r="E45" s="1578"/>
      <c r="F45" s="1580"/>
      <c r="G45" s="1580"/>
      <c r="H45" s="1578"/>
      <c r="I45" s="1578"/>
      <c r="J45" s="1578"/>
      <c r="K45" s="1581"/>
      <c r="L45" s="1577"/>
      <c r="M45" s="1578"/>
      <c r="N45" s="1578"/>
      <c r="O45" s="1578"/>
      <c r="P45" s="2153"/>
      <c r="Q45" s="2154"/>
      <c r="R45" s="2141"/>
      <c r="S45" s="2141"/>
      <c r="T45" s="2141"/>
      <c r="U45" s="2141"/>
      <c r="V45" s="2141"/>
      <c r="W45" s="2141"/>
      <c r="X45" s="2141"/>
      <c r="Y45" s="2141"/>
      <c r="Z45" s="2141"/>
      <c r="AA45" s="2141"/>
      <c r="AB45" s="2141"/>
      <c r="AC45" s="2141"/>
    </row>
    <row r="46" spans="1:29" s="1344" customFormat="1" ht="15">
      <c r="A46" s="643" t="s">
        <v>529</v>
      </c>
      <c r="B46" s="644"/>
      <c r="C46" s="2798" t="str">
        <f>YEAR(C7)&amp;"-"&amp;MONTH(C7)</f>
        <v>2018-9</v>
      </c>
      <c r="D46" s="2800">
        <f>EDATE(C46,-1)</f>
        <v>43313</v>
      </c>
      <c r="E46" s="2800">
        <f t="shared" ref="E46:O46" si="16">EDATE(D46,-1)</f>
        <v>43282</v>
      </c>
      <c r="F46" s="2800">
        <f t="shared" si="16"/>
        <v>43252</v>
      </c>
      <c r="G46" s="2800">
        <f t="shared" si="16"/>
        <v>43221</v>
      </c>
      <c r="H46" s="2800">
        <f t="shared" si="16"/>
        <v>43191</v>
      </c>
      <c r="I46" s="2800">
        <f t="shared" si="16"/>
        <v>43160</v>
      </c>
      <c r="J46" s="2800">
        <f t="shared" si="16"/>
        <v>43132</v>
      </c>
      <c r="K46" s="2800">
        <f t="shared" si="16"/>
        <v>43101</v>
      </c>
      <c r="L46" s="2800">
        <f t="shared" si="16"/>
        <v>43070</v>
      </c>
      <c r="M46" s="2800">
        <f t="shared" si="16"/>
        <v>43040</v>
      </c>
      <c r="N46" s="2800">
        <f t="shared" si="16"/>
        <v>43009</v>
      </c>
      <c r="O46" s="2800">
        <f t="shared" si="16"/>
        <v>42979</v>
      </c>
      <c r="P46" s="2156"/>
      <c r="Q46" s="2157"/>
      <c r="R46" s="2157"/>
      <c r="S46" s="2157"/>
      <c r="T46" s="2157"/>
      <c r="U46" s="2157"/>
      <c r="V46" s="2157"/>
      <c r="W46" s="2157"/>
      <c r="X46" s="2157"/>
      <c r="Y46" s="2157"/>
      <c r="Z46" s="2157"/>
      <c r="AA46" s="2157"/>
      <c r="AB46" s="2157"/>
      <c r="AC46" s="2157"/>
    </row>
    <row r="47" spans="1:29" s="1217" customFormat="1" ht="15">
      <c r="A47" s="645"/>
      <c r="B47" s="646"/>
      <c r="C47" s="647">
        <v>100</v>
      </c>
      <c r="D47" s="648"/>
      <c r="E47" s="648"/>
      <c r="F47" s="648"/>
      <c r="G47" s="648"/>
      <c r="H47" s="648"/>
      <c r="I47" s="648"/>
      <c r="J47" s="648"/>
      <c r="K47" s="648"/>
      <c r="L47" s="648"/>
      <c r="M47" s="649"/>
      <c r="N47" s="648"/>
      <c r="O47" s="650"/>
      <c r="P47" s="2154"/>
      <c r="Q47" s="1989"/>
      <c r="R47" s="1989"/>
      <c r="S47" s="1989"/>
      <c r="T47" s="1989"/>
      <c r="U47" s="1989"/>
      <c r="V47" s="1989"/>
      <c r="W47" s="1989"/>
      <c r="X47" s="1989"/>
      <c r="Y47" s="1989"/>
      <c r="Z47" s="1989"/>
      <c r="AA47" s="1989"/>
      <c r="AB47" s="1989"/>
      <c r="AC47" s="1989"/>
    </row>
    <row r="48" spans="1:29" s="1217" customFormat="1" ht="15.75" thickBot="1">
      <c r="A48" s="651" t="s">
        <v>575</v>
      </c>
      <c r="B48" s="652"/>
      <c r="C48" s="653"/>
      <c r="D48" s="654"/>
      <c r="E48" s="654"/>
      <c r="F48" s="654"/>
      <c r="G48" s="654"/>
      <c r="H48" s="654"/>
      <c r="I48" s="654"/>
      <c r="J48" s="654"/>
      <c r="K48" s="654"/>
      <c r="L48" s="654"/>
      <c r="M48" s="655"/>
      <c r="N48" s="654"/>
      <c r="O48" s="656"/>
      <c r="P48" s="2154"/>
      <c r="Q48" s="2154"/>
      <c r="R48" s="1989"/>
      <c r="S48" s="1989"/>
      <c r="T48" s="1989"/>
      <c r="U48" s="1989"/>
      <c r="V48" s="1989"/>
      <c r="W48" s="1989"/>
      <c r="X48" s="1989"/>
      <c r="Y48" s="1989"/>
      <c r="Z48" s="1989"/>
      <c r="AA48" s="1989"/>
      <c r="AB48" s="1989"/>
      <c r="AC48" s="1989"/>
    </row>
    <row r="49" spans="1:29" s="1217" customFormat="1" ht="15">
      <c r="A49" s="657" t="s">
        <v>531</v>
      </c>
      <c r="B49" s="646"/>
      <c r="C49" s="658" t="s">
        <v>576</v>
      </c>
      <c r="D49" s="659"/>
      <c r="E49" s="659"/>
      <c r="F49" s="659"/>
      <c r="G49" s="659"/>
      <c r="H49" s="659"/>
      <c r="I49" s="659"/>
      <c r="J49" s="659"/>
      <c r="K49" s="659"/>
      <c r="L49" s="660"/>
      <c r="M49" s="661"/>
      <c r="N49" s="2158"/>
      <c r="O49" s="2158"/>
      <c r="P49" s="2159"/>
      <c r="Q49" s="2154"/>
      <c r="R49" s="1989"/>
      <c r="S49" s="1989"/>
      <c r="T49" s="1989"/>
      <c r="U49" s="1989"/>
      <c r="V49" s="1989"/>
      <c r="W49" s="1989"/>
      <c r="X49" s="1989"/>
      <c r="Y49" s="1989"/>
      <c r="Z49" s="1989"/>
      <c r="AA49" s="1989"/>
      <c r="AB49" s="1989"/>
      <c r="AC49" s="1989"/>
    </row>
    <row r="50" spans="1:29" s="1217" customFormat="1" ht="15.75" thickBot="1">
      <c r="A50" s="657"/>
      <c r="B50" s="646"/>
      <c r="C50" s="647">
        <v>100</v>
      </c>
      <c r="D50" s="648"/>
      <c r="E50" s="648"/>
      <c r="F50" s="648"/>
      <c r="G50" s="648"/>
      <c r="H50" s="648"/>
      <c r="I50" s="648"/>
      <c r="J50" s="648"/>
      <c r="K50" s="648"/>
      <c r="L50" s="648"/>
      <c r="M50" s="650"/>
      <c r="N50" s="2158"/>
      <c r="O50" s="2158"/>
      <c r="P50" s="2154"/>
      <c r="Q50" s="2154"/>
      <c r="R50" s="1989"/>
      <c r="S50" s="1989"/>
      <c r="T50" s="1989"/>
      <c r="U50" s="1989"/>
      <c r="V50" s="1989"/>
      <c r="W50" s="1989"/>
      <c r="X50" s="1989"/>
      <c r="Y50" s="1989"/>
      <c r="Z50" s="1989"/>
      <c r="AA50" s="1989"/>
      <c r="AB50" s="1989"/>
      <c r="AC50" s="1989"/>
    </row>
    <row r="51" spans="1:29">
      <c r="A51" s="662" t="s">
        <v>577</v>
      </c>
      <c r="B51" s="663" t="s">
        <v>534</v>
      </c>
      <c r="C51" s="702">
        <f>C9</f>
        <v>0</v>
      </c>
      <c r="D51" s="596"/>
      <c r="E51" s="596"/>
      <c r="F51" s="596"/>
      <c r="G51" s="596"/>
      <c r="H51" s="596"/>
      <c r="I51" s="596"/>
      <c r="J51" s="596"/>
      <c r="K51" s="664"/>
      <c r="L51" s="665"/>
      <c r="M51" s="666"/>
      <c r="N51" s="2160"/>
      <c r="O51" s="2160"/>
      <c r="P51" s="2161"/>
      <c r="Q51" s="2154"/>
      <c r="R51" s="2141"/>
      <c r="S51" s="2141"/>
      <c r="T51" s="2141"/>
      <c r="U51" s="2141"/>
      <c r="V51" s="2141"/>
      <c r="W51" s="2141"/>
      <c r="X51" s="2141"/>
      <c r="Y51" s="2141"/>
      <c r="Z51" s="2141"/>
      <c r="AA51" s="2141"/>
      <c r="AB51" s="2141"/>
      <c r="AC51" s="2141"/>
    </row>
    <row r="52" spans="1:29" ht="15.75" thickBot="1">
      <c r="A52" s="667"/>
      <c r="B52" s="668"/>
      <c r="C52" s="669">
        <v>100</v>
      </c>
      <c r="D52" s="669"/>
      <c r="E52" s="669"/>
      <c r="F52" s="669"/>
      <c r="G52" s="669"/>
      <c r="H52" s="669"/>
      <c r="I52" s="669"/>
      <c r="J52" s="669"/>
      <c r="K52" s="669"/>
      <c r="L52" s="669"/>
      <c r="M52" s="670"/>
      <c r="N52" s="2162"/>
      <c r="O52" s="2162"/>
      <c r="P52" s="2161"/>
      <c r="Q52" s="2154"/>
      <c r="R52" s="2141"/>
      <c r="S52" s="2141"/>
      <c r="T52" s="2141"/>
      <c r="U52" s="2141"/>
      <c r="V52" s="2141"/>
      <c r="W52" s="2141"/>
      <c r="X52" s="2141"/>
      <c r="Y52" s="2141"/>
      <c r="Z52" s="2141"/>
      <c r="AA52" s="2141"/>
      <c r="AB52" s="2141"/>
      <c r="AC52" s="2141"/>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60"/>
      <c r="O53" s="2160"/>
      <c r="P53" s="2161"/>
      <c r="Q53" s="2154"/>
      <c r="R53" s="2141"/>
      <c r="S53" s="2141"/>
      <c r="T53" s="2141"/>
      <c r="U53" s="2141"/>
      <c r="V53" s="2141"/>
      <c r="W53" s="2141"/>
      <c r="X53" s="2141"/>
      <c r="Y53" s="2141"/>
      <c r="Z53" s="2141"/>
      <c r="AA53" s="2141"/>
      <c r="AB53" s="2141"/>
      <c r="AC53" s="2141"/>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2"/>
      <c r="O54" s="2162"/>
      <c r="P54" s="2161"/>
      <c r="Q54" s="2154"/>
      <c r="R54" s="2141"/>
      <c r="S54" s="2141"/>
      <c r="T54" s="2141"/>
      <c r="U54" s="2141"/>
      <c r="V54" s="2141"/>
      <c r="W54" s="2141"/>
      <c r="X54" s="2141"/>
      <c r="Y54" s="2141"/>
      <c r="Z54" s="2141"/>
      <c r="AA54" s="2141"/>
      <c r="AB54" s="2141"/>
      <c r="AC54" s="2141"/>
    </row>
    <row r="55" spans="1:29" ht="15.75" thickTop="1">
      <c r="A55" s="667"/>
      <c r="B55" s="932">
        <f>B11</f>
        <v>111</v>
      </c>
      <c r="C55" s="539"/>
      <c r="D55" s="539"/>
      <c r="E55" s="539"/>
      <c r="F55" s="539"/>
      <c r="G55" s="539"/>
      <c r="H55" s="539"/>
      <c r="I55" s="539"/>
      <c r="J55" s="539"/>
      <c r="K55" s="682"/>
      <c r="L55" s="683"/>
      <c r="M55" s="684"/>
      <c r="N55" s="2160"/>
      <c r="O55" s="2160"/>
      <c r="P55" s="2161"/>
      <c r="Q55" s="2154"/>
      <c r="R55" s="2141"/>
      <c r="S55" s="2141"/>
      <c r="T55" s="2141"/>
      <c r="U55" s="2141"/>
      <c r="V55" s="2141"/>
      <c r="W55" s="2141"/>
      <c r="X55" s="2141"/>
      <c r="Y55" s="2141"/>
      <c r="Z55" s="2141"/>
      <c r="AA55" s="2141"/>
      <c r="AB55" s="2141"/>
      <c r="AC55" s="2141"/>
    </row>
    <row r="56" spans="1:29" ht="15.75" thickBot="1">
      <c r="A56" s="667"/>
      <c r="B56" s="668"/>
      <c r="C56" s="690"/>
      <c r="D56" s="669"/>
      <c r="E56" s="669"/>
      <c r="F56" s="669"/>
      <c r="G56" s="669"/>
      <c r="H56" s="669"/>
      <c r="I56" s="669"/>
      <c r="J56" s="669"/>
      <c r="K56" s="669"/>
      <c r="L56" s="669"/>
      <c r="M56" s="670"/>
      <c r="N56" s="2162"/>
      <c r="O56" s="2162"/>
      <c r="P56" s="2161"/>
      <c r="Q56" s="2154"/>
      <c r="R56" s="2141"/>
      <c r="S56" s="2141"/>
      <c r="T56" s="2141"/>
      <c r="U56" s="2141"/>
      <c r="V56" s="2141"/>
      <c r="W56" s="2141"/>
      <c r="X56" s="2141"/>
      <c r="Y56" s="2141"/>
      <c r="Z56" s="2141"/>
      <c r="AA56" s="2141"/>
      <c r="AB56" s="2141"/>
      <c r="AC56" s="2141"/>
    </row>
    <row r="57" spans="1:29" s="1336" customFormat="1" ht="15.75" thickTop="1">
      <c r="A57" s="685"/>
      <c r="B57" s="671">
        <f>B12</f>
        <v>111</v>
      </c>
      <c r="C57" s="539"/>
      <c r="D57" s="539"/>
      <c r="E57" s="539"/>
      <c r="F57" s="539"/>
      <c r="G57" s="686"/>
      <c r="H57" s="687"/>
      <c r="I57" s="687"/>
      <c r="J57" s="687"/>
      <c r="K57" s="687"/>
      <c r="L57" s="688"/>
      <c r="M57" s="689"/>
      <c r="N57" s="2163"/>
      <c r="O57" s="2163"/>
      <c r="P57" s="2164"/>
      <c r="Q57" s="2165"/>
      <c r="R57" s="2166"/>
      <c r="S57" s="2166"/>
      <c r="T57" s="2166"/>
      <c r="U57" s="2166"/>
      <c r="V57" s="2166"/>
      <c r="W57" s="2166"/>
      <c r="X57" s="2166"/>
      <c r="Y57" s="2166"/>
      <c r="Z57" s="2166"/>
      <c r="AA57" s="2166"/>
      <c r="AB57" s="2166"/>
      <c r="AC57" s="2166"/>
    </row>
    <row r="58" spans="1:29" s="1336" customFormat="1" ht="15.75" thickBot="1">
      <c r="A58" s="685"/>
      <c r="B58" s="676"/>
      <c r="C58" s="690"/>
      <c r="D58" s="669"/>
      <c r="E58" s="669"/>
      <c r="F58" s="669"/>
      <c r="G58" s="669"/>
      <c r="H58" s="669"/>
      <c r="I58" s="669"/>
      <c r="J58" s="669"/>
      <c r="K58" s="669"/>
      <c r="L58" s="669"/>
      <c r="M58" s="670"/>
      <c r="N58" s="2162"/>
      <c r="O58" s="2162"/>
      <c r="P58" s="2164"/>
      <c r="Q58" s="2165"/>
      <c r="R58" s="2166"/>
      <c r="S58" s="2166"/>
      <c r="T58" s="2166"/>
      <c r="U58" s="2166"/>
      <c r="V58" s="2166"/>
      <c r="W58" s="2166"/>
      <c r="X58" s="2166"/>
      <c r="Y58" s="2166"/>
      <c r="Z58" s="2166"/>
      <c r="AA58" s="2166"/>
      <c r="AB58" s="2166"/>
      <c r="AC58" s="2166"/>
    </row>
    <row r="59" spans="1:29" s="1336" customFormat="1" ht="15.75" thickTop="1">
      <c r="A59" s="685"/>
      <c r="B59" s="671">
        <f>B13</f>
        <v>111</v>
      </c>
      <c r="C59" s="539"/>
      <c r="D59" s="539"/>
      <c r="E59" s="539"/>
      <c r="F59" s="539"/>
      <c r="G59" s="686"/>
      <c r="H59" s="687"/>
      <c r="I59" s="687"/>
      <c r="J59" s="687"/>
      <c r="K59" s="687"/>
      <c r="L59" s="688"/>
      <c r="M59" s="689"/>
      <c r="N59" s="2163"/>
      <c r="O59" s="2163"/>
      <c r="P59" s="2167"/>
      <c r="Q59" s="2168"/>
      <c r="R59" s="2166"/>
      <c r="S59" s="2166"/>
      <c r="T59" s="2166"/>
      <c r="U59" s="2166"/>
      <c r="V59" s="2166"/>
      <c r="W59" s="2166"/>
      <c r="X59" s="2166"/>
      <c r="Y59" s="2166"/>
      <c r="Z59" s="2166"/>
      <c r="AA59" s="2166"/>
      <c r="AB59" s="2166"/>
      <c r="AC59" s="2166"/>
    </row>
    <row r="60" spans="1:29" s="1336" customFormat="1" ht="15.75" thickBot="1">
      <c r="A60" s="685"/>
      <c r="B60" s="676"/>
      <c r="C60" s="690"/>
      <c r="D60" s="690"/>
      <c r="E60" s="690"/>
      <c r="F60" s="690"/>
      <c r="G60" s="690"/>
      <c r="H60" s="691"/>
      <c r="I60" s="691"/>
      <c r="J60" s="691"/>
      <c r="K60" s="691"/>
      <c r="L60" s="691"/>
      <c r="M60" s="692"/>
      <c r="N60" s="2163"/>
      <c r="O60" s="2163"/>
      <c r="P60" s="2164"/>
      <c r="Q60" s="2165"/>
      <c r="R60" s="2166"/>
      <c r="S60" s="2166"/>
      <c r="T60" s="2166"/>
      <c r="U60" s="2166"/>
      <c r="V60" s="2166"/>
      <c r="W60" s="2166"/>
      <c r="X60" s="2166"/>
      <c r="Y60" s="2166"/>
      <c r="Z60" s="2166"/>
      <c r="AA60" s="2166"/>
      <c r="AB60" s="2166"/>
      <c r="AC60" s="2166"/>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0"/>
      <c r="O61" s="2160"/>
      <c r="P61" s="2170"/>
      <c r="Q61" s="2154"/>
      <c r="R61" s="2141"/>
      <c r="S61" s="2141"/>
      <c r="T61" s="2141"/>
      <c r="U61" s="2141"/>
      <c r="V61" s="2141"/>
      <c r="W61" s="2141"/>
      <c r="X61" s="2141"/>
      <c r="Y61" s="2141"/>
      <c r="Z61" s="2141"/>
      <c r="AA61" s="2141"/>
      <c r="AB61" s="2141"/>
      <c r="AC61" s="2141"/>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2"/>
      <c r="O62" s="2162"/>
      <c r="P62" s="2161"/>
      <c r="Q62" s="2154"/>
      <c r="R62" s="2141"/>
      <c r="S62" s="2141"/>
      <c r="T62" s="2141"/>
      <c r="U62" s="2141"/>
      <c r="V62" s="2141"/>
      <c r="W62" s="2141"/>
      <c r="X62" s="2141"/>
      <c r="Y62" s="2141"/>
      <c r="Z62" s="2141"/>
      <c r="AA62" s="2141"/>
      <c r="AB62" s="2141"/>
      <c r="AC62" s="2141"/>
    </row>
    <row r="63" spans="1:29" ht="15.75" thickTop="1">
      <c r="A63" s="667"/>
      <c r="B63" s="1892" t="s">
        <v>2557</v>
      </c>
      <c r="C63" s="706" t="s">
        <v>579</v>
      </c>
      <c r="D63" s="706" t="s">
        <v>580</v>
      </c>
      <c r="E63" s="706" t="s">
        <v>581</v>
      </c>
      <c r="F63" s="706" t="s">
        <v>582</v>
      </c>
      <c r="G63" s="706" t="s">
        <v>583</v>
      </c>
      <c r="H63" s="672"/>
      <c r="I63" s="672"/>
      <c r="J63" s="672"/>
      <c r="K63" s="673"/>
      <c r="L63" s="674"/>
      <c r="M63" s="675"/>
      <c r="N63" s="2160"/>
      <c r="O63" s="2160"/>
      <c r="P63" s="2161"/>
      <c r="Q63" s="2154"/>
      <c r="R63" s="2141"/>
      <c r="S63" s="2141"/>
      <c r="T63" s="2141"/>
      <c r="U63" s="2141"/>
      <c r="V63" s="2141"/>
      <c r="W63" s="2141"/>
      <c r="X63" s="2141"/>
      <c r="Y63" s="2141"/>
      <c r="Z63" s="2141"/>
      <c r="AA63" s="2141"/>
      <c r="AB63" s="2141"/>
      <c r="AC63" s="2141"/>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2"/>
      <c r="O64" s="2162"/>
      <c r="P64" s="2161"/>
      <c r="Q64" s="2154"/>
      <c r="R64" s="2141"/>
      <c r="S64" s="2141"/>
      <c r="T64" s="2141"/>
      <c r="U64" s="2141"/>
      <c r="V64" s="2141"/>
      <c r="W64" s="2141"/>
      <c r="X64" s="2141"/>
      <c r="Y64" s="2141"/>
      <c r="Z64" s="2141"/>
      <c r="AA64" s="2141"/>
      <c r="AB64" s="2141"/>
      <c r="AC64" s="2141"/>
    </row>
    <row r="65" spans="1:29" ht="15.75" thickTop="1">
      <c r="A65" s="667"/>
      <c r="B65" s="2593" t="s">
        <v>2558</v>
      </c>
      <c r="C65" s="2594" t="s">
        <v>2559</v>
      </c>
      <c r="D65" s="2594" t="s">
        <v>2560</v>
      </c>
      <c r="E65" s="2594" t="s">
        <v>2561</v>
      </c>
      <c r="F65" s="2594" t="s">
        <v>2562</v>
      </c>
      <c r="G65" s="2594" t="s">
        <v>2563</v>
      </c>
      <c r="H65" s="672"/>
      <c r="I65" s="672"/>
      <c r="J65" s="672"/>
      <c r="K65" s="672"/>
      <c r="L65" s="672"/>
      <c r="M65" s="2597"/>
      <c r="N65" s="2162"/>
      <c r="O65" s="2162"/>
      <c r="P65" s="2161"/>
      <c r="Q65" s="2154"/>
      <c r="R65" s="2141"/>
      <c r="S65" s="2141"/>
      <c r="T65" s="2141"/>
      <c r="U65" s="2141"/>
      <c r="V65" s="2141"/>
      <c r="W65" s="2141"/>
      <c r="X65" s="2141"/>
      <c r="Y65" s="2141"/>
      <c r="Z65" s="2141"/>
      <c r="AA65" s="2141"/>
      <c r="AB65" s="2141"/>
      <c r="AC65" s="2141"/>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62"/>
      <c r="O66" s="2162"/>
      <c r="P66" s="2161"/>
      <c r="Q66" s="2154"/>
      <c r="R66" s="2141"/>
      <c r="S66" s="2141"/>
      <c r="T66" s="2141"/>
      <c r="U66" s="2141"/>
      <c r="V66" s="2141"/>
      <c r="W66" s="2141"/>
      <c r="X66" s="2141"/>
      <c r="Y66" s="2141"/>
      <c r="Z66" s="2141"/>
      <c r="AA66" s="2141"/>
      <c r="AB66" s="2141"/>
      <c r="AC66" s="2141"/>
    </row>
    <row r="67" spans="1:29" ht="15.75" thickTop="1">
      <c r="A67" s="667"/>
      <c r="B67" s="671" t="s">
        <v>744</v>
      </c>
      <c r="C67" s="706" t="s">
        <v>579</v>
      </c>
      <c r="D67" s="706" t="s">
        <v>580</v>
      </c>
      <c r="E67" s="706" t="s">
        <v>581</v>
      </c>
      <c r="F67" s="706" t="s">
        <v>582</v>
      </c>
      <c r="G67" s="706" t="s">
        <v>583</v>
      </c>
      <c r="H67" s="672"/>
      <c r="I67" s="672"/>
      <c r="J67" s="672"/>
      <c r="K67" s="673"/>
      <c r="L67" s="674"/>
      <c r="M67" s="675"/>
      <c r="N67" s="2160"/>
      <c r="O67" s="2160"/>
      <c r="P67" s="2161"/>
      <c r="Q67" s="2154"/>
      <c r="R67" s="2141"/>
      <c r="S67" s="2141"/>
      <c r="T67" s="2141"/>
      <c r="U67" s="2141"/>
      <c r="V67" s="2141"/>
      <c r="W67" s="2141"/>
      <c r="X67" s="2141"/>
      <c r="Y67" s="2141"/>
      <c r="Z67" s="2141"/>
      <c r="AA67" s="2141"/>
      <c r="AB67" s="2141"/>
      <c r="AC67" s="2141"/>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2"/>
      <c r="O68" s="2162"/>
      <c r="P68" s="2161"/>
      <c r="Q68" s="2154"/>
      <c r="R68" s="2141"/>
      <c r="S68" s="2141"/>
      <c r="T68" s="2141"/>
      <c r="U68" s="2141"/>
      <c r="V68" s="2141"/>
      <c r="W68" s="2141"/>
      <c r="X68" s="2141"/>
      <c r="Y68" s="2141"/>
      <c r="Z68" s="2141"/>
      <c r="AA68" s="2141"/>
      <c r="AB68" s="2141"/>
      <c r="AC68" s="2141"/>
    </row>
    <row r="69" spans="1:29" ht="15.75" thickTop="1">
      <c r="A69" s="667"/>
      <c r="B69" s="671" t="s">
        <v>745</v>
      </c>
      <c r="C69" s="686"/>
      <c r="D69" s="686"/>
      <c r="E69" s="686"/>
      <c r="F69" s="686"/>
      <c r="G69" s="686"/>
      <c r="H69" s="716"/>
      <c r="I69" s="716"/>
      <c r="J69" s="716"/>
      <c r="K69" s="717"/>
      <c r="L69" s="718"/>
      <c r="M69" s="719"/>
      <c r="N69" s="2160"/>
      <c r="O69" s="2160"/>
      <c r="P69" s="2161"/>
      <c r="Q69" s="2154"/>
      <c r="R69" s="2141"/>
      <c r="S69" s="2141"/>
      <c r="T69" s="2141"/>
      <c r="U69" s="2141"/>
      <c r="V69" s="2141"/>
      <c r="W69" s="2141"/>
      <c r="X69" s="2141"/>
      <c r="Y69" s="2141"/>
      <c r="Z69" s="2141"/>
      <c r="AA69" s="2141"/>
      <c r="AB69" s="2141"/>
      <c r="AC69" s="2141"/>
    </row>
    <row r="70" spans="1:29" ht="15.75" thickBot="1">
      <c r="A70" s="667"/>
      <c r="B70" s="676"/>
      <c r="C70" s="677">
        <v>100</v>
      </c>
      <c r="D70" s="677">
        <f>C70-$K22</f>
        <v>100</v>
      </c>
      <c r="E70" s="677"/>
      <c r="F70" s="677"/>
      <c r="G70" s="677"/>
      <c r="H70" s="677"/>
      <c r="I70" s="677"/>
      <c r="J70" s="677"/>
      <c r="K70" s="677"/>
      <c r="L70" s="677"/>
      <c r="M70" s="678"/>
      <c r="N70" s="2162"/>
      <c r="O70" s="2162"/>
      <c r="P70" s="2161"/>
      <c r="Q70" s="2154"/>
      <c r="R70" s="2141"/>
      <c r="S70" s="2141"/>
      <c r="T70" s="2141"/>
      <c r="U70" s="2141"/>
      <c r="V70" s="2141"/>
      <c r="W70" s="2141"/>
      <c r="X70" s="2141"/>
      <c r="Y70" s="2141"/>
      <c r="Z70" s="2141"/>
      <c r="AA70" s="2141"/>
      <c r="AB70" s="2141"/>
      <c r="AC70" s="2141"/>
    </row>
    <row r="71" spans="1:29" s="1217" customFormat="1" ht="15.75" thickTop="1">
      <c r="A71" s="707"/>
      <c r="B71" s="671">
        <f>B23</f>
        <v>111</v>
      </c>
      <c r="C71" s="539"/>
      <c r="D71" s="539"/>
      <c r="E71" s="539"/>
      <c r="F71" s="539"/>
      <c r="G71" s="686"/>
      <c r="H71" s="686"/>
      <c r="I71" s="686"/>
      <c r="J71" s="686"/>
      <c r="K71" s="686"/>
      <c r="L71" s="887"/>
      <c r="M71" s="888"/>
      <c r="N71" s="2158"/>
      <c r="O71" s="2158"/>
      <c r="P71" s="2161"/>
      <c r="Q71" s="2154"/>
      <c r="R71" s="1989"/>
      <c r="S71" s="1989"/>
      <c r="T71" s="1989"/>
      <c r="U71" s="1989"/>
      <c r="V71" s="1989"/>
      <c r="W71" s="1989"/>
      <c r="X71" s="1989"/>
      <c r="Y71" s="1989"/>
      <c r="Z71" s="1989"/>
      <c r="AA71" s="1989"/>
      <c r="AB71" s="1989"/>
      <c r="AC71" s="1989"/>
    </row>
    <row r="72" spans="1:29" s="1217" customFormat="1" ht="15.75" thickBot="1">
      <c r="A72" s="707"/>
      <c r="B72" s="676"/>
      <c r="C72" s="690"/>
      <c r="D72" s="669"/>
      <c r="E72" s="669"/>
      <c r="F72" s="669"/>
      <c r="G72" s="669"/>
      <c r="H72" s="669"/>
      <c r="I72" s="669"/>
      <c r="J72" s="669"/>
      <c r="K72" s="669"/>
      <c r="L72" s="669"/>
      <c r="M72" s="670"/>
      <c r="N72" s="2162"/>
      <c r="O72" s="2162"/>
      <c r="P72" s="2161"/>
      <c r="Q72" s="2154"/>
      <c r="R72" s="1989"/>
      <c r="S72" s="1989"/>
      <c r="T72" s="1989"/>
      <c r="U72" s="1989"/>
      <c r="V72" s="1989"/>
      <c r="W72" s="1989"/>
      <c r="X72" s="1989"/>
      <c r="Y72" s="1989"/>
      <c r="Z72" s="1989"/>
      <c r="AA72" s="1989"/>
      <c r="AB72" s="1989"/>
      <c r="AC72" s="1989"/>
    </row>
    <row r="73" spans="1:29" s="1217" customFormat="1" ht="15.75" thickTop="1">
      <c r="A73" s="707"/>
      <c r="B73" s="671">
        <f>B24</f>
        <v>111</v>
      </c>
      <c r="C73" s="539"/>
      <c r="D73" s="539"/>
      <c r="E73" s="539"/>
      <c r="F73" s="539"/>
      <c r="G73" s="686"/>
      <c r="H73" s="686"/>
      <c r="I73" s="686"/>
      <c r="J73" s="686"/>
      <c r="K73" s="686"/>
      <c r="L73" s="686"/>
      <c r="M73" s="888"/>
      <c r="N73" s="2158"/>
      <c r="O73" s="2158"/>
      <c r="P73" s="2161"/>
      <c r="Q73" s="2154"/>
      <c r="R73" s="1989"/>
      <c r="S73" s="1989"/>
      <c r="T73" s="1989"/>
      <c r="U73" s="1989"/>
      <c r="V73" s="1989"/>
      <c r="W73" s="1989"/>
      <c r="X73" s="1989"/>
      <c r="Y73" s="1989"/>
      <c r="Z73" s="1989"/>
      <c r="AA73" s="1989"/>
      <c r="AB73" s="1989"/>
      <c r="AC73" s="1989"/>
    </row>
    <row r="74" spans="1:29" s="1217" customFormat="1" ht="15.75" thickBot="1">
      <c r="A74" s="707"/>
      <c r="B74" s="676"/>
      <c r="C74" s="690"/>
      <c r="D74" s="669"/>
      <c r="E74" s="669"/>
      <c r="F74" s="669"/>
      <c r="G74" s="669"/>
      <c r="H74" s="669"/>
      <c r="I74" s="669"/>
      <c r="J74" s="669"/>
      <c r="K74" s="669"/>
      <c r="L74" s="669"/>
      <c r="M74" s="670"/>
      <c r="N74" s="2162"/>
      <c r="O74" s="2162"/>
      <c r="P74" s="2161"/>
      <c r="Q74" s="2154"/>
      <c r="R74" s="1989"/>
      <c r="S74" s="1989"/>
      <c r="T74" s="1989"/>
      <c r="U74" s="1989"/>
      <c r="V74" s="1989"/>
      <c r="W74" s="1989"/>
      <c r="X74" s="1989"/>
      <c r="Y74" s="1989"/>
      <c r="Z74" s="1989"/>
      <c r="AA74" s="1989"/>
      <c r="AB74" s="1989"/>
      <c r="AC74" s="1989"/>
    </row>
    <row r="75" spans="1:29" s="1336" customFormat="1" ht="15.75" thickTop="1">
      <c r="A75" s="685"/>
      <c r="B75" s="671">
        <f>B25</f>
        <v>111</v>
      </c>
      <c r="C75" s="539"/>
      <c r="D75" s="539"/>
      <c r="E75" s="539"/>
      <c r="F75" s="539"/>
      <c r="G75" s="686"/>
      <c r="H75" s="687"/>
      <c r="I75" s="687"/>
      <c r="J75" s="687"/>
      <c r="K75" s="687"/>
      <c r="L75" s="688"/>
      <c r="M75" s="689"/>
      <c r="N75" s="2163"/>
      <c r="O75" s="2163"/>
      <c r="P75" s="2164"/>
      <c r="Q75" s="2165"/>
      <c r="R75" s="2166"/>
      <c r="S75" s="2166"/>
      <c r="T75" s="2166"/>
      <c r="U75" s="2166"/>
      <c r="V75" s="2166"/>
      <c r="W75" s="2166"/>
      <c r="X75" s="2166"/>
      <c r="Y75" s="2166"/>
      <c r="Z75" s="2166"/>
      <c r="AA75" s="2166"/>
      <c r="AB75" s="2166"/>
      <c r="AC75" s="2166"/>
    </row>
    <row r="76" spans="1:29" s="1336" customFormat="1" ht="15.75" thickBot="1">
      <c r="A76" s="685"/>
      <c r="B76" s="676"/>
      <c r="C76" s="690"/>
      <c r="D76" s="690"/>
      <c r="E76" s="690"/>
      <c r="F76" s="690"/>
      <c r="G76" s="669"/>
      <c r="H76" s="669"/>
      <c r="I76" s="669"/>
      <c r="J76" s="669"/>
      <c r="K76" s="669"/>
      <c r="L76" s="669"/>
      <c r="M76" s="670"/>
      <c r="N76" s="2163"/>
      <c r="O76" s="2163"/>
      <c r="P76" s="2164"/>
      <c r="Q76" s="2165"/>
      <c r="R76" s="2166"/>
      <c r="S76" s="2166"/>
      <c r="T76" s="2166"/>
      <c r="U76" s="2166"/>
      <c r="V76" s="2166"/>
      <c r="W76" s="2166"/>
      <c r="X76" s="2166"/>
      <c r="Y76" s="2166"/>
      <c r="Z76" s="2166"/>
      <c r="AA76" s="2166"/>
      <c r="AB76" s="2166"/>
      <c r="AC76" s="2166"/>
    </row>
    <row r="77" spans="1:29" ht="15" thickTop="1">
      <c r="A77" s="662" t="s">
        <v>551</v>
      </c>
      <c r="B77" s="663" t="s">
        <v>751</v>
      </c>
      <c r="C77" s="686"/>
      <c r="D77" s="686"/>
      <c r="E77" s="596"/>
      <c r="F77" s="596"/>
      <c r="G77" s="596"/>
      <c r="H77" s="596"/>
      <c r="I77" s="596"/>
      <c r="J77" s="596"/>
      <c r="K77" s="664"/>
      <c r="L77" s="665"/>
      <c r="M77" s="666"/>
      <c r="N77" s="2160"/>
      <c r="O77" s="2160"/>
      <c r="P77" s="2161"/>
      <c r="Q77" s="2154"/>
      <c r="R77" s="2141"/>
      <c r="S77" s="2141"/>
      <c r="T77" s="2141"/>
      <c r="U77" s="2141"/>
      <c r="V77" s="2141"/>
      <c r="W77" s="2141"/>
      <c r="X77" s="2141"/>
      <c r="Y77" s="2141"/>
      <c r="Z77" s="2141"/>
      <c r="AA77" s="2141"/>
      <c r="AB77" s="2141"/>
      <c r="AC77" s="2141"/>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58"/>
      <c r="O79" s="2158"/>
      <c r="P79" s="2161"/>
      <c r="Q79" s="2154"/>
      <c r="R79" s="2141"/>
      <c r="S79" s="2141"/>
      <c r="T79" s="2141"/>
      <c r="U79" s="2141"/>
      <c r="V79" s="2141"/>
      <c r="W79" s="2141"/>
      <c r="X79" s="2141"/>
      <c r="Y79" s="2141"/>
      <c r="Z79" s="2141"/>
      <c r="AA79" s="2141"/>
      <c r="AB79" s="2141"/>
      <c r="AC79" s="2141"/>
    </row>
    <row r="80" spans="1:29" ht="15">
      <c r="A80" s="667"/>
      <c r="B80" s="679"/>
      <c r="C80" s="891">
        <v>0.5</v>
      </c>
      <c r="D80" s="891">
        <v>0.6</v>
      </c>
      <c r="E80" s="891">
        <v>0.7</v>
      </c>
      <c r="F80" s="891">
        <v>0.8</v>
      </c>
      <c r="G80" s="891">
        <v>0.9</v>
      </c>
      <c r="H80" s="891">
        <v>1.0001</v>
      </c>
      <c r="I80" s="932"/>
      <c r="J80" s="932"/>
      <c r="K80" s="942"/>
      <c r="L80" s="943"/>
      <c r="M80" s="944"/>
      <c r="N80" s="2158"/>
      <c r="O80" s="2158"/>
      <c r="P80" s="2161"/>
      <c r="Q80" s="2154"/>
      <c r="R80" s="2141"/>
      <c r="S80" s="2141"/>
      <c r="T80" s="2141"/>
      <c r="U80" s="2141"/>
      <c r="V80" s="2141"/>
      <c r="W80" s="2141"/>
      <c r="X80" s="2141"/>
      <c r="Y80" s="2141"/>
      <c r="Z80" s="2141"/>
      <c r="AA80" s="2141"/>
      <c r="AB80" s="2141"/>
      <c r="AC80" s="2141"/>
    </row>
    <row r="81" spans="1:29" s="1336"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3"/>
      <c r="B82" s="679" t="s">
        <v>817</v>
      </c>
      <c r="C82" s="686"/>
      <c r="D82" s="686"/>
      <c r="E82" s="716"/>
      <c r="F82" s="716"/>
      <c r="G82" s="716"/>
      <c r="H82" s="716"/>
      <c r="I82" s="716"/>
      <c r="J82" s="716"/>
      <c r="K82" s="717"/>
      <c r="L82" s="718"/>
      <c r="M82" s="719"/>
      <c r="N82" s="2160"/>
      <c r="O82" s="2160"/>
      <c r="P82" s="2161"/>
      <c r="Q82" s="2154"/>
      <c r="R82" s="2141"/>
      <c r="S82" s="2141"/>
      <c r="T82" s="2141"/>
      <c r="U82" s="2141"/>
      <c r="V82" s="2141"/>
      <c r="W82" s="2141"/>
      <c r="X82" s="2141"/>
      <c r="Y82" s="2141"/>
      <c r="Z82" s="2141"/>
      <c r="AA82" s="2141"/>
      <c r="AB82" s="2141"/>
      <c r="AC82" s="2141"/>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3"/>
      <c r="B84" s="671" t="s">
        <v>825</v>
      </c>
      <c r="C84" s="686"/>
      <c r="D84" s="686"/>
      <c r="E84" s="686"/>
      <c r="F84" s="686"/>
      <c r="G84" s="686"/>
      <c r="H84" s="686"/>
      <c r="I84" s="716"/>
      <c r="J84" s="716"/>
      <c r="K84" s="717"/>
      <c r="L84" s="718"/>
      <c r="M84" s="719"/>
      <c r="N84" s="2160"/>
      <c r="O84" s="2160"/>
      <c r="P84" s="2161"/>
      <c r="Q84" s="2154"/>
      <c r="R84" s="2141"/>
      <c r="S84" s="2141"/>
      <c r="T84" s="2141"/>
      <c r="U84" s="2141"/>
      <c r="V84" s="2141"/>
      <c r="W84" s="2141"/>
      <c r="X84" s="2141"/>
      <c r="Y84" s="2141"/>
      <c r="Z84" s="2141"/>
      <c r="AA84" s="2141"/>
      <c r="AB84" s="2141"/>
      <c r="AC84" s="2141"/>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0"/>
      <c r="O86" s="2160"/>
      <c r="P86" s="2161"/>
      <c r="Q86" s="2154"/>
      <c r="R86" s="2141"/>
      <c r="S86" s="2141"/>
      <c r="T86" s="2141"/>
      <c r="U86" s="2141"/>
      <c r="V86" s="2141"/>
      <c r="W86" s="2141"/>
      <c r="X86" s="2141"/>
      <c r="Y86" s="2141"/>
      <c r="Z86" s="2141"/>
      <c r="AA86" s="2141"/>
      <c r="AB86" s="2141"/>
      <c r="AC86" s="2141"/>
    </row>
    <row r="87" spans="1:29">
      <c r="A87" s="733"/>
      <c r="B87" s="679"/>
      <c r="C87" s="728"/>
      <c r="D87" s="728"/>
      <c r="E87" s="728"/>
      <c r="F87" s="728"/>
      <c r="G87" s="728"/>
      <c r="H87" s="728"/>
      <c r="I87" s="728"/>
      <c r="J87" s="729"/>
      <c r="K87" s="729"/>
      <c r="L87" s="730"/>
      <c r="M87" s="731"/>
      <c r="N87" s="2160"/>
      <c r="O87" s="2160"/>
      <c r="P87" s="2161"/>
      <c r="Q87" s="2154"/>
      <c r="R87" s="2141"/>
      <c r="S87" s="2141"/>
      <c r="T87" s="2141"/>
      <c r="U87" s="2141"/>
      <c r="V87" s="2141"/>
      <c r="W87" s="2141"/>
      <c r="X87" s="2141"/>
      <c r="Y87" s="2141"/>
      <c r="Z87" s="2141"/>
      <c r="AA87" s="2141"/>
      <c r="AB87" s="2141"/>
      <c r="AC87" s="2141"/>
    </row>
    <row r="88" spans="1:29" ht="15.75" thickBot="1">
      <c r="A88" s="667"/>
      <c r="B88" s="676"/>
      <c r="C88" s="690"/>
      <c r="D88" s="669"/>
      <c r="E88" s="669"/>
      <c r="F88" s="669"/>
      <c r="G88" s="669"/>
      <c r="H88" s="669"/>
      <c r="I88" s="669"/>
      <c r="J88" s="669"/>
      <c r="K88" s="669"/>
      <c r="L88" s="669"/>
      <c r="M88" s="669"/>
      <c r="N88" s="2162"/>
      <c r="O88" s="2162"/>
      <c r="P88" s="2161"/>
      <c r="Q88" s="2154"/>
      <c r="R88" s="2141"/>
      <c r="S88" s="2141"/>
      <c r="T88" s="2141"/>
      <c r="U88" s="2141"/>
      <c r="V88" s="2141"/>
      <c r="W88" s="2141"/>
      <c r="X88" s="2141"/>
      <c r="Y88" s="2141"/>
      <c r="Z88" s="2141"/>
      <c r="AA88" s="2141"/>
      <c r="AB88" s="2141"/>
      <c r="AC88" s="2141"/>
    </row>
    <row r="89" spans="1:29" s="1336" customFormat="1" ht="15" thickTop="1">
      <c r="A89" s="726"/>
      <c r="B89" s="671" t="s">
        <v>827</v>
      </c>
      <c r="C89" s="686"/>
      <c r="D89" s="686"/>
      <c r="E89" s="686"/>
      <c r="F89" s="686"/>
      <c r="G89" s="686"/>
      <c r="H89" s="686"/>
      <c r="I89" s="686"/>
      <c r="J89" s="686"/>
      <c r="K89" s="686"/>
      <c r="L89" s="686"/>
      <c r="M89" s="888"/>
      <c r="N89" s="2163"/>
      <c r="O89" s="2163"/>
      <c r="P89" s="2164"/>
      <c r="Q89" s="2165"/>
      <c r="R89" s="2166"/>
      <c r="S89" s="2166"/>
      <c r="T89" s="2166"/>
      <c r="U89" s="2166"/>
      <c r="V89" s="2166"/>
      <c r="W89" s="2166"/>
      <c r="X89" s="2166"/>
      <c r="Y89" s="2166"/>
      <c r="Z89" s="2166"/>
      <c r="AA89" s="2166"/>
      <c r="AB89" s="2166"/>
      <c r="AC89" s="2166"/>
    </row>
    <row r="90" spans="1:29" s="1336" customFormat="1" ht="15.75" thickBot="1">
      <c r="A90" s="685"/>
      <c r="B90" s="676"/>
      <c r="C90" s="690"/>
      <c r="D90" s="669"/>
      <c r="E90" s="669"/>
      <c r="F90" s="669"/>
      <c r="G90" s="669"/>
      <c r="H90" s="669"/>
      <c r="I90" s="669"/>
      <c r="J90" s="669"/>
      <c r="K90" s="669"/>
      <c r="L90" s="669"/>
      <c r="M90" s="670"/>
      <c r="N90" s="2163"/>
      <c r="O90" s="2163"/>
      <c r="P90" s="2164"/>
      <c r="Q90" s="2165"/>
      <c r="R90" s="2166"/>
      <c r="S90" s="2166"/>
      <c r="T90" s="2166"/>
      <c r="U90" s="2166"/>
      <c r="V90" s="2166"/>
      <c r="W90" s="2166"/>
      <c r="X90" s="2166"/>
      <c r="Y90" s="2166"/>
      <c r="Z90" s="2166"/>
      <c r="AA90" s="2166"/>
      <c r="AB90" s="2166"/>
      <c r="AC90" s="2166"/>
    </row>
    <row r="91" spans="1:29" ht="15" thickTop="1">
      <c r="A91" s="733"/>
      <c r="B91" s="671">
        <f>B32</f>
        <v>111</v>
      </c>
      <c r="C91" s="539"/>
      <c r="D91" s="539"/>
      <c r="E91" s="539"/>
      <c r="F91" s="539"/>
      <c r="G91" s="686"/>
      <c r="H91" s="687"/>
      <c r="I91" s="687"/>
      <c r="J91" s="687"/>
      <c r="K91" s="687"/>
      <c r="L91" s="688"/>
      <c r="M91" s="689"/>
      <c r="N91" s="2160"/>
      <c r="O91" s="2160"/>
      <c r="P91" s="2161"/>
      <c r="Q91" s="2154"/>
      <c r="R91" s="2141"/>
      <c r="S91" s="2141"/>
      <c r="T91" s="2141"/>
      <c r="U91" s="2141"/>
      <c r="V91" s="2141"/>
      <c r="W91" s="2141"/>
      <c r="X91" s="2141"/>
      <c r="Y91" s="2141"/>
      <c r="Z91" s="2141"/>
      <c r="AA91" s="2141"/>
      <c r="AB91" s="2141"/>
      <c r="AC91" s="2141"/>
    </row>
    <row r="92" spans="1:29" ht="15.75" thickBot="1">
      <c r="A92" s="667"/>
      <c r="B92" s="676"/>
      <c r="C92" s="690"/>
      <c r="D92" s="669"/>
      <c r="E92" s="669"/>
      <c r="F92" s="669"/>
      <c r="G92" s="690"/>
      <c r="H92" s="691"/>
      <c r="I92" s="691"/>
      <c r="J92" s="691"/>
      <c r="K92" s="691"/>
      <c r="L92" s="691"/>
      <c r="M92" s="692"/>
      <c r="N92" s="2162"/>
      <c r="O92" s="2162"/>
      <c r="P92" s="2161"/>
      <c r="Q92" s="2154"/>
      <c r="R92" s="2141"/>
      <c r="S92" s="2141"/>
      <c r="T92" s="2141"/>
      <c r="U92" s="2141"/>
      <c r="V92" s="2141"/>
      <c r="W92" s="2141"/>
      <c r="X92" s="2141"/>
      <c r="Y92" s="2141"/>
      <c r="Z92" s="2141"/>
      <c r="AA92" s="2141"/>
      <c r="AB92" s="2141"/>
      <c r="AC92" s="2141"/>
    </row>
    <row r="93" spans="1:29" ht="15" thickTop="1">
      <c r="A93" s="733"/>
      <c r="B93" s="671">
        <f>B33</f>
        <v>111</v>
      </c>
      <c r="C93" s="539"/>
      <c r="D93" s="539"/>
      <c r="E93" s="539"/>
      <c r="F93" s="539"/>
      <c r="G93" s="686"/>
      <c r="H93" s="687"/>
      <c r="I93" s="687"/>
      <c r="J93" s="687"/>
      <c r="K93" s="687"/>
      <c r="L93" s="688"/>
      <c r="M93" s="689"/>
      <c r="N93" s="2160"/>
      <c r="O93" s="2160"/>
      <c r="P93" s="2161"/>
      <c r="Q93" s="2154"/>
      <c r="R93" s="2141"/>
      <c r="S93" s="2141"/>
      <c r="T93" s="2141"/>
      <c r="U93" s="2141"/>
      <c r="V93" s="2141"/>
      <c r="W93" s="2141"/>
      <c r="X93" s="2141"/>
      <c r="Y93" s="2141"/>
      <c r="Z93" s="2141"/>
      <c r="AA93" s="2141"/>
      <c r="AB93" s="2141"/>
      <c r="AC93" s="2141"/>
    </row>
    <row r="94" spans="1:29" ht="15.75" thickBot="1">
      <c r="A94" s="667"/>
      <c r="B94" s="676"/>
      <c r="C94" s="690"/>
      <c r="D94" s="669"/>
      <c r="E94" s="669"/>
      <c r="F94" s="669"/>
      <c r="G94" s="690"/>
      <c r="H94" s="691"/>
      <c r="I94" s="691"/>
      <c r="J94" s="691"/>
      <c r="K94" s="691"/>
      <c r="L94" s="691"/>
      <c r="M94" s="692"/>
      <c r="N94" s="2162"/>
      <c r="O94" s="2162"/>
      <c r="P94" s="2161"/>
      <c r="Q94" s="2154"/>
      <c r="R94" s="2141"/>
      <c r="S94" s="2141"/>
      <c r="T94" s="2141"/>
      <c r="U94" s="2141"/>
      <c r="V94" s="2141"/>
      <c r="W94" s="2141"/>
      <c r="X94" s="2141"/>
      <c r="Y94" s="2141"/>
      <c r="Z94" s="2141"/>
      <c r="AA94" s="2141"/>
      <c r="AB94" s="2141"/>
      <c r="AC94" s="2141"/>
    </row>
    <row r="95" spans="1:29" ht="15" thickTop="1">
      <c r="A95" s="733"/>
      <c r="B95" s="914">
        <f>B34</f>
        <v>111</v>
      </c>
      <c r="C95" s="539"/>
      <c r="D95" s="539"/>
      <c r="E95" s="539"/>
      <c r="F95" s="539"/>
      <c r="G95" s="686"/>
      <c r="H95" s="687"/>
      <c r="I95" s="687"/>
      <c r="J95" s="687"/>
      <c r="K95" s="687"/>
      <c r="L95" s="688"/>
      <c r="M95" s="689"/>
      <c r="N95" s="2162"/>
      <c r="O95" s="2162"/>
      <c r="P95" s="2201"/>
      <c r="Q95" s="2202"/>
      <c r="R95" s="2141"/>
      <c r="S95" s="2141"/>
      <c r="T95" s="2141"/>
      <c r="U95" s="2141"/>
      <c r="V95" s="2141"/>
      <c r="W95" s="2141"/>
      <c r="X95" s="2141"/>
      <c r="Y95" s="2141"/>
      <c r="Z95" s="2141"/>
      <c r="AA95" s="2141"/>
      <c r="AB95" s="2141"/>
      <c r="AC95" s="2141"/>
    </row>
    <row r="96" spans="1:29" ht="15.75" thickBot="1">
      <c r="A96" s="667"/>
      <c r="B96" s="676"/>
      <c r="C96" s="690"/>
      <c r="D96" s="690"/>
      <c r="E96" s="690"/>
      <c r="F96" s="690"/>
      <c r="G96" s="690"/>
      <c r="H96" s="691"/>
      <c r="I96" s="691"/>
      <c r="J96" s="691"/>
      <c r="K96" s="691"/>
      <c r="L96" s="691"/>
      <c r="M96" s="692"/>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1"/>
    <col min="19" max="19" width="9" style="1247"/>
    <col min="20" max="35" width="9" style="255"/>
    <col min="36" max="16384" width="9" style="1247"/>
  </cols>
  <sheetData>
    <row r="1" spans="1:45" s="255" customFormat="1" ht="14.25" customHeight="1" thickBot="1">
      <c r="A1" s="363"/>
      <c r="B1" s="2230" t="s">
        <v>2303</v>
      </c>
      <c r="C1" s="3804" t="s">
        <v>2304</v>
      </c>
      <c r="D1" s="3805"/>
      <c r="E1" s="3805"/>
      <c r="F1" s="3805"/>
      <c r="G1" s="3805"/>
      <c r="H1" s="3805"/>
      <c r="I1" s="3805"/>
      <c r="J1" s="3805"/>
      <c r="K1" s="3805"/>
      <c r="L1" s="3805"/>
      <c r="M1" s="3805"/>
      <c r="N1" s="3805"/>
      <c r="O1" s="3805"/>
      <c r="P1" s="3805"/>
      <c r="Q1" s="3805"/>
      <c r="R1" s="3805"/>
      <c r="S1" s="3806"/>
      <c r="T1" s="2230" t="s">
        <v>2305</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6" t="s">
        <v>2306</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2" t="str">
        <f>S3&amp;"(含)"&amp;"-"</f>
        <v>(含)-</v>
      </c>
      <c r="T2" s="949"/>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50"/>
      <c r="C3" s="951"/>
      <c r="D3" s="952"/>
      <c r="E3" s="952"/>
      <c r="F3" s="952"/>
      <c r="G3" s="952"/>
      <c r="H3" s="952"/>
      <c r="I3" s="952"/>
      <c r="J3" s="953"/>
      <c r="K3" s="953"/>
      <c r="L3" s="954"/>
      <c r="M3" s="2235"/>
      <c r="N3" s="2236"/>
      <c r="O3" s="952"/>
      <c r="P3" s="952"/>
      <c r="Q3" s="952"/>
      <c r="R3" s="952"/>
      <c r="S3" s="2237"/>
      <c r="T3" s="955"/>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085" t="s">
        <v>2927</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087" t="s">
        <v>2926</v>
      </c>
      <c r="C7" s="1957"/>
      <c r="D7" s="1958"/>
      <c r="E7" s="1958"/>
      <c r="F7" s="1958"/>
      <c r="G7" s="1958"/>
      <c r="H7" s="1958"/>
      <c r="I7" s="1958"/>
      <c r="J7" s="1958"/>
      <c r="K7" s="1958"/>
      <c r="L7" s="1958"/>
      <c r="M7" s="2255"/>
      <c r="N7" s="2256"/>
      <c r="O7" s="2257"/>
      <c r="P7" s="2258"/>
      <c r="Q7" s="2259"/>
      <c r="R7" s="2260"/>
      <c r="S7" s="2261"/>
      <c r="T7" s="956"/>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087" t="s">
        <v>2925</v>
      </c>
      <c r="C9" s="1957"/>
      <c r="D9" s="1958"/>
      <c r="E9" s="1958"/>
      <c r="F9" s="1958"/>
      <c r="G9" s="1958"/>
      <c r="H9" s="1958"/>
      <c r="I9" s="1958"/>
      <c r="J9" s="1958"/>
      <c r="K9" s="1958"/>
      <c r="L9" s="1959"/>
      <c r="M9" s="2255"/>
      <c r="N9" s="2256"/>
      <c r="O9" s="2257"/>
      <c r="P9" s="2258"/>
      <c r="Q9" s="2259"/>
      <c r="R9" s="2260"/>
      <c r="S9" s="2261"/>
      <c r="T9" s="956"/>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086"/>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085" t="s">
        <v>2940</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085" t="s">
        <v>2924</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085" t="s">
        <v>2923</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2307</v>
      </c>
      <c r="B17" s="2274" t="s">
        <v>2308</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09"/>
      <c r="B19" s="945"/>
      <c r="C19" s="1986"/>
      <c r="D19" s="1986"/>
      <c r="E19" s="1986"/>
      <c r="F19" s="1986"/>
      <c r="G19" s="1986"/>
      <c r="H19" s="1986"/>
      <c r="I19" s="1986"/>
      <c r="J19" s="1986"/>
      <c r="K19" s="1986"/>
      <c r="L19" s="1986"/>
      <c r="M19" s="1986"/>
      <c r="N19" s="1986"/>
      <c r="O19" s="1986"/>
      <c r="P19" s="1986"/>
      <c r="Q19" s="1986"/>
      <c r="R19" s="2221"/>
      <c r="S19" s="2024"/>
    </row>
    <row r="20" spans="1:45" ht="15.75">
      <c r="A20" s="957" t="s">
        <v>828</v>
      </c>
      <c r="B20" s="773">
        <f>S22</f>
        <v>0</v>
      </c>
      <c r="C20" s="1986"/>
      <c r="D20" s="1986"/>
      <c r="E20" s="1986"/>
      <c r="F20" s="1986"/>
      <c r="G20" s="1986"/>
      <c r="H20" s="1986"/>
      <c r="I20" s="1986"/>
      <c r="J20" s="1986"/>
      <c r="K20" s="1986"/>
      <c r="L20" s="1986"/>
      <c r="M20" s="1986"/>
      <c r="N20" s="1986"/>
      <c r="O20" s="1986"/>
      <c r="P20" s="1986"/>
      <c r="Q20" s="1986"/>
      <c r="R20" s="2221"/>
      <c r="S20" s="2024"/>
    </row>
    <row r="21" spans="1:45" ht="15.75">
      <c r="A21" s="957" t="s">
        <v>829</v>
      </c>
      <c r="B21" s="773" t="e">
        <f>R22</f>
        <v>#DIV/0!</v>
      </c>
      <c r="C21" s="1986"/>
      <c r="D21" s="1986"/>
      <c r="E21" s="1986"/>
      <c r="F21" s="1986"/>
      <c r="G21" s="1986"/>
      <c r="H21" s="1986"/>
      <c r="I21" s="1986"/>
      <c r="J21" s="1986"/>
      <c r="K21" s="1986"/>
      <c r="L21" s="1986"/>
      <c r="M21" s="1986"/>
      <c r="N21" s="1986"/>
      <c r="O21" s="1986"/>
      <c r="P21" s="1986"/>
      <c r="Q21" s="1986"/>
      <c r="R21" s="2221"/>
      <c r="S21" s="2024"/>
    </row>
    <row r="22" spans="1:45">
      <c r="A22" s="797" t="s">
        <v>830</v>
      </c>
      <c r="B22" s="53">
        <f>SUM(B24:B10000)</f>
        <v>0</v>
      </c>
      <c r="C22" s="3801" t="s">
        <v>20</v>
      </c>
      <c r="D22" s="3802"/>
      <c r="E22" s="3802"/>
      <c r="F22" s="3802"/>
      <c r="G22" s="3802"/>
      <c r="H22" s="3802"/>
      <c r="I22" s="3802"/>
      <c r="J22" s="3802"/>
      <c r="K22" s="3802"/>
      <c r="L22" s="3802"/>
      <c r="M22" s="3802"/>
      <c r="N22" s="3802"/>
      <c r="O22" s="3802"/>
      <c r="P22" s="3802"/>
      <c r="Q22" s="3803"/>
      <c r="R22" s="488" t="e">
        <f>ROUND(S22*10000/B22,0)</f>
        <v>#DIV/0!</v>
      </c>
      <c r="S22" s="53">
        <f>SUM(S24:S10000)</f>
        <v>0</v>
      </c>
    </row>
    <row r="23" spans="1:45" s="160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610"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IF(B25="",0,ROUND($R$24*C25*E25*G25*I25*K25*M25*O25*Q25,0))</f>
        <v>0</v>
      </c>
      <c r="S25" s="797">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8">
        <f t="shared" ref="R26:R89" si="20">IF(B26="",0,ROUND($R$24*C26*E26*G26*I26*K26*M26*O26*Q26,0))</f>
        <v>0</v>
      </c>
      <c r="S26" s="797">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8">
        <f t="shared" si="20"/>
        <v>0</v>
      </c>
      <c r="S27" s="797">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8">
        <f t="shared" si="20"/>
        <v>0</v>
      </c>
      <c r="S28" s="797">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8">
        <f t="shared" si="20"/>
        <v>0</v>
      </c>
      <c r="S29" s="797">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8">
        <f t="shared" si="20"/>
        <v>0</v>
      </c>
      <c r="S30" s="797">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8">
        <f t="shared" si="20"/>
        <v>0</v>
      </c>
      <c r="S31" s="797">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8">
        <f t="shared" si="20"/>
        <v>0</v>
      </c>
      <c r="S32" s="797">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8">
        <f t="shared" si="20"/>
        <v>0</v>
      </c>
      <c r="S33" s="797">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8">
        <f t="shared" si="20"/>
        <v>0</v>
      </c>
      <c r="S34" s="797">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8">
        <f t="shared" si="20"/>
        <v>0</v>
      </c>
      <c r="S35" s="797">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8">
        <f t="shared" si="20"/>
        <v>0</v>
      </c>
      <c r="S36" s="797">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8">
        <f t="shared" si="20"/>
        <v>0</v>
      </c>
      <c r="S37" s="797">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8">
        <f t="shared" si="20"/>
        <v>0</v>
      </c>
      <c r="S38" s="797">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8">
        <f t="shared" si="20"/>
        <v>0</v>
      </c>
      <c r="S39" s="797">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8">
        <f t="shared" si="20"/>
        <v>0</v>
      </c>
      <c r="S40" s="797">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8">
        <f t="shared" si="20"/>
        <v>0</v>
      </c>
      <c r="S41" s="797">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8">
        <f t="shared" si="20"/>
        <v>0</v>
      </c>
      <c r="S42" s="797">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8">
        <f t="shared" si="20"/>
        <v>0</v>
      </c>
      <c r="S43" s="797">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8">
        <f t="shared" si="20"/>
        <v>0</v>
      </c>
      <c r="S44" s="797">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8">
        <f t="shared" si="20"/>
        <v>0</v>
      </c>
      <c r="S45" s="797">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8">
        <f t="shared" si="20"/>
        <v>0</v>
      </c>
      <c r="S46" s="797">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8">
        <f t="shared" si="20"/>
        <v>0</v>
      </c>
      <c r="S47" s="797">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8">
        <f t="shared" si="20"/>
        <v>0</v>
      </c>
      <c r="S48" s="797">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8">
        <f t="shared" si="20"/>
        <v>0</v>
      </c>
      <c r="S49" s="797">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8">
        <f t="shared" si="20"/>
        <v>0</v>
      </c>
      <c r="S50" s="797">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8">
        <f t="shared" si="20"/>
        <v>0</v>
      </c>
      <c r="S51" s="797">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8">
        <f t="shared" si="20"/>
        <v>0</v>
      </c>
      <c r="S52" s="797">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8">
        <f t="shared" si="20"/>
        <v>0</v>
      </c>
      <c r="S53" s="797">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8">
        <f t="shared" si="20"/>
        <v>0</v>
      </c>
      <c r="S54" s="797">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8">
        <f t="shared" si="20"/>
        <v>0</v>
      </c>
      <c r="S55" s="797">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8">
        <f t="shared" si="20"/>
        <v>0</v>
      </c>
      <c r="S56" s="797">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8">
        <f t="shared" si="20"/>
        <v>0</v>
      </c>
      <c r="S57" s="797">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8">
        <f t="shared" si="20"/>
        <v>0</v>
      </c>
      <c r="S58" s="797">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8">
        <f t="shared" si="20"/>
        <v>0</v>
      </c>
      <c r="S59" s="797">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8">
        <f t="shared" si="20"/>
        <v>0</v>
      </c>
      <c r="S60" s="797">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8">
        <f t="shared" si="20"/>
        <v>0</v>
      </c>
      <c r="S61" s="797">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8">
        <f t="shared" si="20"/>
        <v>0</v>
      </c>
      <c r="S62" s="797">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8">
        <f t="shared" si="20"/>
        <v>0</v>
      </c>
      <c r="S63" s="797">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8">
        <f t="shared" si="20"/>
        <v>0</v>
      </c>
      <c r="S64" s="797">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8">
        <f t="shared" si="20"/>
        <v>0</v>
      </c>
      <c r="S65" s="797">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8">
        <f t="shared" si="20"/>
        <v>0</v>
      </c>
      <c r="S66" s="797">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8">
        <f t="shared" si="20"/>
        <v>0</v>
      </c>
      <c r="S67" s="797">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8">
        <f t="shared" si="20"/>
        <v>0</v>
      </c>
      <c r="S68" s="797">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8">
        <f t="shared" si="20"/>
        <v>0</v>
      </c>
      <c r="S69" s="797">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8">
        <f t="shared" si="20"/>
        <v>0</v>
      </c>
      <c r="S70" s="797">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8">
        <f t="shared" si="20"/>
        <v>0</v>
      </c>
      <c r="S71" s="797">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8">
        <f t="shared" si="20"/>
        <v>0</v>
      </c>
      <c r="S72" s="797">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8">
        <f t="shared" si="20"/>
        <v>0</v>
      </c>
      <c r="S73" s="797">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8">
        <f t="shared" si="20"/>
        <v>0</v>
      </c>
      <c r="S74" s="797">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8">
        <f t="shared" si="20"/>
        <v>0</v>
      </c>
      <c r="S75" s="797">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8">
        <f t="shared" si="20"/>
        <v>0</v>
      </c>
      <c r="S76" s="797">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8">
        <f t="shared" si="20"/>
        <v>0</v>
      </c>
      <c r="S77" s="797">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8">
        <f t="shared" si="20"/>
        <v>0</v>
      </c>
      <c r="S78" s="797">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8">
        <f t="shared" si="20"/>
        <v>0</v>
      </c>
      <c r="S79" s="797">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8">
        <f t="shared" si="20"/>
        <v>0</v>
      </c>
      <c r="S80" s="797">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8">
        <f t="shared" si="20"/>
        <v>0</v>
      </c>
      <c r="S81" s="797">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8">
        <f t="shared" si="20"/>
        <v>0</v>
      </c>
      <c r="S82" s="797">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8">
        <f t="shared" si="20"/>
        <v>0</v>
      </c>
      <c r="S83" s="797">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8">
        <f t="shared" si="20"/>
        <v>0</v>
      </c>
      <c r="S84" s="797">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8">
        <f t="shared" si="20"/>
        <v>0</v>
      </c>
      <c r="S85" s="797">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8">
        <f t="shared" si="20"/>
        <v>0</v>
      </c>
      <c r="S86" s="797">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8">
        <f t="shared" si="20"/>
        <v>0</v>
      </c>
      <c r="S87" s="797">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8">
        <f t="shared" si="20"/>
        <v>0</v>
      </c>
      <c r="S88" s="797">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8">
        <f t="shared" si="20"/>
        <v>0</v>
      </c>
      <c r="S89" s="797">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8">
        <f t="shared" ref="R90:R153" si="31">IF(B90="",0,ROUND($R$24*C90*E90*G90*I90*K90*M90*O90*Q90,0))</f>
        <v>0</v>
      </c>
      <c r="S90" s="797">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8">
        <f t="shared" si="31"/>
        <v>0</v>
      </c>
      <c r="S91" s="797">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8">
        <f t="shared" si="31"/>
        <v>0</v>
      </c>
      <c r="S92" s="797">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8">
        <f t="shared" si="31"/>
        <v>0</v>
      </c>
      <c r="S93" s="797">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8">
        <f t="shared" si="31"/>
        <v>0</v>
      </c>
      <c r="S94" s="797">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8">
        <f t="shared" si="31"/>
        <v>0</v>
      </c>
      <c r="S95" s="797">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8">
        <f t="shared" si="31"/>
        <v>0</v>
      </c>
      <c r="S96" s="797">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8">
        <f t="shared" si="31"/>
        <v>0</v>
      </c>
      <c r="S97" s="797">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8">
        <f t="shared" si="31"/>
        <v>0</v>
      </c>
      <c r="S98" s="797">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8">
        <f t="shared" si="31"/>
        <v>0</v>
      </c>
      <c r="S99" s="797">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8">
        <f t="shared" si="31"/>
        <v>0</v>
      </c>
      <c r="S100" s="797">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8">
        <f t="shared" si="31"/>
        <v>0</v>
      </c>
      <c r="S101" s="797">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8">
        <f t="shared" si="31"/>
        <v>0</v>
      </c>
      <c r="S102" s="797">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8">
        <f t="shared" si="31"/>
        <v>0</v>
      </c>
      <c r="S103" s="797">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8">
        <f t="shared" si="31"/>
        <v>0</v>
      </c>
      <c r="S104" s="797">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8">
        <f t="shared" si="31"/>
        <v>0</v>
      </c>
      <c r="S105" s="797">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8">
        <f t="shared" si="31"/>
        <v>0</v>
      </c>
      <c r="S106" s="797">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8">
        <f t="shared" si="31"/>
        <v>0</v>
      </c>
      <c r="S107" s="797">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8">
        <f t="shared" si="31"/>
        <v>0</v>
      </c>
      <c r="S108" s="797">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8">
        <f t="shared" si="31"/>
        <v>0</v>
      </c>
      <c r="S109" s="797">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8">
        <f t="shared" si="31"/>
        <v>0</v>
      </c>
      <c r="S110" s="797">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8">
        <f t="shared" si="31"/>
        <v>0</v>
      </c>
      <c r="S111" s="797">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8">
        <f t="shared" si="31"/>
        <v>0</v>
      </c>
      <c r="S112" s="797">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8">
        <f t="shared" si="31"/>
        <v>0</v>
      </c>
      <c r="S113" s="797">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8">
        <f t="shared" si="31"/>
        <v>0</v>
      </c>
      <c r="S114" s="797">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8">
        <f t="shared" si="31"/>
        <v>0</v>
      </c>
      <c r="S115" s="797">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8">
        <f t="shared" si="31"/>
        <v>0</v>
      </c>
      <c r="S116" s="797">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8">
        <f t="shared" si="31"/>
        <v>0</v>
      </c>
      <c r="S117" s="797">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8">
        <f t="shared" si="31"/>
        <v>0</v>
      </c>
      <c r="S118" s="797">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8">
        <f t="shared" si="31"/>
        <v>0</v>
      </c>
      <c r="S119" s="797">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8">
        <f t="shared" si="31"/>
        <v>0</v>
      </c>
      <c r="S120" s="797">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8">
        <f t="shared" si="31"/>
        <v>0</v>
      </c>
      <c r="S121" s="797">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8">
        <f t="shared" si="31"/>
        <v>0</v>
      </c>
      <c r="S122" s="797">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8">
        <f t="shared" si="31"/>
        <v>0</v>
      </c>
      <c r="S123" s="797">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8">
        <f t="shared" si="31"/>
        <v>0</v>
      </c>
      <c r="S124" s="797">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8">
        <f t="shared" si="31"/>
        <v>0</v>
      </c>
      <c r="S125" s="797">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8">
        <f t="shared" si="31"/>
        <v>0</v>
      </c>
      <c r="S126" s="797">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8">
        <f t="shared" si="31"/>
        <v>0</v>
      </c>
      <c r="S127" s="797">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8">
        <f t="shared" si="31"/>
        <v>0</v>
      </c>
      <c r="S128" s="797">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8">
        <f t="shared" si="31"/>
        <v>0</v>
      </c>
      <c r="S129" s="797">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8">
        <f t="shared" si="31"/>
        <v>0</v>
      </c>
      <c r="S130" s="797">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8">
        <f t="shared" si="31"/>
        <v>0</v>
      </c>
      <c r="S131" s="797">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8">
        <f t="shared" si="31"/>
        <v>0</v>
      </c>
      <c r="S132" s="797">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8">
        <f t="shared" si="31"/>
        <v>0</v>
      </c>
      <c r="S133" s="797">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8">
        <f t="shared" si="31"/>
        <v>0</v>
      </c>
      <c r="S134" s="797">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8">
        <f t="shared" si="31"/>
        <v>0</v>
      </c>
      <c r="S135" s="797">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8">
        <f t="shared" si="31"/>
        <v>0</v>
      </c>
      <c r="S136" s="797">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8">
        <f t="shared" si="31"/>
        <v>0</v>
      </c>
      <c r="S137" s="797">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8">
        <f t="shared" si="31"/>
        <v>0</v>
      </c>
      <c r="S138" s="797">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8">
        <f t="shared" si="31"/>
        <v>0</v>
      </c>
      <c r="S139" s="797">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8">
        <f t="shared" si="31"/>
        <v>0</v>
      </c>
      <c r="S140" s="797">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8">
        <f t="shared" si="31"/>
        <v>0</v>
      </c>
      <c r="S141" s="797">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8">
        <f t="shared" si="31"/>
        <v>0</v>
      </c>
      <c r="S142" s="797">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8">
        <f t="shared" si="31"/>
        <v>0</v>
      </c>
      <c r="S143" s="797">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8">
        <f t="shared" si="31"/>
        <v>0</v>
      </c>
      <c r="S144" s="797">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8">
        <f t="shared" si="31"/>
        <v>0</v>
      </c>
      <c r="S145" s="797">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8">
        <f t="shared" si="31"/>
        <v>0</v>
      </c>
      <c r="S146" s="797">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8">
        <f t="shared" si="31"/>
        <v>0</v>
      </c>
      <c r="S147" s="797">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8">
        <f t="shared" si="31"/>
        <v>0</v>
      </c>
      <c r="S148" s="797">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8">
        <f t="shared" si="31"/>
        <v>0</v>
      </c>
      <c r="S149" s="797">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8">
        <f t="shared" si="31"/>
        <v>0</v>
      </c>
      <c r="S150" s="797">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8">
        <f t="shared" si="31"/>
        <v>0</v>
      </c>
      <c r="S151" s="797">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8">
        <f t="shared" si="31"/>
        <v>0</v>
      </c>
      <c r="S152" s="797">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8">
        <f t="shared" si="31"/>
        <v>0</v>
      </c>
      <c r="S153" s="797">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8">
        <f t="shared" ref="R154:R217" si="41">IF(B154="",0,ROUND($R$24*C154*E154*G154*I154*K154*M154*O154*Q154,0))</f>
        <v>0</v>
      </c>
      <c r="S154" s="797">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8">
        <f t="shared" si="41"/>
        <v>0</v>
      </c>
      <c r="S155" s="797">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8">
        <f t="shared" si="41"/>
        <v>0</v>
      </c>
      <c r="S156" s="797">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8">
        <f t="shared" si="41"/>
        <v>0</v>
      </c>
      <c r="S157" s="797">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8">
        <f t="shared" si="41"/>
        <v>0</v>
      </c>
      <c r="S158" s="797">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8">
        <f t="shared" si="41"/>
        <v>0</v>
      </c>
      <c r="S159" s="797">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8">
        <f t="shared" si="41"/>
        <v>0</v>
      </c>
      <c r="S160" s="797">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8">
        <f t="shared" si="41"/>
        <v>0</v>
      </c>
      <c r="S161" s="797">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8">
        <f t="shared" si="41"/>
        <v>0</v>
      </c>
      <c r="S162" s="797">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8">
        <f t="shared" si="41"/>
        <v>0</v>
      </c>
      <c r="S163" s="797">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8">
        <f t="shared" si="41"/>
        <v>0</v>
      </c>
      <c r="S164" s="797">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8">
        <f t="shared" si="41"/>
        <v>0</v>
      </c>
      <c r="S165" s="797">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8">
        <f t="shared" si="41"/>
        <v>0</v>
      </c>
      <c r="S166" s="797">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8">
        <f t="shared" si="41"/>
        <v>0</v>
      </c>
      <c r="S167" s="797">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8">
        <f t="shared" si="41"/>
        <v>0</v>
      </c>
      <c r="S168" s="797">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8">
        <f t="shared" si="41"/>
        <v>0</v>
      </c>
      <c r="S169" s="797">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8">
        <f t="shared" si="41"/>
        <v>0</v>
      </c>
      <c r="S170" s="797">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8">
        <f t="shared" si="41"/>
        <v>0</v>
      </c>
      <c r="S171" s="797">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8">
        <f t="shared" si="41"/>
        <v>0</v>
      </c>
      <c r="S172" s="797">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8">
        <f t="shared" si="41"/>
        <v>0</v>
      </c>
      <c r="S173" s="797">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8">
        <f t="shared" si="41"/>
        <v>0</v>
      </c>
      <c r="S174" s="797">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8">
        <f t="shared" si="41"/>
        <v>0</v>
      </c>
      <c r="S175" s="797">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8">
        <f t="shared" si="41"/>
        <v>0</v>
      </c>
      <c r="S176" s="797">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8">
        <f t="shared" si="41"/>
        <v>0</v>
      </c>
      <c r="S177" s="797">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8">
        <f t="shared" si="41"/>
        <v>0</v>
      </c>
      <c r="S178" s="797">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8">
        <f t="shared" si="41"/>
        <v>0</v>
      </c>
      <c r="S179" s="797">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8">
        <f t="shared" si="41"/>
        <v>0</v>
      </c>
      <c r="S180" s="797">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8">
        <f t="shared" si="41"/>
        <v>0</v>
      </c>
      <c r="S181" s="797">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8">
        <f t="shared" si="41"/>
        <v>0</v>
      </c>
      <c r="S182" s="797">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8">
        <f t="shared" si="41"/>
        <v>0</v>
      </c>
      <c r="S183" s="797">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8">
        <f t="shared" si="41"/>
        <v>0</v>
      </c>
      <c r="S184" s="797">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8">
        <f t="shared" si="41"/>
        <v>0</v>
      </c>
      <c r="S185" s="797">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8">
        <f t="shared" si="41"/>
        <v>0</v>
      </c>
      <c r="S186" s="797">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8">
        <f t="shared" si="41"/>
        <v>0</v>
      </c>
      <c r="S187" s="797">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8">
        <f t="shared" si="41"/>
        <v>0</v>
      </c>
      <c r="S188" s="797">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8">
        <f t="shared" si="41"/>
        <v>0</v>
      </c>
      <c r="S189" s="797">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8">
        <f t="shared" si="41"/>
        <v>0</v>
      </c>
      <c r="S190" s="797">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8">
        <f t="shared" si="41"/>
        <v>0</v>
      </c>
      <c r="S191" s="797">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8">
        <f t="shared" si="41"/>
        <v>0</v>
      </c>
      <c r="S192" s="797">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8">
        <f t="shared" si="41"/>
        <v>0</v>
      </c>
      <c r="S193" s="797">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8">
        <f t="shared" si="41"/>
        <v>0</v>
      </c>
      <c r="S194" s="797">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8">
        <f t="shared" si="41"/>
        <v>0</v>
      </c>
      <c r="S195" s="797">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8">
        <f t="shared" si="41"/>
        <v>0</v>
      </c>
      <c r="S196" s="797">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8">
        <f t="shared" si="41"/>
        <v>0</v>
      </c>
      <c r="S197" s="797">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8">
        <f t="shared" si="41"/>
        <v>0</v>
      </c>
      <c r="S198" s="797">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8">
        <f t="shared" si="41"/>
        <v>0</v>
      </c>
      <c r="S199" s="797">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8">
        <f t="shared" si="41"/>
        <v>0</v>
      </c>
      <c r="S200" s="797">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8">
        <f t="shared" si="41"/>
        <v>0</v>
      </c>
      <c r="S201" s="797">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8">
        <f t="shared" si="41"/>
        <v>0</v>
      </c>
      <c r="S202" s="797">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8">
        <f t="shared" si="41"/>
        <v>0</v>
      </c>
      <c r="S203" s="797">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8">
        <f t="shared" si="41"/>
        <v>0</v>
      </c>
      <c r="S204" s="797">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8">
        <f t="shared" si="41"/>
        <v>0</v>
      </c>
      <c r="S205" s="797">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8">
        <f t="shared" si="41"/>
        <v>0</v>
      </c>
      <c r="S206" s="797">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8">
        <f t="shared" si="41"/>
        <v>0</v>
      </c>
      <c r="S207" s="797">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8">
        <f t="shared" si="41"/>
        <v>0</v>
      </c>
      <c r="S208" s="797">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8">
        <f t="shared" si="41"/>
        <v>0</v>
      </c>
      <c r="S209" s="797">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8">
        <f t="shared" si="41"/>
        <v>0</v>
      </c>
      <c r="S210" s="797">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8">
        <f t="shared" si="41"/>
        <v>0</v>
      </c>
      <c r="S211" s="797">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8">
        <f t="shared" si="41"/>
        <v>0</v>
      </c>
      <c r="S212" s="797">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8">
        <f t="shared" si="41"/>
        <v>0</v>
      </c>
      <c r="S213" s="797">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8">
        <f t="shared" si="41"/>
        <v>0</v>
      </c>
      <c r="S214" s="797">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8">
        <f t="shared" si="41"/>
        <v>0</v>
      </c>
      <c r="S215" s="797">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8">
        <f t="shared" si="41"/>
        <v>0</v>
      </c>
      <c r="S216" s="797">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8">
        <f t="shared" si="41"/>
        <v>0</v>
      </c>
      <c r="S217" s="797">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8">
        <f t="shared" ref="R218:R281" si="51">IF(B218="",0,ROUND($R$24*C218*E218*G218*I218*K218*M218*O218*Q218,0))</f>
        <v>0</v>
      </c>
      <c r="S218" s="797">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8">
        <f t="shared" si="51"/>
        <v>0</v>
      </c>
      <c r="S219" s="797">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8">
        <f t="shared" si="51"/>
        <v>0</v>
      </c>
      <c r="S220" s="797">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8">
        <f t="shared" si="51"/>
        <v>0</v>
      </c>
      <c r="S221" s="797">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8">
        <f t="shared" si="51"/>
        <v>0</v>
      </c>
      <c r="S222" s="797">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8">
        <f t="shared" si="51"/>
        <v>0</v>
      </c>
      <c r="S223" s="797">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8">
        <f t="shared" si="51"/>
        <v>0</v>
      </c>
      <c r="S224" s="797">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8">
        <f t="shared" si="51"/>
        <v>0</v>
      </c>
      <c r="S225" s="797">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8">
        <f t="shared" si="51"/>
        <v>0</v>
      </c>
      <c r="S226" s="797">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8">
        <f t="shared" si="51"/>
        <v>0</v>
      </c>
      <c r="S227" s="797">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8">
        <f t="shared" si="51"/>
        <v>0</v>
      </c>
      <c r="S228" s="797">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8">
        <f t="shared" si="51"/>
        <v>0</v>
      </c>
      <c r="S229" s="797">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8">
        <f t="shared" si="51"/>
        <v>0</v>
      </c>
      <c r="S230" s="797">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8">
        <f t="shared" si="51"/>
        <v>0</v>
      </c>
      <c r="S231" s="797">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8">
        <f t="shared" si="51"/>
        <v>0</v>
      </c>
      <c r="S232" s="797">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8">
        <f t="shared" si="51"/>
        <v>0</v>
      </c>
      <c r="S233" s="797">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8">
        <f t="shared" si="51"/>
        <v>0</v>
      </c>
      <c r="S234" s="797">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8">
        <f t="shared" si="51"/>
        <v>0</v>
      </c>
      <c r="S235" s="797">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8">
        <f t="shared" si="51"/>
        <v>0</v>
      </c>
      <c r="S236" s="797">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8">
        <f t="shared" si="51"/>
        <v>0</v>
      </c>
      <c r="S237" s="797">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8">
        <f t="shared" si="51"/>
        <v>0</v>
      </c>
      <c r="S238" s="797">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8">
        <f t="shared" si="51"/>
        <v>0</v>
      </c>
      <c r="S239" s="797">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8">
        <f t="shared" si="51"/>
        <v>0</v>
      </c>
      <c r="S240" s="797">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8">
        <f t="shared" si="51"/>
        <v>0</v>
      </c>
      <c r="S241" s="797">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8">
        <f t="shared" si="51"/>
        <v>0</v>
      </c>
      <c r="S242" s="797">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8">
        <f t="shared" si="51"/>
        <v>0</v>
      </c>
      <c r="S243" s="797">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8">
        <f t="shared" si="51"/>
        <v>0</v>
      </c>
      <c r="S244" s="797">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8">
        <f t="shared" si="51"/>
        <v>0</v>
      </c>
      <c r="S245" s="797">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8">
        <f t="shared" si="51"/>
        <v>0</v>
      </c>
      <c r="S246" s="797">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8">
        <f t="shared" si="51"/>
        <v>0</v>
      </c>
      <c r="S247" s="797">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8">
        <f t="shared" si="51"/>
        <v>0</v>
      </c>
      <c r="S248" s="797">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8">
        <f t="shared" si="51"/>
        <v>0</v>
      </c>
      <c r="S249" s="797">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8">
        <f t="shared" si="51"/>
        <v>0</v>
      </c>
      <c r="S250" s="797">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8">
        <f t="shared" si="51"/>
        <v>0</v>
      </c>
      <c r="S251" s="797">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8">
        <f t="shared" si="51"/>
        <v>0</v>
      </c>
      <c r="S252" s="797">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8">
        <f t="shared" si="51"/>
        <v>0</v>
      </c>
      <c r="S253" s="797">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8">
        <f t="shared" si="51"/>
        <v>0</v>
      </c>
      <c r="S254" s="797">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8">
        <f t="shared" si="51"/>
        <v>0</v>
      </c>
      <c r="S255" s="797">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8">
        <f t="shared" si="51"/>
        <v>0</v>
      </c>
      <c r="S256" s="797">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8">
        <f t="shared" si="51"/>
        <v>0</v>
      </c>
      <c r="S257" s="797">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8">
        <f t="shared" si="51"/>
        <v>0</v>
      </c>
      <c r="S258" s="797">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8">
        <f t="shared" si="51"/>
        <v>0</v>
      </c>
      <c r="S259" s="797">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8">
        <f t="shared" si="51"/>
        <v>0</v>
      </c>
      <c r="S260" s="797">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8">
        <f t="shared" si="51"/>
        <v>0</v>
      </c>
      <c r="S261" s="797">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8">
        <f t="shared" si="51"/>
        <v>0</v>
      </c>
      <c r="S262" s="797">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8">
        <f t="shared" si="51"/>
        <v>0</v>
      </c>
      <c r="S263" s="797">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8">
        <f t="shared" si="51"/>
        <v>0</v>
      </c>
      <c r="S264" s="797">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8">
        <f t="shared" si="51"/>
        <v>0</v>
      </c>
      <c r="S265" s="797">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8">
        <f t="shared" si="51"/>
        <v>0</v>
      </c>
      <c r="S266" s="797">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8">
        <f t="shared" si="51"/>
        <v>0</v>
      </c>
      <c r="S267" s="797">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8">
        <f t="shared" si="51"/>
        <v>0</v>
      </c>
      <c r="S268" s="797">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8">
        <f t="shared" si="51"/>
        <v>0</v>
      </c>
      <c r="S269" s="797">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8">
        <f t="shared" si="51"/>
        <v>0</v>
      </c>
      <c r="S270" s="797">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8">
        <f t="shared" si="51"/>
        <v>0</v>
      </c>
      <c r="S271" s="797">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8">
        <f t="shared" si="51"/>
        <v>0</v>
      </c>
      <c r="S272" s="797">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8">
        <f t="shared" si="51"/>
        <v>0</v>
      </c>
      <c r="S273" s="797">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8">
        <f t="shared" si="51"/>
        <v>0</v>
      </c>
      <c r="S274" s="797">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8">
        <f t="shared" si="51"/>
        <v>0</v>
      </c>
      <c r="S275" s="797">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8">
        <f t="shared" si="51"/>
        <v>0</v>
      </c>
      <c r="S276" s="797">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8">
        <f t="shared" si="51"/>
        <v>0</v>
      </c>
      <c r="S277" s="797">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8">
        <f t="shared" si="51"/>
        <v>0</v>
      </c>
      <c r="S278" s="797">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8">
        <f t="shared" si="51"/>
        <v>0</v>
      </c>
      <c r="S279" s="797">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8">
        <f t="shared" si="51"/>
        <v>0</v>
      </c>
      <c r="S280" s="797">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8">
        <f t="shared" si="51"/>
        <v>0</v>
      </c>
      <c r="S281" s="797">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8">
        <f t="shared" ref="R282:R345" si="61">IF(B282="",0,ROUND($R$24*C282*E282*G282*I282*K282*M282*O282*Q282,0))</f>
        <v>0</v>
      </c>
      <c r="S282" s="797">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8">
        <f t="shared" si="61"/>
        <v>0</v>
      </c>
      <c r="S283" s="797">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8">
        <f t="shared" si="61"/>
        <v>0</v>
      </c>
      <c r="S284" s="797">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8">
        <f t="shared" si="61"/>
        <v>0</v>
      </c>
      <c r="S285" s="797">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8">
        <f t="shared" si="61"/>
        <v>0</v>
      </c>
      <c r="S286" s="797">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8">
        <f t="shared" si="61"/>
        <v>0</v>
      </c>
      <c r="S287" s="797">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8">
        <f t="shared" si="61"/>
        <v>0</v>
      </c>
      <c r="S288" s="797">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8">
        <f t="shared" si="61"/>
        <v>0</v>
      </c>
      <c r="S289" s="797">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8">
        <f t="shared" si="61"/>
        <v>0</v>
      </c>
      <c r="S290" s="797">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8">
        <f t="shared" si="61"/>
        <v>0</v>
      </c>
      <c r="S291" s="797">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8">
        <f t="shared" si="61"/>
        <v>0</v>
      </c>
      <c r="S292" s="797">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8">
        <f t="shared" si="61"/>
        <v>0</v>
      </c>
      <c r="S293" s="797">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8">
        <f t="shared" si="61"/>
        <v>0</v>
      </c>
      <c r="S294" s="797">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8">
        <f t="shared" si="61"/>
        <v>0</v>
      </c>
      <c r="S295" s="797">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8">
        <f t="shared" si="61"/>
        <v>0</v>
      </c>
      <c r="S296" s="797">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8">
        <f t="shared" si="61"/>
        <v>0</v>
      </c>
      <c r="S297" s="797">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8">
        <f t="shared" si="61"/>
        <v>0</v>
      </c>
      <c r="S298" s="797">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8">
        <f t="shared" si="61"/>
        <v>0</v>
      </c>
      <c r="S299" s="797">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8">
        <f t="shared" si="61"/>
        <v>0</v>
      </c>
      <c r="S300" s="797">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8">
        <f t="shared" si="61"/>
        <v>0</v>
      </c>
      <c r="S301" s="797">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8">
        <f t="shared" si="61"/>
        <v>0</v>
      </c>
      <c r="S302" s="797">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8">
        <f t="shared" si="61"/>
        <v>0</v>
      </c>
      <c r="S303" s="797">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8">
        <f t="shared" si="61"/>
        <v>0</v>
      </c>
      <c r="S304" s="797">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8">
        <f t="shared" si="61"/>
        <v>0</v>
      </c>
      <c r="S305" s="797">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8">
        <f t="shared" si="61"/>
        <v>0</v>
      </c>
      <c r="S306" s="797">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8">
        <f t="shared" si="61"/>
        <v>0</v>
      </c>
      <c r="S307" s="797">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8">
        <f t="shared" si="61"/>
        <v>0</v>
      </c>
      <c r="S308" s="797">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8">
        <f t="shared" si="61"/>
        <v>0</v>
      </c>
      <c r="S309" s="797">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8">
        <f t="shared" si="61"/>
        <v>0</v>
      </c>
      <c r="S310" s="797">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8">
        <f t="shared" si="61"/>
        <v>0</v>
      </c>
      <c r="S311" s="797">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8">
        <f t="shared" si="61"/>
        <v>0</v>
      </c>
      <c r="S312" s="797">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8">
        <f t="shared" si="61"/>
        <v>0</v>
      </c>
      <c r="S313" s="797">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8">
        <f t="shared" si="61"/>
        <v>0</v>
      </c>
      <c r="S314" s="797">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8">
        <f t="shared" si="61"/>
        <v>0</v>
      </c>
      <c r="S315" s="797">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8">
        <f t="shared" si="61"/>
        <v>0</v>
      </c>
      <c r="S316" s="797">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8">
        <f t="shared" si="61"/>
        <v>0</v>
      </c>
      <c r="S317" s="797">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8">
        <f t="shared" si="61"/>
        <v>0</v>
      </c>
      <c r="S318" s="797">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8">
        <f t="shared" si="61"/>
        <v>0</v>
      </c>
      <c r="S319" s="797">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8">
        <f t="shared" si="61"/>
        <v>0</v>
      </c>
      <c r="S320" s="797">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8">
        <f t="shared" si="61"/>
        <v>0</v>
      </c>
      <c r="S321" s="797">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8">
        <f t="shared" si="61"/>
        <v>0</v>
      </c>
      <c r="S322" s="797">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8">
        <f t="shared" si="61"/>
        <v>0</v>
      </c>
      <c r="S323" s="797">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8">
        <f t="shared" si="61"/>
        <v>0</v>
      </c>
      <c r="S324" s="797">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8">
        <f t="shared" si="61"/>
        <v>0</v>
      </c>
      <c r="S325" s="797">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8">
        <f t="shared" si="61"/>
        <v>0</v>
      </c>
      <c r="S326" s="797">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8">
        <f t="shared" si="61"/>
        <v>0</v>
      </c>
      <c r="S327" s="797">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8">
        <f t="shared" si="61"/>
        <v>0</v>
      </c>
      <c r="S328" s="797">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8">
        <f t="shared" si="61"/>
        <v>0</v>
      </c>
      <c r="S329" s="797">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8">
        <f t="shared" si="61"/>
        <v>0</v>
      </c>
      <c r="S330" s="797">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8">
        <f t="shared" si="61"/>
        <v>0</v>
      </c>
      <c r="S331" s="797">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8">
        <f t="shared" si="61"/>
        <v>0</v>
      </c>
      <c r="S332" s="797">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8">
        <f t="shared" si="61"/>
        <v>0</v>
      </c>
      <c r="S333" s="797">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8">
        <f t="shared" si="61"/>
        <v>0</v>
      </c>
      <c r="S334" s="797">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8">
        <f t="shared" si="61"/>
        <v>0</v>
      </c>
      <c r="S335" s="797">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8">
        <f t="shared" si="61"/>
        <v>0</v>
      </c>
      <c r="S336" s="797">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8">
        <f t="shared" si="61"/>
        <v>0</v>
      </c>
      <c r="S337" s="797">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8">
        <f t="shared" si="61"/>
        <v>0</v>
      </c>
      <c r="S338" s="797">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8">
        <f t="shared" si="61"/>
        <v>0</v>
      </c>
      <c r="S339" s="797">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8">
        <f t="shared" si="61"/>
        <v>0</v>
      </c>
      <c r="S340" s="797">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8">
        <f t="shared" si="61"/>
        <v>0</v>
      </c>
      <c r="S341" s="797">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8">
        <f t="shared" si="61"/>
        <v>0</v>
      </c>
      <c r="S342" s="797">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8">
        <f t="shared" si="61"/>
        <v>0</v>
      </c>
      <c r="S343" s="797">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8">
        <f t="shared" si="61"/>
        <v>0</v>
      </c>
      <c r="S344" s="797">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8">
        <f t="shared" si="61"/>
        <v>0</v>
      </c>
      <c r="S345" s="797">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8">
        <f t="shared" ref="R346:R409" si="72">IF(B346="",0,ROUND($R$24*C346*E346*G346*I346*K346*M346*O346*Q346,0))</f>
        <v>0</v>
      </c>
      <c r="S346" s="797">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8">
        <f t="shared" si="72"/>
        <v>0</v>
      </c>
      <c r="S347" s="797">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8">
        <f t="shared" si="72"/>
        <v>0</v>
      </c>
      <c r="S348" s="797">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8">
        <f t="shared" si="72"/>
        <v>0</v>
      </c>
      <c r="S349" s="797">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8">
        <f t="shared" si="72"/>
        <v>0</v>
      </c>
      <c r="S350" s="797">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8">
        <f t="shared" si="72"/>
        <v>0</v>
      </c>
      <c r="S351" s="797">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8">
        <f t="shared" si="72"/>
        <v>0</v>
      </c>
      <c r="S352" s="797">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8">
        <f t="shared" si="72"/>
        <v>0</v>
      </c>
      <c r="S353" s="797">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8">
        <f t="shared" si="72"/>
        <v>0</v>
      </c>
      <c r="S354" s="797">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8">
        <f t="shared" si="72"/>
        <v>0</v>
      </c>
      <c r="S355" s="797">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8">
        <f t="shared" si="72"/>
        <v>0</v>
      </c>
      <c r="S356" s="797">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8">
        <f t="shared" si="72"/>
        <v>0</v>
      </c>
      <c r="S357" s="797">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8">
        <f t="shared" si="72"/>
        <v>0</v>
      </c>
      <c r="S358" s="797">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8">
        <f t="shared" si="72"/>
        <v>0</v>
      </c>
      <c r="S359" s="797">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8">
        <f t="shared" si="72"/>
        <v>0</v>
      </c>
      <c r="S360" s="797">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8">
        <f t="shared" si="72"/>
        <v>0</v>
      </c>
      <c r="S361" s="797">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8">
        <f t="shared" si="72"/>
        <v>0</v>
      </c>
      <c r="S362" s="797">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8">
        <f t="shared" si="72"/>
        <v>0</v>
      </c>
      <c r="S363" s="797">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8">
        <f t="shared" si="72"/>
        <v>0</v>
      </c>
      <c r="S364" s="797">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8">
        <f t="shared" si="72"/>
        <v>0</v>
      </c>
      <c r="S365" s="797">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8">
        <f t="shared" si="72"/>
        <v>0</v>
      </c>
      <c r="S366" s="797">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8">
        <f t="shared" si="72"/>
        <v>0</v>
      </c>
      <c r="S367" s="797">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8">
        <f t="shared" si="72"/>
        <v>0</v>
      </c>
      <c r="S368" s="797">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8">
        <f t="shared" si="72"/>
        <v>0</v>
      </c>
      <c r="S369" s="797">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8">
        <f t="shared" si="72"/>
        <v>0</v>
      </c>
      <c r="S370" s="797">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8">
        <f t="shared" si="72"/>
        <v>0</v>
      </c>
      <c r="S371" s="797">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8">
        <f t="shared" si="72"/>
        <v>0</v>
      </c>
      <c r="S372" s="797">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8">
        <f t="shared" si="72"/>
        <v>0</v>
      </c>
      <c r="S373" s="797">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8">
        <f t="shared" si="72"/>
        <v>0</v>
      </c>
      <c r="S374" s="797">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8">
        <f t="shared" si="72"/>
        <v>0</v>
      </c>
      <c r="S375" s="797">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8">
        <f t="shared" si="72"/>
        <v>0</v>
      </c>
      <c r="S376" s="797">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8">
        <f t="shared" si="72"/>
        <v>0</v>
      </c>
      <c r="S377" s="797">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8">
        <f t="shared" si="72"/>
        <v>0</v>
      </c>
      <c r="S378" s="797">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8">
        <f t="shared" si="72"/>
        <v>0</v>
      </c>
      <c r="S379" s="797">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8">
        <f t="shared" si="72"/>
        <v>0</v>
      </c>
      <c r="S380" s="797">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8">
        <f t="shared" si="72"/>
        <v>0</v>
      </c>
      <c r="S381" s="797">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8">
        <f t="shared" si="72"/>
        <v>0</v>
      </c>
      <c r="S382" s="797">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8">
        <f t="shared" si="72"/>
        <v>0</v>
      </c>
      <c r="S383" s="797">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8">
        <f t="shared" si="72"/>
        <v>0</v>
      </c>
      <c r="S384" s="797">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8">
        <f t="shared" si="72"/>
        <v>0</v>
      </c>
      <c r="S385" s="797">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8">
        <f t="shared" si="72"/>
        <v>0</v>
      </c>
      <c r="S386" s="797">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8">
        <f t="shared" si="72"/>
        <v>0</v>
      </c>
      <c r="S387" s="797">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8">
        <f t="shared" si="72"/>
        <v>0</v>
      </c>
      <c r="S388" s="797">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8">
        <f t="shared" si="72"/>
        <v>0</v>
      </c>
      <c r="S389" s="797">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8">
        <f t="shared" si="72"/>
        <v>0</v>
      </c>
      <c r="S390" s="797">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8">
        <f t="shared" si="72"/>
        <v>0</v>
      </c>
      <c r="S391" s="797">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8">
        <f t="shared" si="72"/>
        <v>0</v>
      </c>
      <c r="S392" s="797">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8">
        <f t="shared" si="72"/>
        <v>0</v>
      </c>
      <c r="S393" s="797">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8">
        <f t="shared" si="72"/>
        <v>0</v>
      </c>
      <c r="S394" s="797">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8">
        <f t="shared" si="72"/>
        <v>0</v>
      </c>
      <c r="S395" s="797">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8">
        <f t="shared" si="72"/>
        <v>0</v>
      </c>
      <c r="S396" s="797">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8">
        <f t="shared" si="72"/>
        <v>0</v>
      </c>
      <c r="S397" s="797">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8">
        <f t="shared" si="72"/>
        <v>0</v>
      </c>
      <c r="S398" s="797">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8">
        <f t="shared" si="72"/>
        <v>0</v>
      </c>
      <c r="S399" s="797">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8">
        <f t="shared" si="72"/>
        <v>0</v>
      </c>
      <c r="S400" s="797">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8">
        <f t="shared" si="72"/>
        <v>0</v>
      </c>
      <c r="S401" s="797">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8">
        <f t="shared" si="72"/>
        <v>0</v>
      </c>
      <c r="S402" s="797">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8">
        <f t="shared" si="72"/>
        <v>0</v>
      </c>
      <c r="S403" s="797">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8">
        <f t="shared" si="72"/>
        <v>0</v>
      </c>
      <c r="S404" s="797">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8">
        <f t="shared" si="72"/>
        <v>0</v>
      </c>
      <c r="S405" s="797">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8">
        <f t="shared" si="72"/>
        <v>0</v>
      </c>
      <c r="S406" s="797">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8">
        <f t="shared" si="72"/>
        <v>0</v>
      </c>
      <c r="S407" s="797">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8">
        <f t="shared" si="72"/>
        <v>0</v>
      </c>
      <c r="S408" s="797">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8">
        <f t="shared" si="72"/>
        <v>0</v>
      </c>
      <c r="S409" s="797">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8">
        <f t="shared" ref="R410:R473" si="82">IF(B410="",0,ROUND($R$24*C410*E410*G410*I410*K410*M410*O410*Q410,0))</f>
        <v>0</v>
      </c>
      <c r="S410" s="797">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8">
        <f t="shared" si="82"/>
        <v>0</v>
      </c>
      <c r="S411" s="797">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8">
        <f t="shared" si="82"/>
        <v>0</v>
      </c>
      <c r="S412" s="797">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8">
        <f t="shared" si="82"/>
        <v>0</v>
      </c>
      <c r="S413" s="797">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8">
        <f t="shared" si="82"/>
        <v>0</v>
      </c>
      <c r="S414" s="797">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8">
        <f t="shared" si="82"/>
        <v>0</v>
      </c>
      <c r="S415" s="797">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8">
        <f t="shared" si="82"/>
        <v>0</v>
      </c>
      <c r="S416" s="797">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8">
        <f t="shared" si="82"/>
        <v>0</v>
      </c>
      <c r="S417" s="797">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8">
        <f t="shared" si="82"/>
        <v>0</v>
      </c>
      <c r="S418" s="797">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8">
        <f t="shared" si="82"/>
        <v>0</v>
      </c>
      <c r="S419" s="797">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8">
        <f t="shared" si="82"/>
        <v>0</v>
      </c>
      <c r="S420" s="797">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8">
        <f t="shared" si="82"/>
        <v>0</v>
      </c>
      <c r="S421" s="797">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8">
        <f t="shared" si="82"/>
        <v>0</v>
      </c>
      <c r="S422" s="797">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8">
        <f t="shared" si="82"/>
        <v>0</v>
      </c>
      <c r="S423" s="797">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8">
        <f t="shared" si="82"/>
        <v>0</v>
      </c>
      <c r="S424" s="797">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8">
        <f t="shared" si="82"/>
        <v>0</v>
      </c>
      <c r="S425" s="797">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8">
        <f t="shared" si="82"/>
        <v>0</v>
      </c>
      <c r="S426" s="797">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8">
        <f t="shared" si="82"/>
        <v>0</v>
      </c>
      <c r="S427" s="797">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8">
        <f t="shared" si="82"/>
        <v>0</v>
      </c>
      <c r="S428" s="797">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8">
        <f t="shared" si="82"/>
        <v>0</v>
      </c>
      <c r="S429" s="797">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8">
        <f t="shared" si="82"/>
        <v>0</v>
      </c>
      <c r="S430" s="797">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8">
        <f t="shared" si="82"/>
        <v>0</v>
      </c>
      <c r="S431" s="797">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8">
        <f t="shared" si="82"/>
        <v>0</v>
      </c>
      <c r="S432" s="797">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8">
        <f t="shared" si="82"/>
        <v>0</v>
      </c>
      <c r="S433" s="797">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8">
        <f t="shared" si="82"/>
        <v>0</v>
      </c>
      <c r="S434" s="797">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8">
        <f t="shared" si="82"/>
        <v>0</v>
      </c>
      <c r="S435" s="797">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8">
        <f t="shared" si="82"/>
        <v>0</v>
      </c>
      <c r="S436" s="797">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8">
        <f t="shared" si="82"/>
        <v>0</v>
      </c>
      <c r="S437" s="797">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8">
        <f t="shared" si="82"/>
        <v>0</v>
      </c>
      <c r="S438" s="797">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8">
        <f t="shared" si="82"/>
        <v>0</v>
      </c>
      <c r="S439" s="797">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8">
        <f t="shared" si="82"/>
        <v>0</v>
      </c>
      <c r="S440" s="797">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8">
        <f t="shared" si="82"/>
        <v>0</v>
      </c>
      <c r="S441" s="797">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8">
        <f t="shared" si="82"/>
        <v>0</v>
      </c>
      <c r="S442" s="797">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8">
        <f t="shared" si="82"/>
        <v>0</v>
      </c>
      <c r="S443" s="797">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8">
        <f t="shared" si="82"/>
        <v>0</v>
      </c>
      <c r="S444" s="797">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8">
        <f t="shared" si="82"/>
        <v>0</v>
      </c>
      <c r="S445" s="797">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8">
        <f t="shared" si="82"/>
        <v>0</v>
      </c>
      <c r="S446" s="797">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8">
        <f t="shared" si="82"/>
        <v>0</v>
      </c>
      <c r="S447" s="797">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8">
        <f t="shared" si="82"/>
        <v>0</v>
      </c>
      <c r="S448" s="797">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8">
        <f t="shared" si="82"/>
        <v>0</v>
      </c>
      <c r="S449" s="797">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8">
        <f t="shared" si="82"/>
        <v>0</v>
      </c>
      <c r="S450" s="797">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8">
        <f t="shared" si="82"/>
        <v>0</v>
      </c>
      <c r="S451" s="797">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8">
        <f t="shared" si="82"/>
        <v>0</v>
      </c>
      <c r="S452" s="797">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8">
        <f t="shared" si="82"/>
        <v>0</v>
      </c>
      <c r="S453" s="797">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8">
        <f t="shared" si="82"/>
        <v>0</v>
      </c>
      <c r="S454" s="797">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8">
        <f t="shared" si="82"/>
        <v>0</v>
      </c>
      <c r="S455" s="797">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8">
        <f t="shared" si="82"/>
        <v>0</v>
      </c>
      <c r="S456" s="797">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8">
        <f t="shared" si="82"/>
        <v>0</v>
      </c>
      <c r="S457" s="797">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8">
        <f t="shared" si="82"/>
        <v>0</v>
      </c>
      <c r="S458" s="797">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8">
        <f t="shared" si="82"/>
        <v>0</v>
      </c>
      <c r="S459" s="797">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8">
        <f t="shared" si="82"/>
        <v>0</v>
      </c>
      <c r="S460" s="797">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8">
        <f t="shared" si="82"/>
        <v>0</v>
      </c>
      <c r="S461" s="797">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8">
        <f t="shared" si="82"/>
        <v>0</v>
      </c>
      <c r="S462" s="797">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8">
        <f t="shared" si="82"/>
        <v>0</v>
      </c>
      <c r="S463" s="797">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8">
        <f t="shared" si="82"/>
        <v>0</v>
      </c>
      <c r="S464" s="797">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8">
        <f t="shared" si="82"/>
        <v>0</v>
      </c>
      <c r="S465" s="797">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8">
        <f t="shared" si="82"/>
        <v>0</v>
      </c>
      <c r="S466" s="797">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8">
        <f t="shared" si="82"/>
        <v>0</v>
      </c>
      <c r="S467" s="797">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8">
        <f t="shared" si="82"/>
        <v>0</v>
      </c>
      <c r="S468" s="797">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8">
        <f t="shared" si="82"/>
        <v>0</v>
      </c>
      <c r="S469" s="797">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8">
        <f t="shared" si="82"/>
        <v>0</v>
      </c>
      <c r="S470" s="797">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8">
        <f t="shared" si="82"/>
        <v>0</v>
      </c>
      <c r="S471" s="797">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8">
        <f t="shared" si="82"/>
        <v>0</v>
      </c>
      <c r="S472" s="797">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8">
        <f t="shared" si="82"/>
        <v>0</v>
      </c>
      <c r="S473" s="797">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8">
        <f t="shared" ref="R474:R524" si="93">IF(B474="",0,ROUND($R$24*C474*E474*G474*I474*K474*M474*O474*Q474,0))</f>
        <v>0</v>
      </c>
      <c r="S474" s="797">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8">
        <f t="shared" si="93"/>
        <v>0</v>
      </c>
      <c r="S475" s="797">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8">
        <f t="shared" si="93"/>
        <v>0</v>
      </c>
      <c r="S476" s="797">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8">
        <f t="shared" si="93"/>
        <v>0</v>
      </c>
      <c r="S477" s="797">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8">
        <f t="shared" si="93"/>
        <v>0</v>
      </c>
      <c r="S478" s="797">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8">
        <f t="shared" si="93"/>
        <v>0</v>
      </c>
      <c r="S479" s="797">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8">
        <f t="shared" si="93"/>
        <v>0</v>
      </c>
      <c r="S480" s="797">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8">
        <f t="shared" si="93"/>
        <v>0</v>
      </c>
      <c r="S481" s="797">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8">
        <f t="shared" si="93"/>
        <v>0</v>
      </c>
      <c r="S482" s="797">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8">
        <f t="shared" si="93"/>
        <v>0</v>
      </c>
      <c r="S483" s="797">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8">
        <f t="shared" si="93"/>
        <v>0</v>
      </c>
      <c r="S484" s="797">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8">
        <f t="shared" si="93"/>
        <v>0</v>
      </c>
      <c r="S485" s="797">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8">
        <f t="shared" si="93"/>
        <v>0</v>
      </c>
      <c r="S486" s="797">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8">
        <f t="shared" si="93"/>
        <v>0</v>
      </c>
      <c r="S487" s="797">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8">
        <f t="shared" si="93"/>
        <v>0</v>
      </c>
      <c r="S488" s="797">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8">
        <f t="shared" si="93"/>
        <v>0</v>
      </c>
      <c r="S489" s="797">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8">
        <f t="shared" si="93"/>
        <v>0</v>
      </c>
      <c r="S490" s="797">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8">
        <f t="shared" si="93"/>
        <v>0</v>
      </c>
      <c r="S491" s="797">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8">
        <f t="shared" si="93"/>
        <v>0</v>
      </c>
      <c r="S492" s="797">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8">
        <f t="shared" si="93"/>
        <v>0</v>
      </c>
      <c r="S493" s="797">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8">
        <f t="shared" si="93"/>
        <v>0</v>
      </c>
      <c r="S494" s="797">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8">
        <f t="shared" si="93"/>
        <v>0</v>
      </c>
      <c r="S495" s="797">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8">
        <f t="shared" si="93"/>
        <v>0</v>
      </c>
      <c r="S496" s="797">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8">
        <f t="shared" si="93"/>
        <v>0</v>
      </c>
      <c r="S497" s="797">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8">
        <f t="shared" si="93"/>
        <v>0</v>
      </c>
      <c r="S498" s="797">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8">
        <f t="shared" si="93"/>
        <v>0</v>
      </c>
      <c r="S499" s="797">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8">
        <f t="shared" si="93"/>
        <v>0</v>
      </c>
      <c r="S500" s="797">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8">
        <f t="shared" si="93"/>
        <v>0</v>
      </c>
      <c r="S501" s="797">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8">
        <f t="shared" si="93"/>
        <v>0</v>
      </c>
      <c r="S502" s="797">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8">
        <f t="shared" si="93"/>
        <v>0</v>
      </c>
      <c r="S503" s="797">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8">
        <f t="shared" si="93"/>
        <v>0</v>
      </c>
      <c r="S504" s="797">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8">
        <f t="shared" si="93"/>
        <v>0</v>
      </c>
      <c r="S505" s="797">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8">
        <f t="shared" si="93"/>
        <v>0</v>
      </c>
      <c r="S506" s="797">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8">
        <f t="shared" si="93"/>
        <v>0</v>
      </c>
      <c r="S507" s="797">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8">
        <f t="shared" si="93"/>
        <v>0</v>
      </c>
      <c r="S508" s="797">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8">
        <f t="shared" si="93"/>
        <v>0</v>
      </c>
      <c r="S509" s="797">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8">
        <f t="shared" si="93"/>
        <v>0</v>
      </c>
      <c r="S510" s="797">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8">
        <f t="shared" si="93"/>
        <v>0</v>
      </c>
      <c r="S511" s="797">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8">
        <f t="shared" si="93"/>
        <v>0</v>
      </c>
      <c r="S512" s="797">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8">
        <f t="shared" si="93"/>
        <v>0</v>
      </c>
      <c r="S513" s="797">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8">
        <f t="shared" si="93"/>
        <v>0</v>
      </c>
      <c r="S514" s="797">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8">
        <f t="shared" si="93"/>
        <v>0</v>
      </c>
      <c r="S515" s="797">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8">
        <f t="shared" si="93"/>
        <v>0</v>
      </c>
      <c r="S516" s="797">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8">
        <f t="shared" si="93"/>
        <v>0</v>
      </c>
      <c r="S517" s="797">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8">
        <f t="shared" si="93"/>
        <v>0</v>
      </c>
      <c r="S518" s="797">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8">
        <f t="shared" si="93"/>
        <v>0</v>
      </c>
      <c r="S519" s="797">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8">
        <f t="shared" si="93"/>
        <v>0</v>
      </c>
      <c r="S520" s="797">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8">
        <f t="shared" si="93"/>
        <v>0</v>
      </c>
      <c r="S521" s="797">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8">
        <f t="shared" si="93"/>
        <v>0</v>
      </c>
      <c r="S522" s="797">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8">
        <f t="shared" si="93"/>
        <v>0</v>
      </c>
      <c r="S523" s="797">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2"/>
      <c r="S525" s="255"/>
    </row>
    <row r="526" spans="1:19">
      <c r="A526" s="255"/>
      <c r="B526" s="57"/>
      <c r="C526" s="57"/>
      <c r="D526" s="57"/>
      <c r="E526" s="57"/>
      <c r="F526" s="57"/>
      <c r="G526" s="57"/>
      <c r="H526" s="57"/>
      <c r="I526" s="57"/>
      <c r="J526" s="57"/>
      <c r="K526" s="57"/>
      <c r="L526" s="57"/>
      <c r="M526" s="57"/>
      <c r="N526" s="57"/>
      <c r="O526" s="57"/>
      <c r="P526" s="57"/>
      <c r="Q526" s="57"/>
      <c r="R526" s="2222"/>
      <c r="S526" s="255"/>
    </row>
    <row r="527" spans="1:19">
      <c r="A527" s="255"/>
      <c r="B527" s="57"/>
      <c r="C527" s="57"/>
      <c r="D527" s="57"/>
      <c r="E527" s="57"/>
      <c r="F527" s="57"/>
      <c r="G527" s="57"/>
      <c r="H527" s="57"/>
      <c r="I527" s="57"/>
      <c r="J527" s="57"/>
      <c r="K527" s="57"/>
      <c r="L527" s="57"/>
      <c r="M527" s="57"/>
      <c r="N527" s="57"/>
      <c r="O527" s="57"/>
      <c r="P527" s="57"/>
      <c r="Q527" s="57"/>
      <c r="R527" s="2222"/>
      <c r="S527" s="255"/>
    </row>
    <row r="528" spans="1:19">
      <c r="A528" s="255"/>
      <c r="B528" s="57"/>
      <c r="C528" s="57"/>
      <c r="D528" s="57"/>
      <c r="E528" s="57"/>
      <c r="F528" s="57"/>
      <c r="G528" s="57"/>
      <c r="H528" s="57"/>
      <c r="I528" s="57"/>
      <c r="J528" s="57"/>
      <c r="K528" s="57"/>
      <c r="L528" s="57"/>
      <c r="M528" s="57"/>
      <c r="N528" s="57"/>
      <c r="O528" s="57"/>
      <c r="P528" s="57"/>
      <c r="Q528" s="57"/>
      <c r="R528" s="2222"/>
      <c r="S528" s="255"/>
    </row>
    <row r="529" spans="1:19">
      <c r="A529" s="255"/>
      <c r="B529" s="57"/>
      <c r="C529" s="57"/>
      <c r="D529" s="57"/>
      <c r="E529" s="57"/>
      <c r="F529" s="57"/>
      <c r="G529" s="57"/>
      <c r="H529" s="57"/>
      <c r="I529" s="57"/>
      <c r="J529" s="57"/>
      <c r="K529" s="57"/>
      <c r="L529" s="57"/>
      <c r="M529" s="57"/>
      <c r="N529" s="57"/>
      <c r="O529" s="57"/>
      <c r="P529" s="57"/>
      <c r="Q529" s="57"/>
      <c r="R529" s="2222"/>
      <c r="S529" s="255"/>
    </row>
    <row r="530" spans="1:19">
      <c r="A530" s="255"/>
      <c r="B530" s="57"/>
      <c r="C530" s="57"/>
      <c r="D530" s="57"/>
      <c r="E530" s="57"/>
      <c r="F530" s="57"/>
      <c r="G530" s="57"/>
      <c r="H530" s="57"/>
      <c r="I530" s="57"/>
      <c r="J530" s="57"/>
      <c r="K530" s="57"/>
      <c r="L530" s="57"/>
      <c r="M530" s="57"/>
      <c r="N530" s="57"/>
      <c r="O530" s="57"/>
      <c r="P530" s="57"/>
      <c r="Q530" s="57"/>
      <c r="R530" s="2222"/>
      <c r="S530" s="255"/>
    </row>
    <row r="531" spans="1:19">
      <c r="A531" s="255"/>
      <c r="B531" s="57"/>
      <c r="C531" s="57"/>
      <c r="D531" s="57"/>
      <c r="E531" s="57"/>
      <c r="F531" s="57"/>
      <c r="G531" s="57"/>
      <c r="H531" s="57"/>
      <c r="I531" s="57"/>
      <c r="J531" s="57"/>
      <c r="K531" s="57"/>
      <c r="L531" s="57"/>
      <c r="M531" s="57"/>
      <c r="N531" s="57"/>
      <c r="O531" s="57"/>
      <c r="P531" s="57"/>
      <c r="Q531" s="57"/>
      <c r="R531" s="2222"/>
      <c r="S531" s="255"/>
    </row>
    <row r="532" spans="1:19">
      <c r="A532" s="255"/>
      <c r="B532" s="57"/>
      <c r="C532" s="57"/>
      <c r="D532" s="57"/>
      <c r="E532" s="57"/>
      <c r="F532" s="57"/>
      <c r="G532" s="57"/>
      <c r="H532" s="57"/>
      <c r="I532" s="57"/>
      <c r="J532" s="57"/>
      <c r="K532" s="57"/>
      <c r="L532" s="57"/>
      <c r="M532" s="57"/>
      <c r="N532" s="57"/>
      <c r="O532" s="57"/>
      <c r="P532" s="57"/>
      <c r="Q532" s="57"/>
      <c r="R532" s="2222"/>
      <c r="S532" s="255"/>
    </row>
    <row r="533" spans="1:19">
      <c r="A533" s="255"/>
      <c r="B533" s="57"/>
      <c r="C533" s="57"/>
      <c r="D533" s="57"/>
      <c r="E533" s="57"/>
      <c r="F533" s="57"/>
      <c r="G533" s="57"/>
      <c r="H533" s="57"/>
      <c r="I533" s="57"/>
      <c r="J533" s="57"/>
      <c r="K533" s="57"/>
      <c r="L533" s="57"/>
      <c r="M533" s="57"/>
      <c r="N533" s="57"/>
      <c r="O533" s="57"/>
      <c r="P533" s="57"/>
      <c r="Q533" s="57"/>
      <c r="R533" s="2222"/>
      <c r="S533" s="255"/>
    </row>
    <row r="534" spans="1:19">
      <c r="A534" s="255"/>
      <c r="B534" s="57"/>
      <c r="C534" s="57"/>
      <c r="D534" s="57"/>
      <c r="E534" s="57"/>
      <c r="F534" s="57"/>
      <c r="G534" s="57"/>
      <c r="H534" s="57"/>
      <c r="I534" s="57"/>
      <c r="J534" s="57"/>
      <c r="K534" s="57"/>
      <c r="L534" s="57"/>
      <c r="M534" s="57"/>
      <c r="N534" s="57"/>
      <c r="O534" s="57"/>
      <c r="P534" s="57"/>
      <c r="Q534" s="57"/>
      <c r="R534" s="2222"/>
      <c r="S534" s="255"/>
    </row>
    <row r="535" spans="1:19">
      <c r="A535" s="255"/>
      <c r="B535" s="57"/>
      <c r="C535" s="57"/>
      <c r="D535" s="57"/>
      <c r="E535" s="57"/>
      <c r="F535" s="57"/>
      <c r="G535" s="57"/>
      <c r="H535" s="57"/>
      <c r="I535" s="57"/>
      <c r="J535" s="57"/>
      <c r="K535" s="57"/>
      <c r="L535" s="57"/>
      <c r="M535" s="57"/>
      <c r="N535" s="57"/>
      <c r="O535" s="57"/>
      <c r="P535" s="57"/>
      <c r="Q535" s="57"/>
      <c r="R535" s="2222"/>
      <c r="S535" s="255"/>
    </row>
    <row r="536" spans="1:19">
      <c r="A536" s="255"/>
      <c r="B536" s="57"/>
      <c r="C536" s="57"/>
      <c r="D536" s="57"/>
      <c r="E536" s="57"/>
      <c r="F536" s="57"/>
      <c r="G536" s="57"/>
      <c r="H536" s="57"/>
      <c r="I536" s="57"/>
      <c r="J536" s="57"/>
      <c r="K536" s="57"/>
      <c r="L536" s="57"/>
      <c r="M536" s="57"/>
      <c r="N536" s="57"/>
      <c r="O536" s="57"/>
      <c r="P536" s="57"/>
      <c r="Q536" s="57"/>
      <c r="R536" s="2222"/>
      <c r="S536" s="255"/>
    </row>
    <row r="537" spans="1:19">
      <c r="A537" s="255"/>
      <c r="B537" s="57"/>
      <c r="C537" s="57"/>
      <c r="D537" s="57"/>
      <c r="E537" s="57"/>
      <c r="F537" s="57"/>
      <c r="G537" s="57"/>
      <c r="H537" s="57"/>
      <c r="I537" s="57"/>
      <c r="J537" s="57"/>
      <c r="K537" s="57"/>
      <c r="L537" s="57"/>
      <c r="M537" s="57"/>
      <c r="N537" s="57"/>
      <c r="O537" s="57"/>
      <c r="P537" s="57"/>
      <c r="Q537" s="57"/>
      <c r="R537" s="2222"/>
      <c r="S537" s="255"/>
    </row>
    <row r="538" spans="1:19">
      <c r="A538" s="255"/>
      <c r="B538" s="57"/>
      <c r="C538" s="57"/>
      <c r="D538" s="57"/>
      <c r="E538" s="57"/>
      <c r="F538" s="57"/>
      <c r="G538" s="57"/>
      <c r="H538" s="57"/>
      <c r="I538" s="57"/>
      <c r="J538" s="57"/>
      <c r="K538" s="57"/>
      <c r="L538" s="57"/>
      <c r="M538" s="57"/>
      <c r="N538" s="57"/>
      <c r="O538" s="57"/>
      <c r="P538" s="57"/>
      <c r="Q538" s="57"/>
      <c r="R538" s="2222"/>
      <c r="S538" s="255"/>
    </row>
    <row r="539" spans="1:19">
      <c r="A539" s="255"/>
      <c r="B539" s="57"/>
      <c r="C539" s="57"/>
      <c r="D539" s="57"/>
      <c r="E539" s="57"/>
      <c r="F539" s="57"/>
      <c r="G539" s="57"/>
      <c r="H539" s="57"/>
      <c r="I539" s="57"/>
      <c r="J539" s="57"/>
      <c r="K539" s="57"/>
      <c r="L539" s="57"/>
      <c r="M539" s="57"/>
      <c r="N539" s="57"/>
      <c r="O539" s="57"/>
      <c r="P539" s="57"/>
      <c r="Q539" s="57"/>
      <c r="R539" s="2222"/>
      <c r="S539" s="255"/>
    </row>
    <row r="540" spans="1:19">
      <c r="A540" s="255"/>
      <c r="B540" s="57"/>
      <c r="C540" s="57"/>
      <c r="D540" s="57"/>
      <c r="E540" s="57"/>
      <c r="F540" s="57"/>
      <c r="G540" s="57"/>
      <c r="H540" s="57"/>
      <c r="I540" s="57"/>
      <c r="J540" s="57"/>
      <c r="K540" s="57"/>
      <c r="L540" s="57"/>
      <c r="M540" s="57"/>
      <c r="N540" s="57"/>
      <c r="O540" s="57"/>
      <c r="P540" s="57"/>
      <c r="Q540" s="57"/>
      <c r="R540" s="2222"/>
      <c r="S540" s="255"/>
    </row>
    <row r="541" spans="1:19">
      <c r="A541" s="255"/>
      <c r="B541" s="57"/>
      <c r="C541" s="57"/>
      <c r="D541" s="57"/>
      <c r="E541" s="57"/>
      <c r="F541" s="57"/>
      <c r="G541" s="57"/>
      <c r="H541" s="57"/>
      <c r="I541" s="57"/>
      <c r="J541" s="57"/>
      <c r="K541" s="57"/>
      <c r="L541" s="57"/>
      <c r="M541" s="57"/>
      <c r="N541" s="57"/>
      <c r="O541" s="57"/>
      <c r="P541" s="57"/>
      <c r="Q541" s="57"/>
      <c r="R541" s="2222"/>
      <c r="S541" s="255"/>
    </row>
    <row r="542" spans="1:19">
      <c r="A542" s="255"/>
      <c r="B542" s="57"/>
      <c r="C542" s="57"/>
      <c r="D542" s="57"/>
      <c r="E542" s="57"/>
      <c r="F542" s="57"/>
      <c r="G542" s="57"/>
      <c r="H542" s="57"/>
      <c r="I542" s="57"/>
      <c r="J542" s="57"/>
      <c r="K542" s="57"/>
      <c r="L542" s="57"/>
      <c r="M542" s="57"/>
      <c r="N542" s="57"/>
      <c r="O542" s="57"/>
      <c r="P542" s="57"/>
      <c r="Q542" s="57"/>
      <c r="R542" s="2222"/>
      <c r="S542" s="255"/>
    </row>
    <row r="543" spans="1:19">
      <c r="A543" s="255"/>
      <c r="B543" s="57"/>
      <c r="C543" s="57"/>
      <c r="D543" s="57"/>
      <c r="E543" s="57"/>
      <c r="F543" s="57"/>
      <c r="G543" s="57"/>
      <c r="H543" s="57"/>
      <c r="I543" s="57"/>
      <c r="J543" s="57"/>
      <c r="K543" s="57"/>
      <c r="L543" s="57"/>
      <c r="M543" s="57"/>
      <c r="N543" s="57"/>
      <c r="O543" s="57"/>
      <c r="P543" s="57"/>
      <c r="Q543" s="57"/>
      <c r="R543" s="2222"/>
      <c r="S543" s="255"/>
    </row>
    <row r="544" spans="1:19">
      <c r="A544" s="255"/>
      <c r="B544" s="57"/>
      <c r="C544" s="57"/>
      <c r="D544" s="57"/>
      <c r="E544" s="57"/>
      <c r="F544" s="57"/>
      <c r="G544" s="57"/>
      <c r="H544" s="57"/>
      <c r="I544" s="57"/>
      <c r="J544" s="57"/>
      <c r="K544" s="57"/>
      <c r="L544" s="57"/>
      <c r="M544" s="57"/>
      <c r="N544" s="57"/>
      <c r="O544" s="57"/>
      <c r="P544" s="57"/>
      <c r="Q544" s="57"/>
      <c r="R544" s="2222"/>
      <c r="S544" s="255"/>
    </row>
    <row r="545" spans="1:19">
      <c r="A545" s="255"/>
      <c r="B545" s="57"/>
      <c r="C545" s="57"/>
      <c r="D545" s="57"/>
      <c r="E545" s="57"/>
      <c r="F545" s="57"/>
      <c r="G545" s="57"/>
      <c r="H545" s="57"/>
      <c r="I545" s="57"/>
      <c r="J545" s="57"/>
      <c r="K545" s="57"/>
      <c r="L545" s="57"/>
      <c r="M545" s="57"/>
      <c r="N545" s="57"/>
      <c r="O545" s="57"/>
      <c r="P545" s="57"/>
      <c r="Q545" s="57"/>
      <c r="R545" s="2222"/>
      <c r="S545" s="255"/>
    </row>
    <row r="546" spans="1:19">
      <c r="A546" s="255"/>
      <c r="B546" s="57"/>
      <c r="C546" s="57"/>
      <c r="D546" s="57"/>
      <c r="E546" s="57"/>
      <c r="F546" s="57"/>
      <c r="G546" s="57"/>
      <c r="H546" s="57"/>
      <c r="I546" s="57"/>
      <c r="J546" s="57"/>
      <c r="K546" s="57"/>
      <c r="L546" s="57"/>
      <c r="M546" s="57"/>
      <c r="N546" s="57"/>
      <c r="O546" s="57"/>
      <c r="P546" s="57"/>
      <c r="Q546" s="57"/>
      <c r="R546" s="2222"/>
      <c r="S546" s="255"/>
    </row>
    <row r="547" spans="1:19">
      <c r="A547" s="255"/>
      <c r="B547" s="57"/>
      <c r="C547" s="57"/>
      <c r="D547" s="57"/>
      <c r="E547" s="57"/>
      <c r="F547" s="57"/>
      <c r="G547" s="57"/>
      <c r="H547" s="57"/>
      <c r="I547" s="57"/>
      <c r="J547" s="57"/>
      <c r="K547" s="57"/>
      <c r="L547" s="57"/>
      <c r="M547" s="57"/>
      <c r="N547" s="57"/>
      <c r="O547" s="57"/>
      <c r="P547" s="57"/>
      <c r="Q547" s="57"/>
      <c r="R547" s="2222"/>
      <c r="S547" s="255"/>
    </row>
    <row r="548" spans="1:19">
      <c r="A548" s="255"/>
      <c r="B548" s="57"/>
      <c r="C548" s="57"/>
      <c r="D548" s="57"/>
      <c r="E548" s="57"/>
      <c r="F548" s="57"/>
      <c r="G548" s="57"/>
      <c r="H548" s="57"/>
      <c r="I548" s="57"/>
      <c r="J548" s="57"/>
      <c r="K548" s="57"/>
      <c r="L548" s="57"/>
      <c r="M548" s="57"/>
      <c r="N548" s="57"/>
      <c r="O548" s="57"/>
      <c r="P548" s="57"/>
      <c r="Q548" s="57"/>
      <c r="R548" s="2222"/>
      <c r="S548" s="255"/>
    </row>
    <row r="549" spans="1:19">
      <c r="A549" s="255"/>
      <c r="B549" s="57"/>
      <c r="C549" s="57"/>
      <c r="D549" s="57"/>
      <c r="E549" s="57"/>
      <c r="F549" s="57"/>
      <c r="G549" s="57"/>
      <c r="H549" s="57"/>
      <c r="I549" s="57"/>
      <c r="J549" s="57"/>
      <c r="K549" s="57"/>
      <c r="L549" s="57"/>
      <c r="M549" s="57"/>
      <c r="N549" s="57"/>
      <c r="O549" s="57"/>
      <c r="P549" s="57"/>
      <c r="Q549" s="57"/>
      <c r="R549" s="2222"/>
      <c r="S549" s="255"/>
    </row>
    <row r="550" spans="1:19">
      <c r="A550" s="255"/>
      <c r="B550" s="57"/>
      <c r="C550" s="57"/>
      <c r="D550" s="57"/>
      <c r="E550" s="57"/>
      <c r="F550" s="57"/>
      <c r="G550" s="57"/>
      <c r="H550" s="57"/>
      <c r="I550" s="57"/>
      <c r="J550" s="57"/>
      <c r="K550" s="57"/>
      <c r="L550" s="57"/>
      <c r="M550" s="57"/>
      <c r="N550" s="57"/>
      <c r="O550" s="57"/>
      <c r="P550" s="57"/>
      <c r="Q550" s="57"/>
      <c r="R550" s="2222"/>
      <c r="S550" s="255"/>
    </row>
    <row r="551" spans="1:19">
      <c r="A551" s="255"/>
      <c r="B551" s="57"/>
      <c r="C551" s="57"/>
      <c r="D551" s="57"/>
      <c r="E551" s="57"/>
      <c r="F551" s="57"/>
      <c r="G551" s="57"/>
      <c r="H551" s="57"/>
      <c r="I551" s="57"/>
      <c r="J551" s="57"/>
      <c r="K551" s="57"/>
      <c r="L551" s="57"/>
      <c r="M551" s="57"/>
      <c r="N551" s="57"/>
      <c r="O551" s="57"/>
      <c r="P551" s="57"/>
      <c r="Q551" s="57"/>
      <c r="R551" s="2222"/>
      <c r="S551" s="255"/>
    </row>
    <row r="552" spans="1:19">
      <c r="A552" s="255"/>
      <c r="B552" s="57"/>
      <c r="C552" s="57"/>
      <c r="D552" s="57"/>
      <c r="E552" s="57"/>
      <c r="F552" s="57"/>
      <c r="G552" s="57"/>
      <c r="H552" s="57"/>
      <c r="I552" s="57"/>
      <c r="J552" s="57"/>
      <c r="K552" s="57"/>
      <c r="L552" s="57"/>
      <c r="M552" s="57"/>
      <c r="N552" s="57"/>
      <c r="O552" s="57"/>
      <c r="P552" s="57"/>
      <c r="Q552" s="57"/>
      <c r="R552" s="2222"/>
      <c r="S552" s="255"/>
    </row>
    <row r="553" spans="1:19">
      <c r="A553" s="255"/>
      <c r="B553" s="57"/>
      <c r="C553" s="57"/>
      <c r="D553" s="57"/>
      <c r="E553" s="57"/>
      <c r="F553" s="57"/>
      <c r="G553" s="57"/>
      <c r="H553" s="57"/>
      <c r="I553" s="57"/>
      <c r="J553" s="57"/>
      <c r="K553" s="57"/>
      <c r="L553" s="57"/>
      <c r="M553" s="57"/>
      <c r="N553" s="57"/>
      <c r="O553" s="57"/>
      <c r="P553" s="57"/>
      <c r="Q553" s="57"/>
      <c r="R553" s="2222"/>
      <c r="S553" s="255"/>
    </row>
    <row r="554" spans="1:19">
      <c r="A554" s="255"/>
      <c r="B554" s="57"/>
      <c r="C554" s="57"/>
      <c r="D554" s="57"/>
      <c r="E554" s="57"/>
      <c r="F554" s="57"/>
      <c r="G554" s="57"/>
      <c r="H554" s="57"/>
      <c r="I554" s="57"/>
      <c r="J554" s="57"/>
      <c r="K554" s="57"/>
      <c r="L554" s="57"/>
      <c r="M554" s="57"/>
      <c r="N554" s="57"/>
      <c r="O554" s="57"/>
      <c r="P554" s="57"/>
      <c r="Q554" s="57"/>
      <c r="R554" s="2222"/>
      <c r="S554" s="255"/>
    </row>
    <row r="555" spans="1:19">
      <c r="A555" s="255"/>
      <c r="B555" s="57"/>
      <c r="C555" s="57"/>
      <c r="D555" s="57"/>
      <c r="E555" s="57"/>
      <c r="F555" s="57"/>
      <c r="G555" s="57"/>
      <c r="H555" s="57"/>
      <c r="I555" s="57"/>
      <c r="J555" s="57"/>
      <c r="K555" s="57"/>
      <c r="L555" s="57"/>
      <c r="M555" s="57"/>
      <c r="N555" s="57"/>
      <c r="O555" s="57"/>
      <c r="P555" s="57"/>
      <c r="Q555" s="57"/>
      <c r="R555" s="2222"/>
      <c r="S555" s="255"/>
    </row>
    <row r="556" spans="1:19">
      <c r="A556" s="255"/>
      <c r="B556" s="57"/>
      <c r="C556" s="57"/>
      <c r="D556" s="57"/>
      <c r="E556" s="57"/>
      <c r="F556" s="57"/>
      <c r="G556" s="57"/>
      <c r="H556" s="57"/>
      <c r="I556" s="57"/>
      <c r="J556" s="57"/>
      <c r="K556" s="57"/>
      <c r="L556" s="57"/>
      <c r="M556" s="57"/>
      <c r="N556" s="57"/>
      <c r="O556" s="57"/>
      <c r="P556" s="57"/>
      <c r="Q556" s="57"/>
      <c r="R556" s="2222"/>
      <c r="S556" s="255"/>
    </row>
    <row r="557" spans="1:19">
      <c r="A557" s="255"/>
      <c r="B557" s="57"/>
      <c r="C557" s="57"/>
      <c r="D557" s="57"/>
      <c r="E557" s="57"/>
      <c r="F557" s="57"/>
      <c r="G557" s="57"/>
      <c r="H557" s="57"/>
      <c r="I557" s="57"/>
      <c r="J557" s="57"/>
      <c r="K557" s="57"/>
      <c r="L557" s="57"/>
      <c r="M557" s="57"/>
      <c r="N557" s="57"/>
      <c r="O557" s="57"/>
      <c r="P557" s="57"/>
      <c r="Q557" s="57"/>
      <c r="R557" s="2222"/>
      <c r="S557" s="255"/>
    </row>
    <row r="558" spans="1:19">
      <c r="A558" s="255"/>
      <c r="B558" s="57"/>
      <c r="C558" s="57"/>
      <c r="D558" s="57"/>
      <c r="E558" s="57"/>
      <c r="F558" s="57"/>
      <c r="G558" s="57"/>
      <c r="H558" s="57"/>
      <c r="I558" s="57"/>
      <c r="J558" s="57"/>
      <c r="K558" s="57"/>
      <c r="L558" s="57"/>
      <c r="M558" s="57"/>
      <c r="N558" s="57"/>
      <c r="O558" s="57"/>
      <c r="P558" s="57"/>
      <c r="Q558" s="57"/>
      <c r="R558" s="2222"/>
      <c r="S558" s="255"/>
    </row>
    <row r="559" spans="1:19">
      <c r="A559" s="255"/>
      <c r="B559" s="57"/>
      <c r="C559" s="57"/>
      <c r="D559" s="57"/>
      <c r="E559" s="57"/>
      <c r="F559" s="57"/>
      <c r="G559" s="57"/>
      <c r="H559" s="57"/>
      <c r="I559" s="57"/>
      <c r="J559" s="57"/>
      <c r="K559" s="57"/>
      <c r="L559" s="57"/>
      <c r="M559" s="57"/>
      <c r="N559" s="57"/>
      <c r="O559" s="57"/>
      <c r="P559" s="57"/>
      <c r="Q559" s="57"/>
      <c r="R559" s="2222"/>
      <c r="S559" s="255"/>
    </row>
    <row r="560" spans="1:19">
      <c r="A560" s="255"/>
      <c r="B560" s="57"/>
      <c r="C560" s="57"/>
      <c r="D560" s="57"/>
      <c r="E560" s="57"/>
      <c r="F560" s="57"/>
      <c r="G560" s="57"/>
      <c r="H560" s="57"/>
      <c r="I560" s="57"/>
      <c r="J560" s="57"/>
      <c r="K560" s="57"/>
      <c r="L560" s="57"/>
      <c r="M560" s="57"/>
      <c r="N560" s="57"/>
      <c r="O560" s="57"/>
      <c r="P560" s="57"/>
      <c r="Q560" s="57"/>
      <c r="R560" s="2222"/>
      <c r="S560" s="255"/>
    </row>
    <row r="561" spans="1:19">
      <c r="A561" s="255"/>
      <c r="B561" s="57"/>
      <c r="C561" s="57"/>
      <c r="D561" s="57"/>
      <c r="E561" s="57"/>
      <c r="F561" s="57"/>
      <c r="G561" s="57"/>
      <c r="H561" s="57"/>
      <c r="I561" s="57"/>
      <c r="J561" s="57"/>
      <c r="K561" s="57"/>
      <c r="L561" s="57"/>
      <c r="M561" s="57"/>
      <c r="N561" s="57"/>
      <c r="O561" s="57"/>
      <c r="P561" s="57"/>
      <c r="Q561" s="57"/>
      <c r="R561" s="2222"/>
      <c r="S561" s="255"/>
    </row>
    <row r="562" spans="1:19">
      <c r="A562" s="255"/>
      <c r="B562" s="57"/>
      <c r="C562" s="57"/>
      <c r="D562" s="57"/>
      <c r="E562" s="57"/>
      <c r="F562" s="57"/>
      <c r="G562" s="57"/>
      <c r="H562" s="57"/>
      <c r="I562" s="57"/>
      <c r="J562" s="57"/>
      <c r="K562" s="57"/>
      <c r="L562" s="57"/>
      <c r="M562" s="57"/>
      <c r="N562" s="57"/>
      <c r="O562" s="57"/>
      <c r="P562" s="57"/>
      <c r="Q562" s="57"/>
      <c r="R562" s="2222"/>
      <c r="S562" s="255"/>
    </row>
    <row r="563" spans="1:19">
      <c r="A563" s="255"/>
      <c r="B563" s="57"/>
      <c r="C563" s="57"/>
      <c r="D563" s="57"/>
      <c r="E563" s="57"/>
      <c r="F563" s="57"/>
      <c r="G563" s="57"/>
      <c r="H563" s="57"/>
      <c r="I563" s="57"/>
      <c r="J563" s="57"/>
      <c r="K563" s="57"/>
      <c r="L563" s="57"/>
      <c r="M563" s="57"/>
      <c r="N563" s="57"/>
      <c r="O563" s="57"/>
      <c r="P563" s="57"/>
      <c r="Q563" s="57"/>
      <c r="R563" s="2222"/>
      <c r="S563" s="255"/>
    </row>
    <row r="564" spans="1:19">
      <c r="A564" s="255"/>
      <c r="B564" s="57"/>
      <c r="C564" s="57"/>
      <c r="D564" s="57"/>
      <c r="E564" s="57"/>
      <c r="F564" s="57"/>
      <c r="G564" s="57"/>
      <c r="H564" s="57"/>
      <c r="I564" s="57"/>
      <c r="J564" s="57"/>
      <c r="K564" s="57"/>
      <c r="L564" s="57"/>
      <c r="M564" s="57"/>
      <c r="N564" s="57"/>
      <c r="O564" s="57"/>
      <c r="P564" s="57"/>
      <c r="Q564" s="57"/>
      <c r="R564" s="2222"/>
      <c r="S564" s="255"/>
    </row>
    <row r="565" spans="1:19">
      <c r="A565" s="255"/>
      <c r="B565" s="57"/>
      <c r="C565" s="57"/>
      <c r="D565" s="57"/>
      <c r="E565" s="57"/>
      <c r="F565" s="57"/>
      <c r="G565" s="57"/>
      <c r="H565" s="57"/>
      <c r="I565" s="57"/>
      <c r="J565" s="57"/>
      <c r="K565" s="57"/>
      <c r="L565" s="57"/>
      <c r="M565" s="57"/>
      <c r="N565" s="57"/>
      <c r="O565" s="57"/>
      <c r="P565" s="57"/>
      <c r="Q565" s="57"/>
      <c r="R565" s="2222"/>
      <c r="S565" s="255"/>
    </row>
    <row r="566" spans="1:19">
      <c r="A566" s="255"/>
      <c r="B566" s="57"/>
      <c r="C566" s="57"/>
      <c r="D566" s="57"/>
      <c r="E566" s="57"/>
      <c r="F566" s="57"/>
      <c r="G566" s="57"/>
      <c r="H566" s="57"/>
      <c r="I566" s="57"/>
      <c r="J566" s="57"/>
      <c r="K566" s="57"/>
      <c r="L566" s="57"/>
      <c r="M566" s="57"/>
      <c r="N566" s="57"/>
      <c r="O566" s="57"/>
      <c r="P566" s="57"/>
      <c r="Q566" s="57"/>
      <c r="R566" s="2222"/>
      <c r="S566" s="255"/>
    </row>
    <row r="567" spans="1:19">
      <c r="A567" s="255"/>
      <c r="B567" s="57"/>
      <c r="C567" s="57"/>
      <c r="D567" s="57"/>
      <c r="E567" s="57"/>
      <c r="F567" s="57"/>
      <c r="G567" s="57"/>
      <c r="H567" s="57"/>
      <c r="I567" s="57"/>
      <c r="J567" s="57"/>
      <c r="K567" s="57"/>
      <c r="L567" s="57"/>
      <c r="M567" s="57"/>
      <c r="N567" s="57"/>
      <c r="O567" s="57"/>
      <c r="P567" s="57"/>
      <c r="Q567" s="57"/>
      <c r="R567" s="2222"/>
      <c r="S567" s="255"/>
    </row>
    <row r="568" spans="1:19">
      <c r="A568" s="255"/>
      <c r="B568" s="57"/>
      <c r="C568" s="57"/>
      <c r="D568" s="57"/>
      <c r="E568" s="57"/>
      <c r="F568" s="57"/>
      <c r="G568" s="57"/>
      <c r="H568" s="57"/>
      <c r="I568" s="57"/>
      <c r="J568" s="57"/>
      <c r="K568" s="57"/>
      <c r="L568" s="57"/>
      <c r="M568" s="57"/>
      <c r="N568" s="57"/>
      <c r="O568" s="57"/>
      <c r="P568" s="57"/>
      <c r="Q568" s="57"/>
      <c r="R568" s="2222"/>
      <c r="S568" s="255"/>
    </row>
    <row r="569" spans="1:19">
      <c r="A569" s="255"/>
      <c r="B569" s="57"/>
      <c r="C569" s="57"/>
      <c r="D569" s="57"/>
      <c r="E569" s="57"/>
      <c r="F569" s="57"/>
      <c r="G569" s="57"/>
      <c r="H569" s="57"/>
      <c r="I569" s="57"/>
      <c r="J569" s="57"/>
      <c r="K569" s="57"/>
      <c r="L569" s="57"/>
      <c r="M569" s="57"/>
      <c r="N569" s="57"/>
      <c r="O569" s="57"/>
      <c r="P569" s="57"/>
      <c r="Q569" s="57"/>
      <c r="R569" s="2222"/>
      <c r="S569" s="255"/>
    </row>
    <row r="570" spans="1:19">
      <c r="A570" s="255"/>
      <c r="B570" s="57"/>
      <c r="C570" s="57"/>
      <c r="D570" s="57"/>
      <c r="E570" s="57"/>
      <c r="F570" s="57"/>
      <c r="G570" s="57"/>
      <c r="H570" s="57"/>
      <c r="I570" s="57"/>
      <c r="J570" s="57"/>
      <c r="K570" s="57"/>
      <c r="L570" s="57"/>
      <c r="M570" s="57"/>
      <c r="N570" s="57"/>
      <c r="O570" s="57"/>
      <c r="P570" s="57"/>
      <c r="Q570" s="57"/>
      <c r="R570" s="2222"/>
      <c r="S570" s="255"/>
    </row>
    <row r="571" spans="1:19">
      <c r="A571" s="255"/>
      <c r="B571" s="57"/>
      <c r="C571" s="57"/>
      <c r="D571" s="57"/>
      <c r="E571" s="57"/>
      <c r="F571" s="57"/>
      <c r="G571" s="57"/>
      <c r="H571" s="57"/>
      <c r="I571" s="57"/>
      <c r="J571" s="57"/>
      <c r="K571" s="57"/>
      <c r="L571" s="57"/>
      <c r="M571" s="57"/>
      <c r="N571" s="57"/>
      <c r="O571" s="57"/>
      <c r="P571" s="57"/>
      <c r="Q571" s="57"/>
      <c r="R571" s="2222"/>
      <c r="S571" s="255"/>
    </row>
    <row r="572" spans="1:19">
      <c r="A572" s="255"/>
      <c r="B572" s="57"/>
      <c r="C572" s="57"/>
      <c r="D572" s="57"/>
      <c r="E572" s="57"/>
      <c r="F572" s="57"/>
      <c r="G572" s="57"/>
      <c r="H572" s="57"/>
      <c r="I572" s="57"/>
      <c r="J572" s="57"/>
      <c r="K572" s="57"/>
      <c r="L572" s="57"/>
      <c r="M572" s="57"/>
      <c r="N572" s="57"/>
      <c r="O572" s="57"/>
      <c r="P572" s="57"/>
      <c r="Q572" s="57"/>
      <c r="R572" s="2222"/>
      <c r="S572" s="255"/>
    </row>
    <row r="573" spans="1:19">
      <c r="A573" s="255"/>
      <c r="B573" s="57"/>
      <c r="C573" s="57"/>
      <c r="D573" s="57"/>
      <c r="E573" s="57"/>
      <c r="F573" s="57"/>
      <c r="G573" s="57"/>
      <c r="H573" s="57"/>
      <c r="I573" s="57"/>
      <c r="J573" s="57"/>
      <c r="K573" s="57"/>
      <c r="L573" s="57"/>
      <c r="M573" s="57"/>
      <c r="N573" s="57"/>
      <c r="O573" s="57"/>
      <c r="P573" s="57"/>
      <c r="Q573" s="57"/>
      <c r="R573" s="2222"/>
      <c r="S573" s="255"/>
    </row>
    <row r="574" spans="1:19">
      <c r="A574" s="255"/>
      <c r="B574" s="57"/>
      <c r="C574" s="57"/>
      <c r="D574" s="57"/>
      <c r="E574" s="57"/>
      <c r="F574" s="57"/>
      <c r="G574" s="57"/>
      <c r="H574" s="57"/>
      <c r="I574" s="57"/>
      <c r="J574" s="57"/>
      <c r="K574" s="57"/>
      <c r="L574" s="57"/>
      <c r="M574" s="57"/>
      <c r="N574" s="57"/>
      <c r="O574" s="57"/>
      <c r="P574" s="57"/>
      <c r="Q574" s="57"/>
      <c r="R574" s="2222"/>
      <c r="S574" s="255"/>
    </row>
    <row r="575" spans="1:19">
      <c r="A575" s="255"/>
      <c r="B575" s="57"/>
      <c r="C575" s="57"/>
      <c r="D575" s="57"/>
      <c r="E575" s="57"/>
      <c r="F575" s="57"/>
      <c r="G575" s="57"/>
      <c r="H575" s="57"/>
      <c r="I575" s="57"/>
      <c r="J575" s="57"/>
      <c r="K575" s="57"/>
      <c r="L575" s="57"/>
      <c r="M575" s="57"/>
      <c r="N575" s="57"/>
      <c r="O575" s="57"/>
      <c r="P575" s="57"/>
      <c r="Q575" s="57"/>
      <c r="R575" s="2222"/>
      <c r="S575" s="255"/>
    </row>
    <row r="576" spans="1:19">
      <c r="A576" s="255"/>
      <c r="B576" s="57"/>
      <c r="C576" s="57"/>
      <c r="D576" s="57"/>
      <c r="E576" s="57"/>
      <c r="F576" s="57"/>
      <c r="G576" s="57"/>
      <c r="H576" s="57"/>
      <c r="I576" s="57"/>
      <c r="J576" s="57"/>
      <c r="K576" s="57"/>
      <c r="L576" s="57"/>
      <c r="M576" s="57"/>
      <c r="N576" s="57"/>
      <c r="O576" s="57"/>
      <c r="P576" s="57"/>
      <c r="Q576" s="57"/>
      <c r="R576" s="2222"/>
      <c r="S576" s="255"/>
    </row>
    <row r="577" spans="1:19">
      <c r="A577" s="255"/>
      <c r="B577" s="57"/>
      <c r="C577" s="57"/>
      <c r="D577" s="57"/>
      <c r="E577" s="57"/>
      <c r="F577" s="57"/>
      <c r="G577" s="57"/>
      <c r="H577" s="57"/>
      <c r="I577" s="57"/>
      <c r="J577" s="57"/>
      <c r="K577" s="57"/>
      <c r="L577" s="57"/>
      <c r="M577" s="57"/>
      <c r="N577" s="57"/>
      <c r="O577" s="57"/>
      <c r="P577" s="57"/>
      <c r="Q577" s="57"/>
      <c r="R577" s="2222"/>
      <c r="S577" s="255"/>
    </row>
    <row r="578" spans="1:19">
      <c r="A578" s="255"/>
      <c r="B578" s="57"/>
      <c r="C578" s="57"/>
      <c r="D578" s="57"/>
      <c r="E578" s="57"/>
      <c r="F578" s="57"/>
      <c r="G578" s="57"/>
      <c r="H578" s="57"/>
      <c r="I578" s="57"/>
      <c r="J578" s="57"/>
      <c r="K578" s="57"/>
      <c r="L578" s="57"/>
      <c r="M578" s="57"/>
      <c r="N578" s="57"/>
      <c r="O578" s="57"/>
      <c r="P578" s="57"/>
      <c r="Q578" s="57"/>
      <c r="R578" s="2222"/>
      <c r="S578" s="255"/>
    </row>
    <row r="579" spans="1:19">
      <c r="A579" s="255"/>
      <c r="B579" s="57"/>
      <c r="C579" s="57"/>
      <c r="D579" s="57"/>
      <c r="E579" s="57"/>
      <c r="F579" s="57"/>
      <c r="G579" s="57"/>
      <c r="H579" s="57"/>
      <c r="I579" s="57"/>
      <c r="J579" s="57"/>
      <c r="K579" s="57"/>
      <c r="L579" s="57"/>
      <c r="M579" s="57"/>
      <c r="N579" s="57"/>
      <c r="O579" s="57"/>
      <c r="P579" s="57"/>
      <c r="Q579" s="57"/>
      <c r="R579" s="2222"/>
      <c r="S579" s="255"/>
    </row>
    <row r="580" spans="1:19">
      <c r="A580" s="255"/>
      <c r="B580" s="57"/>
      <c r="C580" s="57"/>
      <c r="D580" s="57"/>
      <c r="E580" s="57"/>
      <c r="F580" s="57"/>
      <c r="G580" s="57"/>
      <c r="H580" s="57"/>
      <c r="I580" s="57"/>
      <c r="J580" s="57"/>
      <c r="K580" s="57"/>
      <c r="L580" s="57"/>
      <c r="M580" s="57"/>
      <c r="N580" s="57"/>
      <c r="O580" s="57"/>
      <c r="P580" s="57"/>
      <c r="Q580" s="57"/>
      <c r="R580" s="2222"/>
      <c r="S580" s="255"/>
    </row>
    <row r="581" spans="1:19">
      <c r="A581" s="255"/>
      <c r="B581" s="57"/>
      <c r="C581" s="57"/>
      <c r="D581" s="57"/>
      <c r="E581" s="57"/>
      <c r="F581" s="57"/>
      <c r="G581" s="57"/>
      <c r="H581" s="57"/>
      <c r="I581" s="57"/>
      <c r="J581" s="57"/>
      <c r="K581" s="57"/>
      <c r="L581" s="57"/>
      <c r="M581" s="57"/>
      <c r="N581" s="57"/>
      <c r="O581" s="57"/>
      <c r="P581" s="57"/>
      <c r="Q581" s="57"/>
      <c r="R581" s="2222"/>
      <c r="S581" s="255"/>
    </row>
    <row r="582" spans="1:19">
      <c r="A582" s="255"/>
      <c r="B582" s="57"/>
      <c r="C582" s="57"/>
      <c r="D582" s="57"/>
      <c r="E582" s="57"/>
      <c r="F582" s="57"/>
      <c r="G582" s="57"/>
      <c r="H582" s="57"/>
      <c r="I582" s="57"/>
      <c r="J582" s="57"/>
      <c r="K582" s="57"/>
      <c r="L582" s="57"/>
      <c r="M582" s="57"/>
      <c r="N582" s="57"/>
      <c r="O582" s="57"/>
      <c r="P582" s="57"/>
      <c r="Q582" s="57"/>
      <c r="R582" s="2222"/>
      <c r="S582" s="255"/>
    </row>
    <row r="583" spans="1:19">
      <c r="A583" s="255"/>
      <c r="B583" s="57"/>
      <c r="C583" s="57"/>
      <c r="D583" s="57"/>
      <c r="E583" s="57"/>
      <c r="F583" s="57"/>
      <c r="G583" s="57"/>
      <c r="H583" s="57"/>
      <c r="I583" s="57"/>
      <c r="J583" s="57"/>
      <c r="K583" s="57"/>
      <c r="L583" s="57"/>
      <c r="M583" s="57"/>
      <c r="N583" s="57"/>
      <c r="O583" s="57"/>
      <c r="P583" s="57"/>
      <c r="Q583" s="57"/>
      <c r="R583" s="2222"/>
      <c r="S583" s="255"/>
    </row>
    <row r="584" spans="1:19">
      <c r="A584" s="255"/>
      <c r="B584" s="57"/>
      <c r="C584" s="57"/>
      <c r="D584" s="57"/>
      <c r="E584" s="57"/>
      <c r="F584" s="57"/>
      <c r="G584" s="57"/>
      <c r="H584" s="57"/>
      <c r="I584" s="57"/>
      <c r="J584" s="57"/>
      <c r="K584" s="57"/>
      <c r="L584" s="57"/>
      <c r="M584" s="57"/>
      <c r="N584" s="57"/>
      <c r="O584" s="57"/>
      <c r="P584" s="57"/>
      <c r="Q584" s="57"/>
      <c r="R584" s="2222"/>
      <c r="S584" s="255"/>
    </row>
    <row r="585" spans="1:19">
      <c r="A585" s="255"/>
      <c r="B585" s="57"/>
      <c r="C585" s="57"/>
      <c r="D585" s="57"/>
      <c r="E585" s="57"/>
      <c r="F585" s="57"/>
      <c r="G585" s="57"/>
      <c r="H585" s="57"/>
      <c r="I585" s="57"/>
      <c r="J585" s="57"/>
      <c r="K585" s="57"/>
      <c r="L585" s="57"/>
      <c r="M585" s="57"/>
      <c r="N585" s="57"/>
      <c r="O585" s="57"/>
      <c r="P585" s="57"/>
      <c r="Q585" s="57"/>
      <c r="R585" s="2222"/>
      <c r="S585" s="255"/>
    </row>
    <row r="586" spans="1:19">
      <c r="A586" s="255"/>
      <c r="B586" s="57"/>
      <c r="C586" s="57"/>
      <c r="D586" s="57"/>
      <c r="E586" s="57"/>
      <c r="F586" s="57"/>
      <c r="G586" s="57"/>
      <c r="H586" s="57"/>
      <c r="I586" s="57"/>
      <c r="J586" s="57"/>
      <c r="K586" s="57"/>
      <c r="L586" s="57"/>
      <c r="M586" s="57"/>
      <c r="N586" s="57"/>
      <c r="O586" s="57"/>
      <c r="P586" s="57"/>
      <c r="Q586" s="57"/>
      <c r="R586" s="2222"/>
      <c r="S586" s="255"/>
    </row>
    <row r="587" spans="1:19">
      <c r="A587" s="255"/>
      <c r="B587" s="57"/>
      <c r="C587" s="57"/>
      <c r="D587" s="57"/>
      <c r="E587" s="57"/>
      <c r="F587" s="57"/>
      <c r="G587" s="57"/>
      <c r="H587" s="57"/>
      <c r="I587" s="57"/>
      <c r="J587" s="57"/>
      <c r="K587" s="57"/>
      <c r="L587" s="57"/>
      <c r="M587" s="57"/>
      <c r="N587" s="57"/>
      <c r="O587" s="57"/>
      <c r="P587" s="57"/>
      <c r="Q587" s="57"/>
      <c r="R587" s="2222"/>
      <c r="S587" s="255"/>
    </row>
    <row r="588" spans="1:19">
      <c r="A588" s="255"/>
      <c r="B588" s="57"/>
      <c r="C588" s="57"/>
      <c r="D588" s="57"/>
      <c r="E588" s="57"/>
      <c r="F588" s="57"/>
      <c r="G588" s="57"/>
      <c r="H588" s="57"/>
      <c r="I588" s="57"/>
      <c r="J588" s="57"/>
      <c r="K588" s="57"/>
      <c r="L588" s="57"/>
      <c r="M588" s="57"/>
      <c r="N588" s="57"/>
      <c r="O588" s="57"/>
      <c r="P588" s="57"/>
      <c r="Q588" s="57"/>
      <c r="R588" s="2222"/>
      <c r="S588" s="255"/>
    </row>
    <row r="589" spans="1:19">
      <c r="A589" s="255"/>
      <c r="B589" s="57"/>
      <c r="C589" s="57"/>
      <c r="D589" s="57"/>
      <c r="E589" s="57"/>
      <c r="F589" s="57"/>
      <c r="G589" s="57"/>
      <c r="H589" s="57"/>
      <c r="I589" s="57"/>
      <c r="J589" s="57"/>
      <c r="K589" s="57"/>
      <c r="L589" s="57"/>
      <c r="M589" s="57"/>
      <c r="N589" s="57"/>
      <c r="O589" s="57"/>
      <c r="P589" s="57"/>
      <c r="Q589" s="57"/>
      <c r="R589" s="2222"/>
      <c r="S589" s="255"/>
    </row>
    <row r="590" spans="1:19">
      <c r="A590" s="255"/>
      <c r="B590" s="57"/>
      <c r="C590" s="57"/>
      <c r="D590" s="57"/>
      <c r="E590" s="57"/>
      <c r="F590" s="57"/>
      <c r="G590" s="57"/>
      <c r="H590" s="57"/>
      <c r="I590" s="57"/>
      <c r="J590" s="57"/>
      <c r="K590" s="57"/>
      <c r="L590" s="57"/>
      <c r="M590" s="57"/>
      <c r="N590" s="57"/>
      <c r="O590" s="57"/>
      <c r="P590" s="57"/>
      <c r="Q590" s="57"/>
      <c r="R590" s="2222"/>
      <c r="S590" s="255"/>
    </row>
    <row r="591" spans="1:19">
      <c r="A591" s="255"/>
      <c r="B591" s="57"/>
      <c r="C591" s="57"/>
      <c r="D591" s="57"/>
      <c r="E591" s="57"/>
      <c r="F591" s="57"/>
      <c r="G591" s="57"/>
      <c r="H591" s="57"/>
      <c r="I591" s="57"/>
      <c r="J591" s="57"/>
      <c r="K591" s="57"/>
      <c r="L591" s="57"/>
      <c r="M591" s="57"/>
      <c r="N591" s="57"/>
      <c r="O591" s="57"/>
      <c r="P591" s="57"/>
      <c r="Q591" s="57"/>
      <c r="R591" s="2222"/>
      <c r="S591" s="255"/>
    </row>
    <row r="592" spans="1:19">
      <c r="A592" s="255"/>
      <c r="B592" s="57"/>
      <c r="C592" s="57"/>
      <c r="D592" s="57"/>
      <c r="E592" s="57"/>
      <c r="F592" s="57"/>
      <c r="G592" s="57"/>
      <c r="H592" s="57"/>
      <c r="I592" s="57"/>
      <c r="J592" s="57"/>
      <c r="K592" s="57"/>
      <c r="L592" s="57"/>
      <c r="M592" s="57"/>
      <c r="N592" s="57"/>
      <c r="O592" s="57"/>
      <c r="P592" s="57"/>
      <c r="Q592" s="57"/>
      <c r="R592" s="2222"/>
      <c r="S592" s="255"/>
    </row>
    <row r="593" spans="1:19">
      <c r="A593" s="255"/>
      <c r="B593" s="57"/>
      <c r="C593" s="57"/>
      <c r="D593" s="57"/>
      <c r="E593" s="57"/>
      <c r="F593" s="57"/>
      <c r="G593" s="57"/>
      <c r="H593" s="57"/>
      <c r="I593" s="57"/>
      <c r="J593" s="57"/>
      <c r="K593" s="57"/>
      <c r="L593" s="57"/>
      <c r="M593" s="57"/>
      <c r="N593" s="57"/>
      <c r="O593" s="57"/>
      <c r="P593" s="57"/>
      <c r="Q593" s="57"/>
      <c r="R593" s="2222"/>
      <c r="S593" s="255"/>
    </row>
    <row r="594" spans="1:19">
      <c r="A594" s="255"/>
      <c r="B594" s="57"/>
      <c r="C594" s="57"/>
      <c r="D594" s="57"/>
      <c r="E594" s="57"/>
      <c r="F594" s="57"/>
      <c r="G594" s="57"/>
      <c r="H594" s="57"/>
      <c r="I594" s="57"/>
      <c r="J594" s="57"/>
      <c r="K594" s="57"/>
      <c r="L594" s="57"/>
      <c r="M594" s="57"/>
      <c r="N594" s="57"/>
      <c r="O594" s="57"/>
      <c r="P594" s="57"/>
      <c r="Q594" s="57"/>
      <c r="R594" s="2222"/>
      <c r="S594" s="255"/>
    </row>
    <row r="595" spans="1:19">
      <c r="A595" s="255"/>
      <c r="B595" s="57"/>
      <c r="C595" s="57"/>
      <c r="D595" s="57"/>
      <c r="E595" s="57"/>
      <c r="F595" s="57"/>
      <c r="G595" s="57"/>
      <c r="H595" s="57"/>
      <c r="I595" s="57"/>
      <c r="J595" s="57"/>
      <c r="K595" s="57"/>
      <c r="L595" s="57"/>
      <c r="M595" s="57"/>
      <c r="N595" s="57"/>
      <c r="O595" s="57"/>
      <c r="P595" s="57"/>
      <c r="Q595" s="57"/>
      <c r="R595" s="2222"/>
      <c r="S595" s="255"/>
    </row>
    <row r="596" spans="1:19">
      <c r="A596" s="255"/>
      <c r="B596" s="57"/>
      <c r="C596" s="57"/>
      <c r="D596" s="57"/>
      <c r="E596" s="57"/>
      <c r="F596" s="57"/>
      <c r="G596" s="57"/>
      <c r="H596" s="57"/>
      <c r="I596" s="57"/>
      <c r="J596" s="57"/>
      <c r="K596" s="57"/>
      <c r="L596" s="57"/>
      <c r="M596" s="57"/>
      <c r="N596" s="57"/>
      <c r="O596" s="57"/>
      <c r="P596" s="57"/>
      <c r="Q596" s="57"/>
      <c r="R596" s="2222"/>
      <c r="S596" s="255"/>
    </row>
    <row r="597" spans="1:19">
      <c r="A597" s="255"/>
      <c r="B597" s="57"/>
      <c r="C597" s="57"/>
      <c r="D597" s="57"/>
      <c r="E597" s="57"/>
      <c r="F597" s="57"/>
      <c r="G597" s="57"/>
      <c r="H597" s="57"/>
      <c r="I597" s="57"/>
      <c r="J597" s="57"/>
      <c r="K597" s="57"/>
      <c r="L597" s="57"/>
      <c r="M597" s="57"/>
      <c r="N597" s="57"/>
      <c r="O597" s="57"/>
      <c r="P597" s="57"/>
      <c r="Q597" s="57"/>
      <c r="R597" s="2222"/>
      <c r="S597" s="255"/>
    </row>
    <row r="598" spans="1:19">
      <c r="A598" s="255"/>
      <c r="B598" s="57"/>
      <c r="C598" s="57"/>
      <c r="D598" s="57"/>
      <c r="E598" s="57"/>
      <c r="F598" s="57"/>
      <c r="G598" s="57"/>
      <c r="H598" s="57"/>
      <c r="I598" s="57"/>
      <c r="J598" s="57"/>
      <c r="K598" s="57"/>
      <c r="L598" s="57"/>
      <c r="M598" s="57"/>
      <c r="N598" s="57"/>
      <c r="O598" s="57"/>
      <c r="P598" s="57"/>
      <c r="Q598" s="57"/>
      <c r="R598" s="2222"/>
      <c r="S598" s="255"/>
    </row>
    <row r="599" spans="1:19">
      <c r="A599" s="255"/>
      <c r="B599" s="57"/>
      <c r="C599" s="57"/>
      <c r="D599" s="57"/>
      <c r="E599" s="57"/>
      <c r="F599" s="57"/>
      <c r="G599" s="57"/>
      <c r="H599" s="57"/>
      <c r="I599" s="57"/>
      <c r="J599" s="57"/>
      <c r="K599" s="57"/>
      <c r="L599" s="57"/>
      <c r="M599" s="57"/>
      <c r="N599" s="57"/>
      <c r="O599" s="57"/>
      <c r="P599" s="57"/>
      <c r="Q599" s="57"/>
      <c r="R599" s="2222"/>
      <c r="S599" s="255"/>
    </row>
    <row r="600" spans="1:19">
      <c r="A600" s="255"/>
      <c r="B600" s="57"/>
      <c r="C600" s="57"/>
      <c r="D600" s="57"/>
      <c r="E600" s="57"/>
      <c r="F600" s="57"/>
      <c r="G600" s="57"/>
      <c r="H600" s="57"/>
      <c r="I600" s="57"/>
      <c r="J600" s="57"/>
      <c r="K600" s="57"/>
      <c r="L600" s="57"/>
      <c r="M600" s="57"/>
      <c r="N600" s="57"/>
      <c r="O600" s="57"/>
      <c r="P600" s="57"/>
      <c r="Q600" s="57"/>
      <c r="R600" s="2222"/>
      <c r="S600" s="255"/>
    </row>
    <row r="601" spans="1:19">
      <c r="A601" s="255"/>
      <c r="B601" s="57"/>
      <c r="C601" s="57"/>
      <c r="D601" s="57"/>
      <c r="E601" s="57"/>
      <c r="F601" s="57"/>
      <c r="G601" s="57"/>
      <c r="H601" s="57"/>
      <c r="I601" s="57"/>
      <c r="J601" s="57"/>
      <c r="K601" s="57"/>
      <c r="L601" s="57"/>
      <c r="M601" s="57"/>
      <c r="N601" s="57"/>
      <c r="O601" s="57"/>
      <c r="P601" s="57"/>
      <c r="Q601" s="57"/>
      <c r="R601" s="2222"/>
      <c r="S601" s="255"/>
    </row>
    <row r="602" spans="1:19">
      <c r="A602" s="255"/>
      <c r="B602" s="57"/>
      <c r="C602" s="57"/>
      <c r="D602" s="57"/>
      <c r="E602" s="57"/>
      <c r="F602" s="57"/>
      <c r="G602" s="57"/>
      <c r="H602" s="57"/>
      <c r="I602" s="57"/>
      <c r="J602" s="57"/>
      <c r="K602" s="57"/>
      <c r="L602" s="57"/>
      <c r="M602" s="57"/>
      <c r="N602" s="57"/>
      <c r="O602" s="57"/>
      <c r="P602" s="57"/>
      <c r="Q602" s="57"/>
      <c r="R602" s="2222"/>
      <c r="S602" s="255"/>
    </row>
    <row r="603" spans="1:19">
      <c r="A603" s="255"/>
      <c r="B603" s="57"/>
      <c r="C603" s="57"/>
      <c r="D603" s="57"/>
      <c r="E603" s="57"/>
      <c r="F603" s="57"/>
      <c r="G603" s="57"/>
      <c r="H603" s="57"/>
      <c r="I603" s="57"/>
      <c r="J603" s="57"/>
      <c r="K603" s="57"/>
      <c r="L603" s="57"/>
      <c r="M603" s="57"/>
      <c r="N603" s="57"/>
      <c r="O603" s="57"/>
      <c r="P603" s="57"/>
      <c r="Q603" s="57"/>
      <c r="R603" s="2222"/>
      <c r="S603" s="255"/>
    </row>
    <row r="604" spans="1:19">
      <c r="A604" s="255"/>
      <c r="B604" s="57"/>
      <c r="C604" s="57"/>
      <c r="D604" s="57"/>
      <c r="E604" s="57"/>
      <c r="F604" s="57"/>
      <c r="G604" s="57"/>
      <c r="H604" s="57"/>
      <c r="I604" s="57"/>
      <c r="J604" s="57"/>
      <c r="K604" s="57"/>
      <c r="L604" s="57"/>
      <c r="M604" s="57"/>
      <c r="N604" s="57"/>
      <c r="O604" s="57"/>
      <c r="P604" s="57"/>
      <c r="Q604" s="57"/>
      <c r="R604" s="2222"/>
      <c r="S604" s="255"/>
    </row>
    <row r="605" spans="1:19">
      <c r="A605" s="255"/>
      <c r="B605" s="57"/>
      <c r="C605" s="57"/>
      <c r="D605" s="57"/>
      <c r="E605" s="57"/>
      <c r="F605" s="57"/>
      <c r="G605" s="57"/>
      <c r="H605" s="57"/>
      <c r="I605" s="57"/>
      <c r="J605" s="57"/>
      <c r="K605" s="57"/>
      <c r="L605" s="57"/>
      <c r="M605" s="57"/>
      <c r="N605" s="57"/>
      <c r="O605" s="57"/>
      <c r="P605" s="57"/>
      <c r="Q605" s="57"/>
      <c r="R605" s="2222"/>
      <c r="S605" s="255"/>
    </row>
    <row r="606" spans="1:19">
      <c r="A606" s="255"/>
      <c r="B606" s="57"/>
      <c r="C606" s="57"/>
      <c r="D606" s="57"/>
      <c r="E606" s="57"/>
      <c r="F606" s="57"/>
      <c r="G606" s="57"/>
      <c r="H606" s="57"/>
      <c r="I606" s="57"/>
      <c r="J606" s="57"/>
      <c r="K606" s="57"/>
      <c r="L606" s="57"/>
      <c r="M606" s="57"/>
      <c r="N606" s="57"/>
      <c r="O606" s="57"/>
      <c r="P606" s="57"/>
      <c r="Q606" s="57"/>
      <c r="R606" s="2222"/>
      <c r="S606" s="255"/>
    </row>
    <row r="607" spans="1:19">
      <c r="A607" s="255"/>
      <c r="B607" s="57"/>
      <c r="C607" s="57"/>
      <c r="D607" s="57"/>
      <c r="E607" s="57"/>
      <c r="F607" s="57"/>
      <c r="G607" s="57"/>
      <c r="H607" s="57"/>
      <c r="I607" s="57"/>
      <c r="J607" s="57"/>
      <c r="K607" s="57"/>
      <c r="L607" s="57"/>
      <c r="M607" s="57"/>
      <c r="N607" s="57"/>
      <c r="O607" s="57"/>
      <c r="P607" s="57"/>
      <c r="Q607" s="57"/>
      <c r="R607" s="2222"/>
      <c r="S607" s="255"/>
    </row>
    <row r="608" spans="1:19">
      <c r="A608" s="255"/>
      <c r="B608" s="57"/>
      <c r="C608" s="57"/>
      <c r="D608" s="57"/>
      <c r="E608" s="57"/>
      <c r="F608" s="57"/>
      <c r="G608" s="57"/>
      <c r="H608" s="57"/>
      <c r="I608" s="57"/>
      <c r="J608" s="57"/>
      <c r="K608" s="57"/>
      <c r="L608" s="57"/>
      <c r="M608" s="57"/>
      <c r="N608" s="57"/>
      <c r="O608" s="57"/>
      <c r="P608" s="57"/>
      <c r="Q608" s="57"/>
      <c r="R608" s="2222"/>
      <c r="S608" s="255"/>
    </row>
    <row r="609" spans="1:19">
      <c r="A609" s="255"/>
      <c r="B609" s="57"/>
      <c r="C609" s="57"/>
      <c r="D609" s="57"/>
      <c r="E609" s="57"/>
      <c r="F609" s="57"/>
      <c r="G609" s="57"/>
      <c r="H609" s="57"/>
      <c r="I609" s="57"/>
      <c r="J609" s="57"/>
      <c r="K609" s="57"/>
      <c r="L609" s="57"/>
      <c r="M609" s="57"/>
      <c r="N609" s="57"/>
      <c r="O609" s="57"/>
      <c r="P609" s="57"/>
      <c r="Q609" s="57"/>
      <c r="R609" s="2222"/>
      <c r="S609" s="255"/>
    </row>
    <row r="610" spans="1:19">
      <c r="A610" s="255"/>
      <c r="B610" s="57"/>
      <c r="C610" s="57"/>
      <c r="D610" s="57"/>
      <c r="E610" s="57"/>
      <c r="F610" s="57"/>
      <c r="G610" s="57"/>
      <c r="H610" s="57"/>
      <c r="I610" s="57"/>
      <c r="J610" s="57"/>
      <c r="K610" s="57"/>
      <c r="L610" s="57"/>
      <c r="M610" s="57"/>
      <c r="N610" s="57"/>
      <c r="O610" s="57"/>
      <c r="P610" s="57"/>
      <c r="Q610" s="57"/>
      <c r="R610" s="2222"/>
      <c r="S610" s="255"/>
    </row>
    <row r="611" spans="1:19">
      <c r="A611" s="255"/>
      <c r="B611" s="57"/>
      <c r="C611" s="57"/>
      <c r="D611" s="57"/>
      <c r="E611" s="57"/>
      <c r="F611" s="57"/>
      <c r="G611" s="57"/>
      <c r="H611" s="57"/>
      <c r="I611" s="57"/>
      <c r="J611" s="57"/>
      <c r="K611" s="57"/>
      <c r="L611" s="57"/>
      <c r="M611" s="57"/>
      <c r="N611" s="57"/>
      <c r="O611" s="57"/>
      <c r="P611" s="57"/>
      <c r="Q611" s="57"/>
      <c r="R611" s="2222"/>
      <c r="S611" s="255"/>
    </row>
    <row r="612" spans="1:19">
      <c r="A612" s="255"/>
      <c r="B612" s="57"/>
      <c r="C612" s="57"/>
      <c r="D612" s="57"/>
      <c r="E612" s="57"/>
      <c r="F612" s="57"/>
      <c r="G612" s="57"/>
      <c r="H612" s="57"/>
      <c r="I612" s="57"/>
      <c r="J612" s="57"/>
      <c r="K612" s="57"/>
      <c r="L612" s="57"/>
      <c r="M612" s="57"/>
      <c r="N612" s="57"/>
      <c r="O612" s="57"/>
      <c r="P612" s="57"/>
      <c r="Q612" s="57"/>
      <c r="R612" s="2222"/>
      <c r="S612" s="255"/>
    </row>
    <row r="613" spans="1:19">
      <c r="A613" s="255"/>
      <c r="B613" s="57"/>
      <c r="C613" s="57"/>
      <c r="D613" s="57"/>
      <c r="E613" s="57"/>
      <c r="F613" s="57"/>
      <c r="G613" s="57"/>
      <c r="H613" s="57"/>
      <c r="I613" s="57"/>
      <c r="J613" s="57"/>
      <c r="K613" s="57"/>
      <c r="L613" s="57"/>
      <c r="M613" s="57"/>
      <c r="N613" s="57"/>
      <c r="O613" s="57"/>
      <c r="P613" s="57"/>
      <c r="Q613" s="57"/>
      <c r="R613" s="2222"/>
      <c r="S613" s="255"/>
    </row>
    <row r="614" spans="1:19">
      <c r="A614" s="255"/>
      <c r="B614" s="57"/>
      <c r="C614" s="57"/>
      <c r="D614" s="57"/>
      <c r="E614" s="57"/>
      <c r="F614" s="57"/>
      <c r="G614" s="57"/>
      <c r="H614" s="57"/>
      <c r="I614" s="57"/>
      <c r="J614" s="57"/>
      <c r="K614" s="57"/>
      <c r="L614" s="57"/>
      <c r="M614" s="57"/>
      <c r="N614" s="57"/>
      <c r="O614" s="57"/>
      <c r="P614" s="57"/>
      <c r="Q614" s="57"/>
      <c r="R614" s="2222"/>
      <c r="S614" s="255"/>
    </row>
    <row r="615" spans="1:19">
      <c r="A615" s="255"/>
      <c r="B615" s="57"/>
      <c r="C615" s="57"/>
      <c r="D615" s="57"/>
      <c r="E615" s="57"/>
      <c r="F615" s="57"/>
      <c r="G615" s="57"/>
      <c r="H615" s="57"/>
      <c r="I615" s="57"/>
      <c r="J615" s="57"/>
      <c r="K615" s="57"/>
      <c r="L615" s="57"/>
      <c r="M615" s="57"/>
      <c r="N615" s="57"/>
      <c r="O615" s="57"/>
      <c r="P615" s="57"/>
      <c r="Q615" s="57"/>
      <c r="R615" s="2222"/>
      <c r="S615" s="255"/>
    </row>
    <row r="616" spans="1:19">
      <c r="A616" s="255"/>
      <c r="B616" s="57"/>
      <c r="C616" s="57"/>
      <c r="D616" s="57"/>
      <c r="E616" s="57"/>
      <c r="F616" s="57"/>
      <c r="G616" s="57"/>
      <c r="H616" s="57"/>
      <c r="I616" s="57"/>
      <c r="J616" s="57"/>
      <c r="K616" s="57"/>
      <c r="L616" s="57"/>
      <c r="M616" s="57"/>
      <c r="N616" s="57"/>
      <c r="O616" s="57"/>
      <c r="P616" s="57"/>
      <c r="Q616" s="57"/>
      <c r="R616" s="2222"/>
      <c r="S616" s="255"/>
    </row>
    <row r="617" spans="1:19">
      <c r="A617" s="255"/>
      <c r="B617" s="57"/>
      <c r="C617" s="57"/>
      <c r="D617" s="57"/>
      <c r="E617" s="57"/>
      <c r="F617" s="57"/>
      <c r="G617" s="57"/>
      <c r="H617" s="57"/>
      <c r="I617" s="57"/>
      <c r="J617" s="57"/>
      <c r="K617" s="57"/>
      <c r="L617" s="57"/>
      <c r="M617" s="57"/>
      <c r="N617" s="57"/>
      <c r="O617" s="57"/>
      <c r="P617" s="57"/>
      <c r="Q617" s="57"/>
      <c r="R617" s="2222"/>
      <c r="S617" s="255"/>
    </row>
    <row r="618" spans="1:19">
      <c r="A618" s="255"/>
      <c r="B618" s="57"/>
      <c r="C618" s="57"/>
      <c r="D618" s="57"/>
      <c r="E618" s="57"/>
      <c r="F618" s="57"/>
      <c r="G618" s="57"/>
      <c r="H618" s="57"/>
      <c r="I618" s="57"/>
      <c r="J618" s="57"/>
      <c r="K618" s="57"/>
      <c r="L618" s="57"/>
      <c r="M618" s="57"/>
      <c r="N618" s="57"/>
      <c r="O618" s="57"/>
      <c r="P618" s="57"/>
      <c r="Q618" s="57"/>
      <c r="R618" s="2222"/>
      <c r="S618" s="255"/>
    </row>
    <row r="619" spans="1:19">
      <c r="A619" s="255"/>
      <c r="B619" s="57"/>
      <c r="C619" s="57"/>
      <c r="D619" s="57"/>
      <c r="E619" s="57"/>
      <c r="F619" s="57"/>
      <c r="G619" s="57"/>
      <c r="H619" s="57"/>
      <c r="I619" s="57"/>
      <c r="J619" s="57"/>
      <c r="K619" s="57"/>
      <c r="L619" s="57"/>
      <c r="M619" s="57"/>
      <c r="N619" s="57"/>
      <c r="O619" s="57"/>
      <c r="P619" s="57"/>
      <c r="Q619" s="57"/>
      <c r="R619" s="2222"/>
      <c r="S619" s="255"/>
    </row>
    <row r="620" spans="1:19">
      <c r="A620" s="255"/>
      <c r="B620" s="57"/>
      <c r="C620" s="57"/>
      <c r="D620" s="57"/>
      <c r="E620" s="57"/>
      <c r="F620" s="57"/>
      <c r="G620" s="57"/>
      <c r="H620" s="57"/>
      <c r="I620" s="57"/>
      <c r="J620" s="57"/>
      <c r="K620" s="57"/>
      <c r="L620" s="57"/>
      <c r="M620" s="57"/>
      <c r="N620" s="57"/>
      <c r="O620" s="57"/>
      <c r="P620" s="57"/>
      <c r="Q620" s="57"/>
      <c r="R620" s="2222"/>
      <c r="S620" s="255"/>
    </row>
    <row r="621" spans="1:19">
      <c r="A621" s="255"/>
      <c r="B621" s="57"/>
      <c r="C621" s="57"/>
      <c r="D621" s="57"/>
      <c r="E621" s="57"/>
      <c r="F621" s="57"/>
      <c r="G621" s="57"/>
      <c r="H621" s="57"/>
      <c r="I621" s="57"/>
      <c r="J621" s="57"/>
      <c r="K621" s="57"/>
      <c r="L621" s="57"/>
      <c r="M621" s="57"/>
      <c r="N621" s="57"/>
      <c r="O621" s="57"/>
      <c r="P621" s="57"/>
      <c r="Q621" s="57"/>
      <c r="R621" s="2222"/>
      <c r="S621" s="255"/>
    </row>
    <row r="622" spans="1:19">
      <c r="A622" s="255"/>
      <c r="B622" s="57"/>
      <c r="C622" s="57"/>
      <c r="D622" s="57"/>
      <c r="E622" s="57"/>
      <c r="F622" s="57"/>
      <c r="G622" s="57"/>
      <c r="H622" s="57"/>
      <c r="I622" s="57"/>
      <c r="J622" s="57"/>
      <c r="K622" s="57"/>
      <c r="L622" s="57"/>
      <c r="M622" s="57"/>
      <c r="N622" s="57"/>
      <c r="O622" s="57"/>
      <c r="P622" s="57"/>
      <c r="Q622" s="57"/>
      <c r="R622" s="2222"/>
      <c r="S622" s="255"/>
    </row>
    <row r="623" spans="1:19">
      <c r="A623" s="255"/>
      <c r="B623" s="57"/>
      <c r="C623" s="57"/>
      <c r="D623" s="57"/>
      <c r="E623" s="57"/>
      <c r="F623" s="57"/>
      <c r="G623" s="57"/>
      <c r="H623" s="57"/>
      <c r="I623" s="57"/>
      <c r="J623" s="57"/>
      <c r="K623" s="57"/>
      <c r="L623" s="57"/>
      <c r="M623" s="57"/>
      <c r="N623" s="57"/>
      <c r="O623" s="57"/>
      <c r="P623" s="57"/>
      <c r="Q623" s="57"/>
      <c r="R623" s="2222"/>
      <c r="S623" s="255"/>
    </row>
    <row r="624" spans="1:19">
      <c r="A624" s="255"/>
      <c r="B624" s="57"/>
      <c r="C624" s="57"/>
      <c r="D624" s="57"/>
      <c r="E624" s="57"/>
      <c r="F624" s="57"/>
      <c r="G624" s="57"/>
      <c r="H624" s="57"/>
      <c r="I624" s="57"/>
      <c r="J624" s="57"/>
      <c r="K624" s="57"/>
      <c r="L624" s="57"/>
      <c r="M624" s="57"/>
      <c r="N624" s="57"/>
      <c r="O624" s="57"/>
      <c r="P624" s="57"/>
      <c r="Q624" s="57"/>
      <c r="R624" s="2222"/>
      <c r="S624" s="255"/>
    </row>
    <row r="625" spans="1:19">
      <c r="A625" s="255"/>
      <c r="B625" s="57"/>
      <c r="C625" s="57"/>
      <c r="D625" s="57"/>
      <c r="E625" s="57"/>
      <c r="F625" s="57"/>
      <c r="G625" s="57"/>
      <c r="H625" s="57"/>
      <c r="I625" s="57"/>
      <c r="J625" s="57"/>
      <c r="K625" s="57"/>
      <c r="L625" s="57"/>
      <c r="M625" s="57"/>
      <c r="N625" s="57"/>
      <c r="O625" s="57"/>
      <c r="P625" s="57"/>
      <c r="Q625" s="57"/>
      <c r="R625" s="2222"/>
      <c r="S625" s="255"/>
    </row>
    <row r="626" spans="1:19">
      <c r="A626" s="255"/>
      <c r="B626" s="57"/>
      <c r="C626" s="57"/>
      <c r="D626" s="57"/>
      <c r="E626" s="57"/>
      <c r="F626" s="57"/>
      <c r="G626" s="57"/>
      <c r="H626" s="57"/>
      <c r="I626" s="57"/>
      <c r="J626" s="57"/>
      <c r="K626" s="57"/>
      <c r="L626" s="57"/>
      <c r="M626" s="57"/>
      <c r="N626" s="57"/>
      <c r="O626" s="57"/>
      <c r="P626" s="57"/>
      <c r="Q626" s="57"/>
      <c r="R626" s="2222"/>
      <c r="S626" s="255"/>
    </row>
    <row r="627" spans="1:19">
      <c r="A627" s="255"/>
      <c r="B627" s="57"/>
      <c r="C627" s="57"/>
      <c r="D627" s="57"/>
      <c r="E627" s="57"/>
      <c r="F627" s="57"/>
      <c r="G627" s="57"/>
      <c r="H627" s="57"/>
      <c r="I627" s="57"/>
      <c r="J627" s="57"/>
      <c r="K627" s="57"/>
      <c r="L627" s="57"/>
      <c r="M627" s="57"/>
      <c r="N627" s="57"/>
      <c r="O627" s="57"/>
      <c r="P627" s="57"/>
      <c r="Q627" s="57"/>
      <c r="R627" s="2222"/>
      <c r="S627" s="255"/>
    </row>
    <row r="628" spans="1:19">
      <c r="A628" s="255"/>
      <c r="B628" s="57"/>
      <c r="C628" s="57"/>
      <c r="D628" s="57"/>
      <c r="E628" s="57"/>
      <c r="F628" s="57"/>
      <c r="G628" s="57"/>
      <c r="H628" s="57"/>
      <c r="I628" s="57"/>
      <c r="J628" s="57"/>
      <c r="K628" s="57"/>
      <c r="L628" s="57"/>
      <c r="M628" s="57"/>
      <c r="N628" s="57"/>
      <c r="O628" s="57"/>
      <c r="P628" s="57"/>
      <c r="Q628" s="57"/>
      <c r="R628" s="2222"/>
      <c r="S628" s="255"/>
    </row>
    <row r="629" spans="1:19">
      <c r="A629" s="255"/>
      <c r="B629" s="57"/>
      <c r="C629" s="57"/>
      <c r="D629" s="57"/>
      <c r="E629" s="57"/>
      <c r="F629" s="57"/>
      <c r="G629" s="57"/>
      <c r="H629" s="57"/>
      <c r="I629" s="57"/>
      <c r="J629" s="57"/>
      <c r="K629" s="57"/>
      <c r="L629" s="57"/>
      <c r="M629" s="57"/>
      <c r="N629" s="57"/>
      <c r="O629" s="57"/>
      <c r="P629" s="57"/>
      <c r="Q629" s="57"/>
      <c r="R629" s="2222"/>
      <c r="S629" s="255"/>
    </row>
    <row r="630" spans="1:19">
      <c r="A630" s="255"/>
      <c r="B630" s="57"/>
      <c r="C630" s="57"/>
      <c r="D630" s="57"/>
      <c r="E630" s="57"/>
      <c r="F630" s="57"/>
      <c r="G630" s="57"/>
      <c r="H630" s="57"/>
      <c r="I630" s="57"/>
      <c r="J630" s="57"/>
      <c r="K630" s="57"/>
      <c r="L630" s="57"/>
      <c r="M630" s="57"/>
      <c r="N630" s="57"/>
      <c r="O630" s="57"/>
      <c r="P630" s="57"/>
      <c r="Q630" s="57"/>
      <c r="R630" s="2222"/>
      <c r="S630" s="255"/>
    </row>
    <row r="631" spans="1:19">
      <c r="A631" s="255"/>
      <c r="B631" s="57"/>
      <c r="C631" s="57"/>
      <c r="D631" s="57"/>
      <c r="E631" s="57"/>
      <c r="F631" s="57"/>
      <c r="G631" s="57"/>
      <c r="H631" s="57"/>
      <c r="I631" s="57"/>
      <c r="J631" s="57"/>
      <c r="K631" s="57"/>
      <c r="L631" s="57"/>
      <c r="M631" s="57"/>
      <c r="N631" s="57"/>
      <c r="O631" s="57"/>
      <c r="P631" s="57"/>
      <c r="Q631" s="57"/>
      <c r="R631" s="2222"/>
      <c r="S631" s="255"/>
    </row>
    <row r="632" spans="1:19">
      <c r="A632" s="255"/>
      <c r="B632" s="57"/>
      <c r="C632" s="57"/>
      <c r="D632" s="57"/>
      <c r="E632" s="57"/>
      <c r="F632" s="57"/>
      <c r="G632" s="57"/>
      <c r="H632" s="57"/>
      <c r="I632" s="57"/>
      <c r="J632" s="57"/>
      <c r="K632" s="57"/>
      <c r="L632" s="57"/>
      <c r="M632" s="57"/>
      <c r="N632" s="57"/>
      <c r="O632" s="57"/>
      <c r="P632" s="57"/>
      <c r="Q632" s="57"/>
      <c r="R632" s="2222"/>
      <c r="S632" s="255"/>
    </row>
    <row r="633" spans="1:19">
      <c r="A633" s="255"/>
      <c r="B633" s="57"/>
      <c r="C633" s="57"/>
      <c r="D633" s="57"/>
      <c r="E633" s="57"/>
      <c r="F633" s="57"/>
      <c r="G633" s="57"/>
      <c r="H633" s="57"/>
      <c r="I633" s="57"/>
      <c r="J633" s="57"/>
      <c r="K633" s="57"/>
      <c r="L633" s="57"/>
      <c r="M633" s="57"/>
      <c r="N633" s="57"/>
      <c r="O633" s="57"/>
      <c r="P633" s="57"/>
      <c r="Q633" s="57"/>
      <c r="R633" s="2222"/>
      <c r="S633" s="255"/>
    </row>
    <row r="634" spans="1:19">
      <c r="A634" s="255"/>
      <c r="B634" s="57"/>
      <c r="C634" s="57"/>
      <c r="D634" s="57"/>
      <c r="E634" s="57"/>
      <c r="F634" s="57"/>
      <c r="G634" s="57"/>
      <c r="H634" s="57"/>
      <c r="I634" s="57"/>
      <c r="J634" s="57"/>
      <c r="K634" s="57"/>
      <c r="L634" s="57"/>
      <c r="M634" s="57"/>
      <c r="N634" s="57"/>
      <c r="O634" s="57"/>
      <c r="P634" s="57"/>
      <c r="Q634" s="57"/>
      <c r="R634" s="2222"/>
      <c r="S634" s="255"/>
    </row>
    <row r="635" spans="1:19">
      <c r="A635" s="255"/>
      <c r="B635" s="57"/>
      <c r="C635" s="57"/>
      <c r="D635" s="57"/>
      <c r="E635" s="57"/>
      <c r="F635" s="57"/>
      <c r="G635" s="57"/>
      <c r="H635" s="57"/>
      <c r="I635" s="57"/>
      <c r="J635" s="57"/>
      <c r="K635" s="57"/>
      <c r="L635" s="57"/>
      <c r="M635" s="57"/>
      <c r="N635" s="57"/>
      <c r="O635" s="57"/>
      <c r="P635" s="57"/>
      <c r="Q635" s="57"/>
      <c r="R635" s="2222"/>
      <c r="S635" s="255"/>
    </row>
    <row r="636" spans="1:19">
      <c r="A636" s="255"/>
      <c r="B636" s="57"/>
      <c r="C636" s="57"/>
      <c r="D636" s="57"/>
      <c r="E636" s="57"/>
      <c r="F636" s="57"/>
      <c r="G636" s="57"/>
      <c r="H636" s="57"/>
      <c r="I636" s="57"/>
      <c r="J636" s="57"/>
      <c r="K636" s="57"/>
      <c r="L636" s="57"/>
      <c r="M636" s="57"/>
      <c r="N636" s="57"/>
      <c r="O636" s="57"/>
      <c r="P636" s="57"/>
      <c r="Q636" s="57"/>
      <c r="R636" s="2222"/>
      <c r="S636" s="255"/>
    </row>
    <row r="637" spans="1:19">
      <c r="A637" s="255"/>
      <c r="B637" s="57"/>
      <c r="C637" s="57"/>
      <c r="D637" s="57"/>
      <c r="E637" s="57"/>
      <c r="F637" s="57"/>
      <c r="G637" s="57"/>
      <c r="H637" s="57"/>
      <c r="I637" s="57"/>
      <c r="J637" s="57"/>
      <c r="K637" s="57"/>
      <c r="L637" s="57"/>
      <c r="M637" s="57"/>
      <c r="N637" s="57"/>
      <c r="O637" s="57"/>
      <c r="P637" s="57"/>
      <c r="Q637" s="57"/>
      <c r="R637" s="2222"/>
      <c r="S637" s="255"/>
    </row>
    <row r="638" spans="1:19">
      <c r="A638" s="255"/>
      <c r="B638" s="57"/>
      <c r="C638" s="57"/>
      <c r="D638" s="57"/>
      <c r="E638" s="57"/>
      <c r="F638" s="57"/>
      <c r="G638" s="57"/>
      <c r="H638" s="57"/>
      <c r="I638" s="57"/>
      <c r="J638" s="57"/>
      <c r="K638" s="57"/>
      <c r="L638" s="57"/>
      <c r="M638" s="57"/>
      <c r="N638" s="57"/>
      <c r="O638" s="57"/>
      <c r="P638" s="57"/>
      <c r="Q638" s="57"/>
      <c r="R638" s="2222"/>
      <c r="S638" s="255"/>
    </row>
    <row r="639" spans="1:19">
      <c r="A639" s="255"/>
      <c r="B639" s="57"/>
      <c r="C639" s="57"/>
      <c r="D639" s="57"/>
      <c r="E639" s="57"/>
      <c r="F639" s="57"/>
      <c r="G639" s="57"/>
      <c r="H639" s="57"/>
      <c r="I639" s="57"/>
      <c r="J639" s="57"/>
      <c r="K639" s="57"/>
      <c r="L639" s="57"/>
      <c r="M639" s="57"/>
      <c r="N639" s="57"/>
      <c r="O639" s="57"/>
      <c r="P639" s="57"/>
      <c r="Q639" s="57"/>
      <c r="R639" s="2222"/>
      <c r="S639" s="255"/>
    </row>
    <row r="640" spans="1:19">
      <c r="A640" s="255"/>
      <c r="B640" s="57"/>
      <c r="C640" s="57"/>
      <c r="D640" s="57"/>
      <c r="E640" s="57"/>
      <c r="F640" s="57"/>
      <c r="G640" s="57"/>
      <c r="H640" s="57"/>
      <c r="I640" s="57"/>
      <c r="J640" s="57"/>
      <c r="K640" s="57"/>
      <c r="L640" s="57"/>
      <c r="M640" s="57"/>
      <c r="N640" s="57"/>
      <c r="O640" s="57"/>
      <c r="P640" s="57"/>
      <c r="Q640" s="57"/>
      <c r="R640" s="2222"/>
      <c r="S640" s="255"/>
    </row>
    <row r="641" spans="1:19">
      <c r="A641" s="255"/>
      <c r="B641" s="57"/>
      <c r="C641" s="57"/>
      <c r="D641" s="57"/>
      <c r="E641" s="57"/>
      <c r="F641" s="57"/>
      <c r="G641" s="57"/>
      <c r="H641" s="57"/>
      <c r="I641" s="57"/>
      <c r="J641" s="57"/>
      <c r="K641" s="57"/>
      <c r="L641" s="57"/>
      <c r="M641" s="57"/>
      <c r="N641" s="57"/>
      <c r="O641" s="57"/>
      <c r="P641" s="57"/>
      <c r="Q641" s="57"/>
      <c r="R641" s="2222"/>
      <c r="S641" s="255"/>
    </row>
    <row r="642" spans="1:19">
      <c r="A642" s="255"/>
      <c r="B642" s="57"/>
      <c r="C642" s="57"/>
      <c r="D642" s="57"/>
      <c r="E642" s="57"/>
      <c r="F642" s="57"/>
      <c r="G642" s="57"/>
      <c r="H642" s="57"/>
      <c r="I642" s="57"/>
      <c r="J642" s="57"/>
      <c r="K642" s="57"/>
      <c r="L642" s="57"/>
      <c r="M642" s="57"/>
      <c r="N642" s="57"/>
      <c r="O642" s="57"/>
      <c r="P642" s="57"/>
      <c r="Q642" s="57"/>
      <c r="R642" s="2222"/>
      <c r="S642" s="255"/>
    </row>
    <row r="643" spans="1:19">
      <c r="A643" s="255"/>
      <c r="B643" s="57"/>
      <c r="C643" s="57"/>
      <c r="D643" s="57"/>
      <c r="E643" s="57"/>
      <c r="F643" s="57"/>
      <c r="G643" s="57"/>
      <c r="H643" s="57"/>
      <c r="I643" s="57"/>
      <c r="J643" s="57"/>
      <c r="K643" s="57"/>
      <c r="L643" s="57"/>
      <c r="M643" s="57"/>
      <c r="N643" s="57"/>
      <c r="O643" s="57"/>
      <c r="P643" s="57"/>
      <c r="Q643" s="57"/>
      <c r="R643" s="2222"/>
      <c r="S643" s="255"/>
    </row>
    <row r="644" spans="1:19">
      <c r="A644" s="255"/>
      <c r="B644" s="57"/>
      <c r="C644" s="57"/>
      <c r="D644" s="57"/>
      <c r="E644" s="57"/>
      <c r="F644" s="57"/>
      <c r="G644" s="57"/>
      <c r="H644" s="57"/>
      <c r="I644" s="57"/>
      <c r="J644" s="57"/>
      <c r="K644" s="57"/>
      <c r="L644" s="57"/>
      <c r="M644" s="57"/>
      <c r="N644" s="57"/>
      <c r="O644" s="57"/>
      <c r="P644" s="57"/>
      <c r="Q644" s="57"/>
      <c r="R644" s="2222"/>
      <c r="S644" s="255"/>
    </row>
    <row r="645" spans="1:19">
      <c r="A645" s="255"/>
      <c r="B645" s="57"/>
      <c r="C645" s="57"/>
      <c r="D645" s="57"/>
      <c r="E645" s="57"/>
      <c r="F645" s="57"/>
      <c r="G645" s="57"/>
      <c r="H645" s="57"/>
      <c r="I645" s="57"/>
      <c r="J645" s="57"/>
      <c r="K645" s="57"/>
      <c r="L645" s="57"/>
      <c r="M645" s="57"/>
      <c r="N645" s="57"/>
      <c r="O645" s="57"/>
      <c r="P645" s="57"/>
      <c r="Q645" s="57"/>
      <c r="R645" s="2222"/>
      <c r="S645" s="255"/>
    </row>
    <row r="646" spans="1:19">
      <c r="A646" s="255"/>
      <c r="B646" s="57"/>
      <c r="C646" s="57"/>
      <c r="D646" s="57"/>
      <c r="E646" s="57"/>
      <c r="F646" s="57"/>
      <c r="G646" s="57"/>
      <c r="H646" s="57"/>
      <c r="I646" s="57"/>
      <c r="J646" s="57"/>
      <c r="K646" s="57"/>
      <c r="L646" s="57"/>
      <c r="M646" s="57"/>
      <c r="N646" s="57"/>
      <c r="O646" s="57"/>
      <c r="P646" s="57"/>
      <c r="Q646" s="57"/>
      <c r="R646" s="2222"/>
      <c r="S646" s="255"/>
    </row>
    <row r="647" spans="1:19">
      <c r="A647" s="255"/>
      <c r="B647" s="57"/>
      <c r="C647" s="57"/>
      <c r="D647" s="57"/>
      <c r="E647" s="57"/>
      <c r="F647" s="57"/>
      <c r="G647" s="57"/>
      <c r="H647" s="57"/>
      <c r="I647" s="57"/>
      <c r="J647" s="57"/>
      <c r="K647" s="57"/>
      <c r="L647" s="57"/>
      <c r="M647" s="57"/>
      <c r="N647" s="57"/>
      <c r="O647" s="57"/>
      <c r="P647" s="57"/>
      <c r="Q647" s="57"/>
      <c r="R647" s="2222"/>
      <c r="S647" s="255"/>
    </row>
    <row r="648" spans="1:19">
      <c r="A648" s="255"/>
      <c r="B648" s="57"/>
      <c r="C648" s="57"/>
      <c r="D648" s="57"/>
      <c r="E648" s="57"/>
      <c r="F648" s="57"/>
      <c r="G648" s="57"/>
      <c r="H648" s="57"/>
      <c r="I648" s="57"/>
      <c r="J648" s="57"/>
      <c r="K648" s="57"/>
      <c r="L648" s="57"/>
      <c r="M648" s="57"/>
      <c r="N648" s="57"/>
      <c r="O648" s="57"/>
      <c r="P648" s="57"/>
      <c r="Q648" s="57"/>
      <c r="R648" s="2222"/>
      <c r="S648" s="255"/>
    </row>
    <row r="649" spans="1:19">
      <c r="A649" s="255"/>
      <c r="B649" s="57"/>
      <c r="C649" s="57"/>
      <c r="D649" s="57"/>
      <c r="E649" s="57"/>
      <c r="F649" s="57"/>
      <c r="G649" s="57"/>
      <c r="H649" s="57"/>
      <c r="I649" s="57"/>
      <c r="J649" s="57"/>
      <c r="K649" s="57"/>
      <c r="L649" s="57"/>
      <c r="M649" s="57"/>
      <c r="N649" s="57"/>
      <c r="O649" s="57"/>
      <c r="P649" s="57"/>
      <c r="Q649" s="57"/>
      <c r="R649" s="2222"/>
      <c r="S649" s="255"/>
    </row>
    <row r="650" spans="1:19">
      <c r="A650" s="255"/>
      <c r="B650" s="57"/>
      <c r="C650" s="57"/>
      <c r="D650" s="57"/>
      <c r="E650" s="57"/>
      <c r="F650" s="57"/>
      <c r="G650" s="57"/>
      <c r="H650" s="57"/>
      <c r="I650" s="57"/>
      <c r="J650" s="57"/>
      <c r="K650" s="57"/>
      <c r="L650" s="57"/>
      <c r="M650" s="57"/>
      <c r="N650" s="57"/>
      <c r="O650" s="57"/>
      <c r="P650" s="57"/>
      <c r="Q650" s="57"/>
      <c r="R650" s="2222"/>
      <c r="S650" s="255"/>
    </row>
    <row r="651" spans="1:19">
      <c r="A651" s="255"/>
      <c r="B651" s="57"/>
      <c r="C651" s="57"/>
      <c r="D651" s="57"/>
      <c r="E651" s="57"/>
      <c r="F651" s="57"/>
      <c r="G651" s="57"/>
      <c r="H651" s="57"/>
      <c r="I651" s="57"/>
      <c r="J651" s="57"/>
      <c r="K651" s="57"/>
      <c r="L651" s="57"/>
      <c r="M651" s="57"/>
      <c r="N651" s="57"/>
      <c r="O651" s="57"/>
      <c r="P651" s="57"/>
      <c r="Q651" s="57"/>
      <c r="R651" s="2222"/>
      <c r="S651" s="255"/>
    </row>
    <row r="652" spans="1:19">
      <c r="A652" s="255"/>
      <c r="B652" s="57"/>
      <c r="C652" s="57"/>
      <c r="D652" s="57"/>
      <c r="E652" s="57"/>
      <c r="F652" s="57"/>
      <c r="G652" s="57"/>
      <c r="H652" s="57"/>
      <c r="I652" s="57"/>
      <c r="J652" s="57"/>
      <c r="K652" s="57"/>
      <c r="L652" s="57"/>
      <c r="M652" s="57"/>
      <c r="N652" s="57"/>
      <c r="O652" s="57"/>
      <c r="P652" s="57"/>
      <c r="Q652" s="57"/>
      <c r="R652" s="2222"/>
      <c r="S652" s="255"/>
    </row>
    <row r="653" spans="1:19">
      <c r="A653" s="255"/>
      <c r="B653" s="57"/>
      <c r="C653" s="57"/>
      <c r="D653" s="57"/>
      <c r="E653" s="57"/>
      <c r="F653" s="57"/>
      <c r="G653" s="57"/>
      <c r="H653" s="57"/>
      <c r="I653" s="57"/>
      <c r="J653" s="57"/>
      <c r="K653" s="57"/>
      <c r="L653" s="57"/>
      <c r="M653" s="57"/>
      <c r="N653" s="57"/>
      <c r="O653" s="57"/>
      <c r="P653" s="57"/>
      <c r="Q653" s="57"/>
      <c r="R653" s="2222"/>
      <c r="S653" s="255"/>
    </row>
    <row r="654" spans="1:19">
      <c r="A654" s="255"/>
      <c r="B654" s="57"/>
      <c r="C654" s="57"/>
      <c r="D654" s="57"/>
      <c r="E654" s="57"/>
      <c r="F654" s="57"/>
      <c r="G654" s="57"/>
      <c r="H654" s="57"/>
      <c r="I654" s="57"/>
      <c r="J654" s="57"/>
      <c r="K654" s="57"/>
      <c r="L654" s="57"/>
      <c r="M654" s="57"/>
      <c r="N654" s="57"/>
      <c r="O654" s="57"/>
      <c r="P654" s="57"/>
      <c r="Q654" s="57"/>
      <c r="R654" s="2222"/>
      <c r="S654" s="255"/>
    </row>
    <row r="655" spans="1:19">
      <c r="A655" s="255"/>
      <c r="B655" s="57"/>
      <c r="C655" s="57"/>
      <c r="D655" s="57"/>
      <c r="E655" s="57"/>
      <c r="F655" s="57"/>
      <c r="G655" s="57"/>
      <c r="H655" s="57"/>
      <c r="I655" s="57"/>
      <c r="J655" s="57"/>
      <c r="K655" s="57"/>
      <c r="L655" s="57"/>
      <c r="M655" s="57"/>
      <c r="N655" s="57"/>
      <c r="O655" s="57"/>
      <c r="P655" s="57"/>
      <c r="Q655" s="57"/>
      <c r="R655" s="2222"/>
      <c r="S655" s="255"/>
    </row>
    <row r="656" spans="1:19">
      <c r="A656" s="255"/>
      <c r="B656" s="57"/>
      <c r="C656" s="57"/>
      <c r="D656" s="57"/>
      <c r="E656" s="57"/>
      <c r="F656" s="57"/>
      <c r="G656" s="57"/>
      <c r="H656" s="57"/>
      <c r="I656" s="57"/>
      <c r="J656" s="57"/>
      <c r="K656" s="57"/>
      <c r="L656" s="57"/>
      <c r="M656" s="57"/>
      <c r="N656" s="57"/>
      <c r="O656" s="57"/>
      <c r="P656" s="57"/>
      <c r="Q656" s="57"/>
      <c r="R656" s="2222"/>
      <c r="S656" s="255"/>
    </row>
    <row r="657" spans="1:19">
      <c r="A657" s="255"/>
      <c r="B657" s="57"/>
      <c r="C657" s="57"/>
      <c r="D657" s="57"/>
      <c r="E657" s="57"/>
      <c r="F657" s="57"/>
      <c r="G657" s="57"/>
      <c r="H657" s="57"/>
      <c r="I657" s="57"/>
      <c r="J657" s="57"/>
      <c r="K657" s="57"/>
      <c r="L657" s="57"/>
      <c r="M657" s="57"/>
      <c r="N657" s="57"/>
      <c r="O657" s="57"/>
      <c r="P657" s="57"/>
      <c r="Q657" s="57"/>
      <c r="R657" s="2222"/>
      <c r="S657" s="255"/>
    </row>
    <row r="658" spans="1:19">
      <c r="A658" s="255"/>
      <c r="B658" s="57"/>
      <c r="C658" s="57"/>
      <c r="D658" s="57"/>
      <c r="E658" s="57"/>
      <c r="F658" s="57"/>
      <c r="G658" s="57"/>
      <c r="H658" s="57"/>
      <c r="I658" s="57"/>
      <c r="J658" s="57"/>
      <c r="K658" s="57"/>
      <c r="L658" s="57"/>
      <c r="M658" s="57"/>
      <c r="N658" s="57"/>
      <c r="O658" s="57"/>
      <c r="P658" s="57"/>
      <c r="Q658" s="57"/>
      <c r="R658" s="2222"/>
      <c r="S658" s="255"/>
    </row>
    <row r="659" spans="1:19">
      <c r="A659" s="255"/>
      <c r="B659" s="57"/>
      <c r="C659" s="57"/>
      <c r="D659" s="57"/>
      <c r="E659" s="57"/>
      <c r="F659" s="57"/>
      <c r="G659" s="57"/>
      <c r="H659" s="57"/>
      <c r="I659" s="57"/>
      <c r="J659" s="57"/>
      <c r="K659" s="57"/>
      <c r="L659" s="57"/>
      <c r="M659" s="57"/>
      <c r="N659" s="57"/>
      <c r="O659" s="57"/>
      <c r="P659" s="57"/>
      <c r="Q659" s="57"/>
      <c r="R659" s="2222"/>
      <c r="S659" s="255"/>
    </row>
    <row r="660" spans="1:19">
      <c r="A660" s="255"/>
      <c r="B660" s="57"/>
      <c r="C660" s="57"/>
      <c r="D660" s="57"/>
      <c r="E660" s="57"/>
      <c r="F660" s="57"/>
      <c r="G660" s="57"/>
      <c r="H660" s="57"/>
      <c r="I660" s="57"/>
      <c r="J660" s="57"/>
      <c r="K660" s="57"/>
      <c r="L660" s="57"/>
      <c r="M660" s="57"/>
      <c r="N660" s="57"/>
      <c r="O660" s="57"/>
      <c r="P660" s="57"/>
      <c r="Q660" s="57"/>
      <c r="R660" s="2222"/>
      <c r="S660" s="255"/>
    </row>
    <row r="661" spans="1:19">
      <c r="A661" s="255"/>
      <c r="B661" s="57"/>
      <c r="C661" s="57"/>
      <c r="D661" s="57"/>
      <c r="E661" s="57"/>
      <c r="F661" s="57"/>
      <c r="G661" s="57"/>
      <c r="H661" s="57"/>
      <c r="I661" s="57"/>
      <c r="J661" s="57"/>
      <c r="K661" s="57"/>
      <c r="L661" s="57"/>
      <c r="M661" s="57"/>
      <c r="N661" s="57"/>
      <c r="O661" s="57"/>
      <c r="P661" s="57"/>
      <c r="Q661" s="57"/>
      <c r="R661" s="2222"/>
      <c r="S661" s="255"/>
    </row>
    <row r="662" spans="1:19">
      <c r="A662" s="255"/>
      <c r="B662" s="57"/>
      <c r="C662" s="57"/>
      <c r="D662" s="57"/>
      <c r="E662" s="57"/>
      <c r="F662" s="57"/>
      <c r="G662" s="57"/>
      <c r="H662" s="57"/>
      <c r="I662" s="57"/>
      <c r="J662" s="57"/>
      <c r="K662" s="57"/>
      <c r="L662" s="57"/>
      <c r="M662" s="57"/>
      <c r="N662" s="57"/>
      <c r="O662" s="57"/>
      <c r="P662" s="57"/>
      <c r="Q662" s="57"/>
      <c r="R662" s="2222"/>
      <c r="S662" s="255"/>
    </row>
    <row r="663" spans="1:19">
      <c r="A663" s="255"/>
      <c r="B663" s="57"/>
      <c r="C663" s="57"/>
      <c r="D663" s="57"/>
      <c r="E663" s="57"/>
      <c r="F663" s="57"/>
      <c r="G663" s="57"/>
      <c r="H663" s="57"/>
      <c r="I663" s="57"/>
      <c r="J663" s="57"/>
      <c r="K663" s="57"/>
      <c r="L663" s="57"/>
      <c r="M663" s="57"/>
      <c r="N663" s="57"/>
      <c r="O663" s="57"/>
      <c r="P663" s="57"/>
      <c r="Q663" s="57"/>
      <c r="R663" s="2222"/>
      <c r="S663" s="255"/>
    </row>
    <row r="664" spans="1:19">
      <c r="A664" s="255"/>
      <c r="B664" s="57"/>
      <c r="C664" s="57"/>
      <c r="D664" s="57"/>
      <c r="E664" s="57"/>
      <c r="F664" s="57"/>
      <c r="G664" s="57"/>
      <c r="H664" s="57"/>
      <c r="I664" s="57"/>
      <c r="J664" s="57"/>
      <c r="K664" s="57"/>
      <c r="L664" s="57"/>
      <c r="M664" s="57"/>
      <c r="N664" s="57"/>
      <c r="O664" s="57"/>
      <c r="P664" s="57"/>
      <c r="Q664" s="57"/>
      <c r="R664" s="2222"/>
      <c r="S664" s="255"/>
    </row>
    <row r="665" spans="1:19">
      <c r="A665" s="255"/>
      <c r="B665" s="57"/>
      <c r="C665" s="57"/>
      <c r="D665" s="57"/>
      <c r="E665" s="57"/>
      <c r="F665" s="57"/>
      <c r="G665" s="57"/>
      <c r="H665" s="57"/>
      <c r="I665" s="57"/>
      <c r="J665" s="57"/>
      <c r="K665" s="57"/>
      <c r="L665" s="57"/>
      <c r="M665" s="57"/>
      <c r="N665" s="57"/>
      <c r="O665" s="57"/>
      <c r="P665" s="57"/>
      <c r="Q665" s="57"/>
      <c r="R665" s="2222"/>
      <c r="S665" s="255"/>
    </row>
    <row r="666" spans="1:19">
      <c r="A666" s="255"/>
      <c r="B666" s="57"/>
      <c r="C666" s="57"/>
      <c r="D666" s="57"/>
      <c r="E666" s="57"/>
      <c r="F666" s="57"/>
      <c r="G666" s="57"/>
      <c r="H666" s="57"/>
      <c r="I666" s="57"/>
      <c r="J666" s="57"/>
      <c r="K666" s="57"/>
      <c r="L666" s="57"/>
      <c r="M666" s="57"/>
      <c r="N666" s="57"/>
      <c r="O666" s="57"/>
      <c r="P666" s="57"/>
      <c r="Q666" s="57"/>
      <c r="R666" s="2222"/>
      <c r="S666" s="255"/>
    </row>
    <row r="667" spans="1:19">
      <c r="A667" s="255"/>
      <c r="B667" s="57"/>
      <c r="C667" s="57"/>
      <c r="D667" s="57"/>
      <c r="E667" s="57"/>
      <c r="F667" s="57"/>
      <c r="G667" s="57"/>
      <c r="H667" s="57"/>
      <c r="I667" s="57"/>
      <c r="J667" s="57"/>
      <c r="K667" s="57"/>
      <c r="L667" s="57"/>
      <c r="M667" s="57"/>
      <c r="N667" s="57"/>
      <c r="O667" s="57"/>
      <c r="P667" s="57"/>
      <c r="Q667" s="57"/>
      <c r="R667" s="2222"/>
      <c r="S667" s="255"/>
    </row>
    <row r="668" spans="1:19">
      <c r="A668" s="255"/>
      <c r="B668" s="57"/>
      <c r="C668" s="57"/>
      <c r="D668" s="57"/>
      <c r="E668" s="57"/>
      <c r="F668" s="57"/>
      <c r="G668" s="57"/>
      <c r="H668" s="57"/>
      <c r="I668" s="57"/>
      <c r="J668" s="57"/>
      <c r="K668" s="57"/>
      <c r="L668" s="57"/>
      <c r="M668" s="57"/>
      <c r="N668" s="57"/>
      <c r="O668" s="57"/>
      <c r="P668" s="57"/>
      <c r="Q668" s="57"/>
      <c r="R668" s="2222"/>
      <c r="S668" s="255"/>
    </row>
    <row r="669" spans="1:19">
      <c r="A669" s="255"/>
      <c r="B669" s="57"/>
      <c r="C669" s="57"/>
      <c r="D669" s="57"/>
      <c r="E669" s="57"/>
      <c r="F669" s="57"/>
      <c r="G669" s="57"/>
      <c r="H669" s="57"/>
      <c r="I669" s="57"/>
      <c r="J669" s="57"/>
      <c r="K669" s="57"/>
      <c r="L669" s="57"/>
      <c r="M669" s="57"/>
      <c r="N669" s="57"/>
      <c r="O669" s="57"/>
      <c r="P669" s="57"/>
      <c r="Q669" s="57"/>
      <c r="R669" s="2222"/>
      <c r="S669" s="255"/>
    </row>
    <row r="670" spans="1:19">
      <c r="A670" s="255"/>
      <c r="B670" s="57"/>
      <c r="C670" s="57"/>
      <c r="D670" s="57"/>
      <c r="E670" s="57"/>
      <c r="F670" s="57"/>
      <c r="G670" s="57"/>
      <c r="H670" s="57"/>
      <c r="I670" s="57"/>
      <c r="J670" s="57"/>
      <c r="K670" s="57"/>
      <c r="L670" s="57"/>
      <c r="M670" s="57"/>
      <c r="N670" s="57"/>
      <c r="O670" s="57"/>
      <c r="P670" s="57"/>
      <c r="Q670" s="57"/>
      <c r="R670" s="2222"/>
      <c r="S670" s="255"/>
    </row>
    <row r="671" spans="1:19">
      <c r="A671" s="255"/>
      <c r="B671" s="57"/>
      <c r="C671" s="57"/>
      <c r="D671" s="57"/>
      <c r="E671" s="57"/>
      <c r="F671" s="57"/>
      <c r="G671" s="57"/>
      <c r="H671" s="57"/>
      <c r="I671" s="57"/>
      <c r="J671" s="57"/>
      <c r="K671" s="57"/>
      <c r="L671" s="57"/>
      <c r="M671" s="57"/>
      <c r="N671" s="57"/>
      <c r="O671" s="57"/>
      <c r="P671" s="57"/>
      <c r="Q671" s="57"/>
      <c r="R671" s="2222"/>
      <c r="S671" s="255"/>
    </row>
    <row r="672" spans="1:19">
      <c r="A672" s="255"/>
      <c r="B672" s="57"/>
      <c r="C672" s="57"/>
      <c r="D672" s="57"/>
      <c r="E672" s="57"/>
      <c r="F672" s="57"/>
      <c r="G672" s="57"/>
      <c r="H672" s="57"/>
      <c r="I672" s="57"/>
      <c r="J672" s="57"/>
      <c r="K672" s="57"/>
      <c r="L672" s="57"/>
      <c r="M672" s="57"/>
      <c r="N672" s="57"/>
      <c r="O672" s="57"/>
      <c r="P672" s="57"/>
      <c r="Q672" s="57"/>
      <c r="R672" s="2222"/>
      <c r="S672" s="255"/>
    </row>
    <row r="673" spans="1:19">
      <c r="A673" s="255"/>
      <c r="B673" s="57"/>
      <c r="C673" s="57"/>
      <c r="D673" s="57"/>
      <c r="E673" s="57"/>
      <c r="F673" s="57"/>
      <c r="G673" s="57"/>
      <c r="H673" s="57"/>
      <c r="I673" s="57"/>
      <c r="J673" s="57"/>
      <c r="K673" s="57"/>
      <c r="L673" s="57"/>
      <c r="M673" s="57"/>
      <c r="N673" s="57"/>
      <c r="O673" s="57"/>
      <c r="P673" s="57"/>
      <c r="Q673" s="57"/>
      <c r="R673" s="2222"/>
      <c r="S673" s="255"/>
    </row>
    <row r="674" spans="1:19">
      <c r="A674" s="255"/>
      <c r="B674" s="57"/>
      <c r="C674" s="57"/>
      <c r="D674" s="57"/>
      <c r="E674" s="57"/>
      <c r="F674" s="57"/>
      <c r="G674" s="57"/>
      <c r="H674" s="57"/>
      <c r="I674" s="57"/>
      <c r="J674" s="57"/>
      <c r="K674" s="57"/>
      <c r="L674" s="57"/>
      <c r="M674" s="57"/>
      <c r="N674" s="57"/>
      <c r="O674" s="57"/>
      <c r="P674" s="57"/>
      <c r="Q674" s="57"/>
      <c r="R674" s="2222"/>
      <c r="S674" s="255"/>
    </row>
    <row r="675" spans="1:19">
      <c r="A675" s="255"/>
      <c r="B675" s="57"/>
      <c r="C675" s="57"/>
      <c r="D675" s="57"/>
      <c r="E675" s="57"/>
      <c r="F675" s="57"/>
      <c r="G675" s="57"/>
      <c r="H675" s="57"/>
      <c r="I675" s="57"/>
      <c r="J675" s="57"/>
      <c r="K675" s="57"/>
      <c r="L675" s="57"/>
      <c r="M675" s="57"/>
      <c r="N675" s="57"/>
      <c r="O675" s="57"/>
      <c r="P675" s="57"/>
      <c r="Q675" s="57"/>
      <c r="R675" s="2222"/>
      <c r="S675" s="255"/>
    </row>
    <row r="676" spans="1:19">
      <c r="A676" s="255"/>
      <c r="B676" s="57"/>
      <c r="C676" s="57"/>
      <c r="D676" s="57"/>
      <c r="E676" s="57"/>
      <c r="F676" s="57"/>
      <c r="G676" s="57"/>
      <c r="H676" s="57"/>
      <c r="I676" s="57"/>
      <c r="J676" s="57"/>
      <c r="K676" s="57"/>
      <c r="L676" s="57"/>
      <c r="M676" s="57"/>
      <c r="N676" s="57"/>
      <c r="O676" s="57"/>
      <c r="P676" s="57"/>
      <c r="Q676" s="57"/>
      <c r="R676" s="2222"/>
      <c r="S676" s="255"/>
    </row>
    <row r="677" spans="1:19">
      <c r="A677" s="255"/>
      <c r="B677" s="57"/>
      <c r="C677" s="57"/>
      <c r="D677" s="57"/>
      <c r="E677" s="57"/>
      <c r="F677" s="57"/>
      <c r="G677" s="57"/>
      <c r="H677" s="57"/>
      <c r="I677" s="57"/>
      <c r="J677" s="57"/>
      <c r="K677" s="57"/>
      <c r="L677" s="57"/>
      <c r="M677" s="57"/>
      <c r="N677" s="57"/>
      <c r="O677" s="57"/>
      <c r="P677" s="57"/>
      <c r="Q677" s="57"/>
      <c r="R677" s="2222"/>
      <c r="S677" s="255"/>
    </row>
    <row r="678" spans="1:19">
      <c r="A678" s="255"/>
      <c r="B678" s="57"/>
      <c r="C678" s="57"/>
      <c r="D678" s="57"/>
      <c r="E678" s="57"/>
      <c r="F678" s="57"/>
      <c r="G678" s="57"/>
      <c r="H678" s="57"/>
      <c r="I678" s="57"/>
      <c r="J678" s="57"/>
      <c r="K678" s="57"/>
      <c r="L678" s="57"/>
      <c r="M678" s="57"/>
      <c r="N678" s="57"/>
      <c r="O678" s="57"/>
      <c r="P678" s="57"/>
      <c r="Q678" s="57"/>
      <c r="R678" s="2222"/>
      <c r="S678" s="255"/>
    </row>
    <row r="679" spans="1:19">
      <c r="A679" s="255"/>
      <c r="B679" s="57"/>
      <c r="C679" s="57"/>
      <c r="D679" s="57"/>
      <c r="E679" s="57"/>
      <c r="F679" s="57"/>
      <c r="G679" s="57"/>
      <c r="H679" s="57"/>
      <c r="I679" s="57"/>
      <c r="J679" s="57"/>
      <c r="K679" s="57"/>
      <c r="L679" s="57"/>
      <c r="M679" s="57"/>
      <c r="N679" s="57"/>
      <c r="O679" s="57"/>
      <c r="P679" s="57"/>
      <c r="Q679" s="57"/>
      <c r="R679" s="2222"/>
      <c r="S679" s="255"/>
    </row>
    <row r="680" spans="1:19">
      <c r="A680" s="255"/>
      <c r="B680" s="57"/>
      <c r="C680" s="57"/>
      <c r="D680" s="57"/>
      <c r="E680" s="57"/>
      <c r="F680" s="57"/>
      <c r="G680" s="57"/>
      <c r="H680" s="57"/>
      <c r="I680" s="57"/>
      <c r="J680" s="57"/>
      <c r="K680" s="57"/>
      <c r="L680" s="57"/>
      <c r="M680" s="57"/>
      <c r="N680" s="57"/>
      <c r="O680" s="57"/>
      <c r="P680" s="57"/>
      <c r="Q680" s="57"/>
      <c r="R680" s="2222"/>
      <c r="S680" s="255"/>
    </row>
    <row r="681" spans="1:19">
      <c r="A681" s="255"/>
      <c r="B681" s="57"/>
      <c r="C681" s="57"/>
      <c r="D681" s="57"/>
      <c r="E681" s="57"/>
      <c r="F681" s="57"/>
      <c r="G681" s="57"/>
      <c r="H681" s="57"/>
      <c r="I681" s="57"/>
      <c r="J681" s="57"/>
      <c r="K681" s="57"/>
      <c r="L681" s="57"/>
      <c r="M681" s="57"/>
      <c r="N681" s="57"/>
      <c r="O681" s="57"/>
      <c r="P681" s="57"/>
      <c r="Q681" s="57"/>
      <c r="R681" s="2222"/>
      <c r="S681" s="255"/>
    </row>
    <row r="682" spans="1:19">
      <c r="A682" s="255"/>
      <c r="B682" s="57"/>
      <c r="C682" s="57"/>
      <c r="D682" s="57"/>
      <c r="E682" s="57"/>
      <c r="F682" s="57"/>
      <c r="G682" s="57"/>
      <c r="H682" s="57"/>
      <c r="I682" s="57"/>
      <c r="J682" s="57"/>
      <c r="K682" s="57"/>
      <c r="L682" s="57"/>
      <c r="M682" s="57"/>
      <c r="N682" s="57"/>
      <c r="O682" s="57"/>
      <c r="P682" s="57"/>
      <c r="Q682" s="57"/>
      <c r="R682" s="2222"/>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7" customWidth="1"/>
    <col min="2" max="2" width="13.25" style="2943" customWidth="1"/>
    <col min="3" max="3" width="15.625" style="2943" customWidth="1"/>
    <col min="4" max="4" width="9.375" style="2943" bestFit="1" customWidth="1"/>
    <col min="5" max="5" width="13.5" style="2943" customWidth="1"/>
    <col min="6" max="6" width="9" style="2943"/>
    <col min="7" max="7" width="9.375" style="2943" bestFit="1" customWidth="1"/>
    <col min="8" max="9" width="9" style="2943"/>
    <col min="10" max="10" width="9.375" style="2943" bestFit="1" customWidth="1"/>
    <col min="11" max="11" width="4" style="2937" customWidth="1"/>
    <col min="12" max="12" width="5.125" style="2943" customWidth="1"/>
    <col min="13" max="13" width="13.75" style="2943" customWidth="1"/>
    <col min="14" max="256" width="9" style="2943"/>
    <col min="257" max="257" width="4.875" style="2935" customWidth="1"/>
    <col min="258" max="258" width="13.25" style="2935" customWidth="1"/>
    <col min="259" max="259" width="15.625" style="2935" customWidth="1"/>
    <col min="260" max="260" width="9.375" style="2935" bestFit="1" customWidth="1"/>
    <col min="261" max="261" width="13.5" style="2935" customWidth="1"/>
    <col min="262" max="262" width="9" style="2935"/>
    <col min="263" max="263" width="9.375" style="2935" bestFit="1" customWidth="1"/>
    <col min="264" max="265" width="9" style="2935"/>
    <col min="266" max="266" width="9.375" style="2935" bestFit="1" customWidth="1"/>
    <col min="267" max="267" width="4" style="2935" customWidth="1"/>
    <col min="268" max="268" width="5.125" style="2935" customWidth="1"/>
    <col min="269" max="269" width="13.75" style="2935" customWidth="1"/>
    <col min="270" max="512" width="9" style="2935"/>
    <col min="513" max="513" width="4.875" style="2935" customWidth="1"/>
    <col min="514" max="514" width="13.25" style="2935" customWidth="1"/>
    <col min="515" max="515" width="15.625" style="2935" customWidth="1"/>
    <col min="516" max="516" width="9.375" style="2935" bestFit="1" customWidth="1"/>
    <col min="517" max="517" width="13.5" style="2935" customWidth="1"/>
    <col min="518" max="518" width="9" style="2935"/>
    <col min="519" max="519" width="9.375" style="2935" bestFit="1" customWidth="1"/>
    <col min="520" max="521" width="9" style="2935"/>
    <col min="522" max="522" width="9.375" style="2935" bestFit="1" customWidth="1"/>
    <col min="523" max="523" width="4" style="2935" customWidth="1"/>
    <col min="524" max="524" width="5.125" style="2935" customWidth="1"/>
    <col min="525" max="525" width="13.75" style="2935" customWidth="1"/>
    <col min="526" max="768" width="9" style="2935"/>
    <col min="769" max="769" width="4.875" style="2935" customWidth="1"/>
    <col min="770" max="770" width="13.25" style="2935" customWidth="1"/>
    <col min="771" max="771" width="15.625" style="2935" customWidth="1"/>
    <col min="772" max="772" width="9.375" style="2935" bestFit="1" customWidth="1"/>
    <col min="773" max="773" width="13.5" style="2935" customWidth="1"/>
    <col min="774" max="774" width="9" style="2935"/>
    <col min="775" max="775" width="9.375" style="2935" bestFit="1" customWidth="1"/>
    <col min="776" max="777" width="9" style="2935"/>
    <col min="778" max="778" width="9.375" style="2935" bestFit="1" customWidth="1"/>
    <col min="779" max="779" width="4" style="2935" customWidth="1"/>
    <col min="780" max="780" width="5.125" style="2935" customWidth="1"/>
    <col min="781" max="781" width="13.75" style="2935" customWidth="1"/>
    <col min="782" max="1024" width="9" style="2935"/>
    <col min="1025" max="1025" width="4.875" style="2935" customWidth="1"/>
    <col min="1026" max="1026" width="13.25" style="2935" customWidth="1"/>
    <col min="1027" max="1027" width="15.625" style="2935" customWidth="1"/>
    <col min="1028" max="1028" width="9.375" style="2935" bestFit="1" customWidth="1"/>
    <col min="1029" max="1029" width="13.5" style="2935" customWidth="1"/>
    <col min="1030" max="1030" width="9" style="2935"/>
    <col min="1031" max="1031" width="9.375" style="2935" bestFit="1" customWidth="1"/>
    <col min="1032" max="1033" width="9" style="2935"/>
    <col min="1034" max="1034" width="9.375" style="2935" bestFit="1" customWidth="1"/>
    <col min="1035" max="1035" width="4" style="2935" customWidth="1"/>
    <col min="1036" max="1036" width="5.125" style="2935" customWidth="1"/>
    <col min="1037" max="1037" width="13.75" style="2935" customWidth="1"/>
    <col min="1038" max="1280" width="9" style="2935"/>
    <col min="1281" max="1281" width="4.875" style="2935" customWidth="1"/>
    <col min="1282" max="1282" width="13.25" style="2935" customWidth="1"/>
    <col min="1283" max="1283" width="15.625" style="2935" customWidth="1"/>
    <col min="1284" max="1284" width="9.375" style="2935" bestFit="1" customWidth="1"/>
    <col min="1285" max="1285" width="13.5" style="2935" customWidth="1"/>
    <col min="1286" max="1286" width="9" style="2935"/>
    <col min="1287" max="1287" width="9.375" style="2935" bestFit="1" customWidth="1"/>
    <col min="1288" max="1289" width="9" style="2935"/>
    <col min="1290" max="1290" width="9.375" style="2935" bestFit="1" customWidth="1"/>
    <col min="1291" max="1291" width="4" style="2935" customWidth="1"/>
    <col min="1292" max="1292" width="5.125" style="2935" customWidth="1"/>
    <col min="1293" max="1293" width="13.75" style="2935" customWidth="1"/>
    <col min="1294" max="1536" width="9" style="2935"/>
    <col min="1537" max="1537" width="4.875" style="2935" customWidth="1"/>
    <col min="1538" max="1538" width="13.25" style="2935" customWidth="1"/>
    <col min="1539" max="1539" width="15.625" style="2935" customWidth="1"/>
    <col min="1540" max="1540" width="9.375" style="2935" bestFit="1" customWidth="1"/>
    <col min="1541" max="1541" width="13.5" style="2935" customWidth="1"/>
    <col min="1542" max="1542" width="9" style="2935"/>
    <col min="1543" max="1543" width="9.375" style="2935" bestFit="1" customWidth="1"/>
    <col min="1544" max="1545" width="9" style="2935"/>
    <col min="1546" max="1546" width="9.375" style="2935" bestFit="1" customWidth="1"/>
    <col min="1547" max="1547" width="4" style="2935" customWidth="1"/>
    <col min="1548" max="1548" width="5.125" style="2935" customWidth="1"/>
    <col min="1549" max="1549" width="13.75" style="2935" customWidth="1"/>
    <col min="1550" max="1792" width="9" style="2935"/>
    <col min="1793" max="1793" width="4.875" style="2935" customWidth="1"/>
    <col min="1794" max="1794" width="13.25" style="2935" customWidth="1"/>
    <col min="1795" max="1795" width="15.625" style="2935" customWidth="1"/>
    <col min="1796" max="1796" width="9.375" style="2935" bestFit="1" customWidth="1"/>
    <col min="1797" max="1797" width="13.5" style="2935" customWidth="1"/>
    <col min="1798" max="1798" width="9" style="2935"/>
    <col min="1799" max="1799" width="9.375" style="2935" bestFit="1" customWidth="1"/>
    <col min="1800" max="1801" width="9" style="2935"/>
    <col min="1802" max="1802" width="9.375" style="2935" bestFit="1" customWidth="1"/>
    <col min="1803" max="1803" width="4" style="2935" customWidth="1"/>
    <col min="1804" max="1804" width="5.125" style="2935" customWidth="1"/>
    <col min="1805" max="1805" width="13.75" style="2935" customWidth="1"/>
    <col min="1806" max="2048" width="9" style="2935"/>
    <col min="2049" max="2049" width="4.875" style="2935" customWidth="1"/>
    <col min="2050" max="2050" width="13.25" style="2935" customWidth="1"/>
    <col min="2051" max="2051" width="15.625" style="2935" customWidth="1"/>
    <col min="2052" max="2052" width="9.375" style="2935" bestFit="1" customWidth="1"/>
    <col min="2053" max="2053" width="13.5" style="2935" customWidth="1"/>
    <col min="2054" max="2054" width="9" style="2935"/>
    <col min="2055" max="2055" width="9.375" style="2935" bestFit="1" customWidth="1"/>
    <col min="2056" max="2057" width="9" style="2935"/>
    <col min="2058" max="2058" width="9.375" style="2935" bestFit="1" customWidth="1"/>
    <col min="2059" max="2059" width="4" style="2935" customWidth="1"/>
    <col min="2060" max="2060" width="5.125" style="2935" customWidth="1"/>
    <col min="2061" max="2061" width="13.75" style="2935" customWidth="1"/>
    <col min="2062" max="2304" width="9" style="2935"/>
    <col min="2305" max="2305" width="4.875" style="2935" customWidth="1"/>
    <col min="2306" max="2306" width="13.25" style="2935" customWidth="1"/>
    <col min="2307" max="2307" width="15.625" style="2935" customWidth="1"/>
    <col min="2308" max="2308" width="9.375" style="2935" bestFit="1" customWidth="1"/>
    <col min="2309" max="2309" width="13.5" style="2935" customWidth="1"/>
    <col min="2310" max="2310" width="9" style="2935"/>
    <col min="2311" max="2311" width="9.375" style="2935" bestFit="1" customWidth="1"/>
    <col min="2312" max="2313" width="9" style="2935"/>
    <col min="2314" max="2314" width="9.375" style="2935" bestFit="1" customWidth="1"/>
    <col min="2315" max="2315" width="4" style="2935" customWidth="1"/>
    <col min="2316" max="2316" width="5.125" style="2935" customWidth="1"/>
    <col min="2317" max="2317" width="13.75" style="2935" customWidth="1"/>
    <col min="2318" max="2560" width="9" style="2935"/>
    <col min="2561" max="2561" width="4.875" style="2935" customWidth="1"/>
    <col min="2562" max="2562" width="13.25" style="2935" customWidth="1"/>
    <col min="2563" max="2563" width="15.625" style="2935" customWidth="1"/>
    <col min="2564" max="2564" width="9.375" style="2935" bestFit="1" customWidth="1"/>
    <col min="2565" max="2565" width="13.5" style="2935" customWidth="1"/>
    <col min="2566" max="2566" width="9" style="2935"/>
    <col min="2567" max="2567" width="9.375" style="2935" bestFit="1" customWidth="1"/>
    <col min="2568" max="2569" width="9" style="2935"/>
    <col min="2570" max="2570" width="9.375" style="2935" bestFit="1" customWidth="1"/>
    <col min="2571" max="2571" width="4" style="2935" customWidth="1"/>
    <col min="2572" max="2572" width="5.125" style="2935" customWidth="1"/>
    <col min="2573" max="2573" width="13.75" style="2935" customWidth="1"/>
    <col min="2574" max="2816" width="9" style="2935"/>
    <col min="2817" max="2817" width="4.875" style="2935" customWidth="1"/>
    <col min="2818" max="2818" width="13.25" style="2935" customWidth="1"/>
    <col min="2819" max="2819" width="15.625" style="2935" customWidth="1"/>
    <col min="2820" max="2820" width="9.375" style="2935" bestFit="1" customWidth="1"/>
    <col min="2821" max="2821" width="13.5" style="2935" customWidth="1"/>
    <col min="2822" max="2822" width="9" style="2935"/>
    <col min="2823" max="2823" width="9.375" style="2935" bestFit="1" customWidth="1"/>
    <col min="2824" max="2825" width="9" style="2935"/>
    <col min="2826" max="2826" width="9.375" style="2935" bestFit="1" customWidth="1"/>
    <col min="2827" max="2827" width="4" style="2935" customWidth="1"/>
    <col min="2828" max="2828" width="5.125" style="2935" customWidth="1"/>
    <col min="2829" max="2829" width="13.75" style="2935" customWidth="1"/>
    <col min="2830" max="3072" width="9" style="2935"/>
    <col min="3073" max="3073" width="4.875" style="2935" customWidth="1"/>
    <col min="3074" max="3074" width="13.25" style="2935" customWidth="1"/>
    <col min="3075" max="3075" width="15.625" style="2935" customWidth="1"/>
    <col min="3076" max="3076" width="9.375" style="2935" bestFit="1" customWidth="1"/>
    <col min="3077" max="3077" width="13.5" style="2935" customWidth="1"/>
    <col min="3078" max="3078" width="9" style="2935"/>
    <col min="3079" max="3079" width="9.375" style="2935" bestFit="1" customWidth="1"/>
    <col min="3080" max="3081" width="9" style="2935"/>
    <col min="3082" max="3082" width="9.375" style="2935" bestFit="1" customWidth="1"/>
    <col min="3083" max="3083" width="4" style="2935" customWidth="1"/>
    <col min="3084" max="3084" width="5.125" style="2935" customWidth="1"/>
    <col min="3085" max="3085" width="13.75" style="2935" customWidth="1"/>
    <col min="3086" max="3328" width="9" style="2935"/>
    <col min="3329" max="3329" width="4.875" style="2935" customWidth="1"/>
    <col min="3330" max="3330" width="13.25" style="2935" customWidth="1"/>
    <col min="3331" max="3331" width="15.625" style="2935" customWidth="1"/>
    <col min="3332" max="3332" width="9.375" style="2935" bestFit="1" customWidth="1"/>
    <col min="3333" max="3333" width="13.5" style="2935" customWidth="1"/>
    <col min="3334" max="3334" width="9" style="2935"/>
    <col min="3335" max="3335" width="9.375" style="2935" bestFit="1" customWidth="1"/>
    <col min="3336" max="3337" width="9" style="2935"/>
    <col min="3338" max="3338" width="9.375" style="2935" bestFit="1" customWidth="1"/>
    <col min="3339" max="3339" width="4" style="2935" customWidth="1"/>
    <col min="3340" max="3340" width="5.125" style="2935" customWidth="1"/>
    <col min="3341" max="3341" width="13.75" style="2935" customWidth="1"/>
    <col min="3342" max="3584" width="9" style="2935"/>
    <col min="3585" max="3585" width="4.875" style="2935" customWidth="1"/>
    <col min="3586" max="3586" width="13.25" style="2935" customWidth="1"/>
    <col min="3587" max="3587" width="15.625" style="2935" customWidth="1"/>
    <col min="3588" max="3588" width="9.375" style="2935" bestFit="1" customWidth="1"/>
    <col min="3589" max="3589" width="13.5" style="2935" customWidth="1"/>
    <col min="3590" max="3590" width="9" style="2935"/>
    <col min="3591" max="3591" width="9.375" style="2935" bestFit="1" customWidth="1"/>
    <col min="3592" max="3593" width="9" style="2935"/>
    <col min="3594" max="3594" width="9.375" style="2935" bestFit="1" customWidth="1"/>
    <col min="3595" max="3595" width="4" style="2935" customWidth="1"/>
    <col min="3596" max="3596" width="5.125" style="2935" customWidth="1"/>
    <col min="3597" max="3597" width="13.75" style="2935" customWidth="1"/>
    <col min="3598" max="3840" width="9" style="2935"/>
    <col min="3841" max="3841" width="4.875" style="2935" customWidth="1"/>
    <col min="3842" max="3842" width="13.25" style="2935" customWidth="1"/>
    <col min="3843" max="3843" width="15.625" style="2935" customWidth="1"/>
    <col min="3844" max="3844" width="9.375" style="2935" bestFit="1" customWidth="1"/>
    <col min="3845" max="3845" width="13.5" style="2935" customWidth="1"/>
    <col min="3846" max="3846" width="9" style="2935"/>
    <col min="3847" max="3847" width="9.375" style="2935" bestFit="1" customWidth="1"/>
    <col min="3848" max="3849" width="9" style="2935"/>
    <col min="3850" max="3850" width="9.375" style="2935" bestFit="1" customWidth="1"/>
    <col min="3851" max="3851" width="4" style="2935" customWidth="1"/>
    <col min="3852" max="3852" width="5.125" style="2935" customWidth="1"/>
    <col min="3853" max="3853" width="13.75" style="2935" customWidth="1"/>
    <col min="3854" max="4096" width="9" style="2935"/>
    <col min="4097" max="4097" width="4.875" style="2935" customWidth="1"/>
    <col min="4098" max="4098" width="13.25" style="2935" customWidth="1"/>
    <col min="4099" max="4099" width="15.625" style="2935" customWidth="1"/>
    <col min="4100" max="4100" width="9.375" style="2935" bestFit="1" customWidth="1"/>
    <col min="4101" max="4101" width="13.5" style="2935" customWidth="1"/>
    <col min="4102" max="4102" width="9" style="2935"/>
    <col min="4103" max="4103" width="9.375" style="2935" bestFit="1" customWidth="1"/>
    <col min="4104" max="4105" width="9" style="2935"/>
    <col min="4106" max="4106" width="9.375" style="2935" bestFit="1" customWidth="1"/>
    <col min="4107" max="4107" width="4" style="2935" customWidth="1"/>
    <col min="4108" max="4108" width="5.125" style="2935" customWidth="1"/>
    <col min="4109" max="4109" width="13.75" style="2935" customWidth="1"/>
    <col min="4110" max="4352" width="9" style="2935"/>
    <col min="4353" max="4353" width="4.875" style="2935" customWidth="1"/>
    <col min="4354" max="4354" width="13.25" style="2935" customWidth="1"/>
    <col min="4355" max="4355" width="15.625" style="2935" customWidth="1"/>
    <col min="4356" max="4356" width="9.375" style="2935" bestFit="1" customWidth="1"/>
    <col min="4357" max="4357" width="13.5" style="2935" customWidth="1"/>
    <col min="4358" max="4358" width="9" style="2935"/>
    <col min="4359" max="4359" width="9.375" style="2935" bestFit="1" customWidth="1"/>
    <col min="4360" max="4361" width="9" style="2935"/>
    <col min="4362" max="4362" width="9.375" style="2935" bestFit="1" customWidth="1"/>
    <col min="4363" max="4363" width="4" style="2935" customWidth="1"/>
    <col min="4364" max="4364" width="5.125" style="2935" customWidth="1"/>
    <col min="4365" max="4365" width="13.75" style="2935" customWidth="1"/>
    <col min="4366" max="4608" width="9" style="2935"/>
    <col min="4609" max="4609" width="4.875" style="2935" customWidth="1"/>
    <col min="4610" max="4610" width="13.25" style="2935" customWidth="1"/>
    <col min="4611" max="4611" width="15.625" style="2935" customWidth="1"/>
    <col min="4612" max="4612" width="9.375" style="2935" bestFit="1" customWidth="1"/>
    <col min="4613" max="4613" width="13.5" style="2935" customWidth="1"/>
    <col min="4614" max="4614" width="9" style="2935"/>
    <col min="4615" max="4615" width="9.375" style="2935" bestFit="1" customWidth="1"/>
    <col min="4616" max="4617" width="9" style="2935"/>
    <col min="4618" max="4618" width="9.375" style="2935" bestFit="1" customWidth="1"/>
    <col min="4619" max="4619" width="4" style="2935" customWidth="1"/>
    <col min="4620" max="4620" width="5.125" style="2935" customWidth="1"/>
    <col min="4621" max="4621" width="13.75" style="2935" customWidth="1"/>
    <col min="4622" max="4864" width="9" style="2935"/>
    <col min="4865" max="4865" width="4.875" style="2935" customWidth="1"/>
    <col min="4866" max="4866" width="13.25" style="2935" customWidth="1"/>
    <col min="4867" max="4867" width="15.625" style="2935" customWidth="1"/>
    <col min="4868" max="4868" width="9.375" style="2935" bestFit="1" customWidth="1"/>
    <col min="4869" max="4869" width="13.5" style="2935" customWidth="1"/>
    <col min="4870" max="4870" width="9" style="2935"/>
    <col min="4871" max="4871" width="9.375" style="2935" bestFit="1" customWidth="1"/>
    <col min="4872" max="4873" width="9" style="2935"/>
    <col min="4874" max="4874" width="9.375" style="2935" bestFit="1" customWidth="1"/>
    <col min="4875" max="4875" width="4" style="2935" customWidth="1"/>
    <col min="4876" max="4876" width="5.125" style="2935" customWidth="1"/>
    <col min="4877" max="4877" width="13.75" style="2935" customWidth="1"/>
    <col min="4878" max="5120" width="9" style="2935"/>
    <col min="5121" max="5121" width="4.875" style="2935" customWidth="1"/>
    <col min="5122" max="5122" width="13.25" style="2935" customWidth="1"/>
    <col min="5123" max="5123" width="15.625" style="2935" customWidth="1"/>
    <col min="5124" max="5124" width="9.375" style="2935" bestFit="1" customWidth="1"/>
    <col min="5125" max="5125" width="13.5" style="2935" customWidth="1"/>
    <col min="5126" max="5126" width="9" style="2935"/>
    <col min="5127" max="5127" width="9.375" style="2935" bestFit="1" customWidth="1"/>
    <col min="5128" max="5129" width="9" style="2935"/>
    <col min="5130" max="5130" width="9.375" style="2935" bestFit="1" customWidth="1"/>
    <col min="5131" max="5131" width="4" style="2935" customWidth="1"/>
    <col min="5132" max="5132" width="5.125" style="2935" customWidth="1"/>
    <col min="5133" max="5133" width="13.75" style="2935" customWidth="1"/>
    <col min="5134" max="5376" width="9" style="2935"/>
    <col min="5377" max="5377" width="4.875" style="2935" customWidth="1"/>
    <col min="5378" max="5378" width="13.25" style="2935" customWidth="1"/>
    <col min="5379" max="5379" width="15.625" style="2935" customWidth="1"/>
    <col min="5380" max="5380" width="9.375" style="2935" bestFit="1" customWidth="1"/>
    <col min="5381" max="5381" width="13.5" style="2935" customWidth="1"/>
    <col min="5382" max="5382" width="9" style="2935"/>
    <col min="5383" max="5383" width="9.375" style="2935" bestFit="1" customWidth="1"/>
    <col min="5384" max="5385" width="9" style="2935"/>
    <col min="5386" max="5386" width="9.375" style="2935" bestFit="1" customWidth="1"/>
    <col min="5387" max="5387" width="4" style="2935" customWidth="1"/>
    <col min="5388" max="5388" width="5.125" style="2935" customWidth="1"/>
    <col min="5389" max="5389" width="13.75" style="2935" customWidth="1"/>
    <col min="5390" max="5632" width="9" style="2935"/>
    <col min="5633" max="5633" width="4.875" style="2935" customWidth="1"/>
    <col min="5634" max="5634" width="13.25" style="2935" customWidth="1"/>
    <col min="5635" max="5635" width="15.625" style="2935" customWidth="1"/>
    <col min="5636" max="5636" width="9.375" style="2935" bestFit="1" customWidth="1"/>
    <col min="5637" max="5637" width="13.5" style="2935" customWidth="1"/>
    <col min="5638" max="5638" width="9" style="2935"/>
    <col min="5639" max="5639" width="9.375" style="2935" bestFit="1" customWidth="1"/>
    <col min="5640" max="5641" width="9" style="2935"/>
    <col min="5642" max="5642" width="9.375" style="2935" bestFit="1" customWidth="1"/>
    <col min="5643" max="5643" width="4" style="2935" customWidth="1"/>
    <col min="5644" max="5644" width="5.125" style="2935" customWidth="1"/>
    <col min="5645" max="5645" width="13.75" style="2935" customWidth="1"/>
    <col min="5646" max="5888" width="9" style="2935"/>
    <col min="5889" max="5889" width="4.875" style="2935" customWidth="1"/>
    <col min="5890" max="5890" width="13.25" style="2935" customWidth="1"/>
    <col min="5891" max="5891" width="15.625" style="2935" customWidth="1"/>
    <col min="5892" max="5892" width="9.375" style="2935" bestFit="1" customWidth="1"/>
    <col min="5893" max="5893" width="13.5" style="2935" customWidth="1"/>
    <col min="5894" max="5894" width="9" style="2935"/>
    <col min="5895" max="5895" width="9.375" style="2935" bestFit="1" customWidth="1"/>
    <col min="5896" max="5897" width="9" style="2935"/>
    <col min="5898" max="5898" width="9.375" style="2935" bestFit="1" customWidth="1"/>
    <col min="5899" max="5899" width="4" style="2935" customWidth="1"/>
    <col min="5900" max="5900" width="5.125" style="2935" customWidth="1"/>
    <col min="5901" max="5901" width="13.75" style="2935" customWidth="1"/>
    <col min="5902" max="6144" width="9" style="2935"/>
    <col min="6145" max="6145" width="4.875" style="2935" customWidth="1"/>
    <col min="6146" max="6146" width="13.25" style="2935" customWidth="1"/>
    <col min="6147" max="6147" width="15.625" style="2935" customWidth="1"/>
    <col min="6148" max="6148" width="9.375" style="2935" bestFit="1" customWidth="1"/>
    <col min="6149" max="6149" width="13.5" style="2935" customWidth="1"/>
    <col min="6150" max="6150" width="9" style="2935"/>
    <col min="6151" max="6151" width="9.375" style="2935" bestFit="1" customWidth="1"/>
    <col min="6152" max="6153" width="9" style="2935"/>
    <col min="6154" max="6154" width="9.375" style="2935" bestFit="1" customWidth="1"/>
    <col min="6155" max="6155" width="4" style="2935" customWidth="1"/>
    <col min="6156" max="6156" width="5.125" style="2935" customWidth="1"/>
    <col min="6157" max="6157" width="13.75" style="2935" customWidth="1"/>
    <col min="6158" max="6400" width="9" style="2935"/>
    <col min="6401" max="6401" width="4.875" style="2935" customWidth="1"/>
    <col min="6402" max="6402" width="13.25" style="2935" customWidth="1"/>
    <col min="6403" max="6403" width="15.625" style="2935" customWidth="1"/>
    <col min="6404" max="6404" width="9.375" style="2935" bestFit="1" customWidth="1"/>
    <col min="6405" max="6405" width="13.5" style="2935" customWidth="1"/>
    <col min="6406" max="6406" width="9" style="2935"/>
    <col min="6407" max="6407" width="9.375" style="2935" bestFit="1" customWidth="1"/>
    <col min="6408" max="6409" width="9" style="2935"/>
    <col min="6410" max="6410" width="9.375" style="2935" bestFit="1" customWidth="1"/>
    <col min="6411" max="6411" width="4" style="2935" customWidth="1"/>
    <col min="6412" max="6412" width="5.125" style="2935" customWidth="1"/>
    <col min="6413" max="6413" width="13.75" style="2935" customWidth="1"/>
    <col min="6414" max="6656" width="9" style="2935"/>
    <col min="6657" max="6657" width="4.875" style="2935" customWidth="1"/>
    <col min="6658" max="6658" width="13.25" style="2935" customWidth="1"/>
    <col min="6659" max="6659" width="15.625" style="2935" customWidth="1"/>
    <col min="6660" max="6660" width="9.375" style="2935" bestFit="1" customWidth="1"/>
    <col min="6661" max="6661" width="13.5" style="2935" customWidth="1"/>
    <col min="6662" max="6662" width="9" style="2935"/>
    <col min="6663" max="6663" width="9.375" style="2935" bestFit="1" customWidth="1"/>
    <col min="6664" max="6665" width="9" style="2935"/>
    <col min="6666" max="6666" width="9.375" style="2935" bestFit="1" customWidth="1"/>
    <col min="6667" max="6667" width="4" style="2935" customWidth="1"/>
    <col min="6668" max="6668" width="5.125" style="2935" customWidth="1"/>
    <col min="6669" max="6669" width="13.75" style="2935" customWidth="1"/>
    <col min="6670" max="6912" width="9" style="2935"/>
    <col min="6913" max="6913" width="4.875" style="2935" customWidth="1"/>
    <col min="6914" max="6914" width="13.25" style="2935" customWidth="1"/>
    <col min="6915" max="6915" width="15.625" style="2935" customWidth="1"/>
    <col min="6916" max="6916" width="9.375" style="2935" bestFit="1" customWidth="1"/>
    <col min="6917" max="6917" width="13.5" style="2935" customWidth="1"/>
    <col min="6918" max="6918" width="9" style="2935"/>
    <col min="6919" max="6919" width="9.375" style="2935" bestFit="1" customWidth="1"/>
    <col min="6920" max="6921" width="9" style="2935"/>
    <col min="6922" max="6922" width="9.375" style="2935" bestFit="1" customWidth="1"/>
    <col min="6923" max="6923" width="4" style="2935" customWidth="1"/>
    <col min="6924" max="6924" width="5.125" style="2935" customWidth="1"/>
    <col min="6925" max="6925" width="13.75" style="2935" customWidth="1"/>
    <col min="6926" max="7168" width="9" style="2935"/>
    <col min="7169" max="7169" width="4.875" style="2935" customWidth="1"/>
    <col min="7170" max="7170" width="13.25" style="2935" customWidth="1"/>
    <col min="7171" max="7171" width="15.625" style="2935" customWidth="1"/>
    <col min="7172" max="7172" width="9.375" style="2935" bestFit="1" customWidth="1"/>
    <col min="7173" max="7173" width="13.5" style="2935" customWidth="1"/>
    <col min="7174" max="7174" width="9" style="2935"/>
    <col min="7175" max="7175" width="9.375" style="2935" bestFit="1" customWidth="1"/>
    <col min="7176" max="7177" width="9" style="2935"/>
    <col min="7178" max="7178" width="9.375" style="2935" bestFit="1" customWidth="1"/>
    <col min="7179" max="7179" width="4" style="2935" customWidth="1"/>
    <col min="7180" max="7180" width="5.125" style="2935" customWidth="1"/>
    <col min="7181" max="7181" width="13.75" style="2935" customWidth="1"/>
    <col min="7182" max="7424" width="9" style="2935"/>
    <col min="7425" max="7425" width="4.875" style="2935" customWidth="1"/>
    <col min="7426" max="7426" width="13.25" style="2935" customWidth="1"/>
    <col min="7427" max="7427" width="15.625" style="2935" customWidth="1"/>
    <col min="7428" max="7428" width="9.375" style="2935" bestFit="1" customWidth="1"/>
    <col min="7429" max="7429" width="13.5" style="2935" customWidth="1"/>
    <col min="7430" max="7430" width="9" style="2935"/>
    <col min="7431" max="7431" width="9.375" style="2935" bestFit="1" customWidth="1"/>
    <col min="7432" max="7433" width="9" style="2935"/>
    <col min="7434" max="7434" width="9.375" style="2935" bestFit="1" customWidth="1"/>
    <col min="7435" max="7435" width="4" style="2935" customWidth="1"/>
    <col min="7436" max="7436" width="5.125" style="2935" customWidth="1"/>
    <col min="7437" max="7437" width="13.75" style="2935" customWidth="1"/>
    <col min="7438" max="7680" width="9" style="2935"/>
    <col min="7681" max="7681" width="4.875" style="2935" customWidth="1"/>
    <col min="7682" max="7682" width="13.25" style="2935" customWidth="1"/>
    <col min="7683" max="7683" width="15.625" style="2935" customWidth="1"/>
    <col min="7684" max="7684" width="9.375" style="2935" bestFit="1" customWidth="1"/>
    <col min="7685" max="7685" width="13.5" style="2935" customWidth="1"/>
    <col min="7686" max="7686" width="9" style="2935"/>
    <col min="7687" max="7687" width="9.375" style="2935" bestFit="1" customWidth="1"/>
    <col min="7688" max="7689" width="9" style="2935"/>
    <col min="7690" max="7690" width="9.375" style="2935" bestFit="1" customWidth="1"/>
    <col min="7691" max="7691" width="4" style="2935" customWidth="1"/>
    <col min="7692" max="7692" width="5.125" style="2935" customWidth="1"/>
    <col min="7693" max="7693" width="13.75" style="2935" customWidth="1"/>
    <col min="7694" max="7936" width="9" style="2935"/>
    <col min="7937" max="7937" width="4.875" style="2935" customWidth="1"/>
    <col min="7938" max="7938" width="13.25" style="2935" customWidth="1"/>
    <col min="7939" max="7939" width="15.625" style="2935" customWidth="1"/>
    <col min="7940" max="7940" width="9.375" style="2935" bestFit="1" customWidth="1"/>
    <col min="7941" max="7941" width="13.5" style="2935" customWidth="1"/>
    <col min="7942" max="7942" width="9" style="2935"/>
    <col min="7943" max="7943" width="9.375" style="2935" bestFit="1" customWidth="1"/>
    <col min="7944" max="7945" width="9" style="2935"/>
    <col min="7946" max="7946" width="9.375" style="2935" bestFit="1" customWidth="1"/>
    <col min="7947" max="7947" width="4" style="2935" customWidth="1"/>
    <col min="7948" max="7948" width="5.125" style="2935" customWidth="1"/>
    <col min="7949" max="7949" width="13.75" style="2935" customWidth="1"/>
    <col min="7950" max="8192" width="9" style="2935"/>
    <col min="8193" max="8193" width="4.875" style="2935" customWidth="1"/>
    <col min="8194" max="8194" width="13.25" style="2935" customWidth="1"/>
    <col min="8195" max="8195" width="15.625" style="2935" customWidth="1"/>
    <col min="8196" max="8196" width="9.375" style="2935" bestFit="1" customWidth="1"/>
    <col min="8197" max="8197" width="13.5" style="2935" customWidth="1"/>
    <col min="8198" max="8198" width="9" style="2935"/>
    <col min="8199" max="8199" width="9.375" style="2935" bestFit="1" customWidth="1"/>
    <col min="8200" max="8201" width="9" style="2935"/>
    <col min="8202" max="8202" width="9.375" style="2935" bestFit="1" customWidth="1"/>
    <col min="8203" max="8203" width="4" style="2935" customWidth="1"/>
    <col min="8204" max="8204" width="5.125" style="2935" customWidth="1"/>
    <col min="8205" max="8205" width="13.75" style="2935" customWidth="1"/>
    <col min="8206" max="8448" width="9" style="2935"/>
    <col min="8449" max="8449" width="4.875" style="2935" customWidth="1"/>
    <col min="8450" max="8450" width="13.25" style="2935" customWidth="1"/>
    <col min="8451" max="8451" width="15.625" style="2935" customWidth="1"/>
    <col min="8452" max="8452" width="9.375" style="2935" bestFit="1" customWidth="1"/>
    <col min="8453" max="8453" width="13.5" style="2935" customWidth="1"/>
    <col min="8454" max="8454" width="9" style="2935"/>
    <col min="8455" max="8455" width="9.375" style="2935" bestFit="1" customWidth="1"/>
    <col min="8456" max="8457" width="9" style="2935"/>
    <col min="8458" max="8458" width="9.375" style="2935" bestFit="1" customWidth="1"/>
    <col min="8459" max="8459" width="4" style="2935" customWidth="1"/>
    <col min="8460" max="8460" width="5.125" style="2935" customWidth="1"/>
    <col min="8461" max="8461" width="13.75" style="2935" customWidth="1"/>
    <col min="8462" max="8704" width="9" style="2935"/>
    <col min="8705" max="8705" width="4.875" style="2935" customWidth="1"/>
    <col min="8706" max="8706" width="13.25" style="2935" customWidth="1"/>
    <col min="8707" max="8707" width="15.625" style="2935" customWidth="1"/>
    <col min="8708" max="8708" width="9.375" style="2935" bestFit="1" customWidth="1"/>
    <col min="8709" max="8709" width="13.5" style="2935" customWidth="1"/>
    <col min="8710" max="8710" width="9" style="2935"/>
    <col min="8711" max="8711" width="9.375" style="2935" bestFit="1" customWidth="1"/>
    <col min="8712" max="8713" width="9" style="2935"/>
    <col min="8714" max="8714" width="9.375" style="2935" bestFit="1" customWidth="1"/>
    <col min="8715" max="8715" width="4" style="2935" customWidth="1"/>
    <col min="8716" max="8716" width="5.125" style="2935" customWidth="1"/>
    <col min="8717" max="8717" width="13.75" style="2935" customWidth="1"/>
    <col min="8718" max="8960" width="9" style="2935"/>
    <col min="8961" max="8961" width="4.875" style="2935" customWidth="1"/>
    <col min="8962" max="8962" width="13.25" style="2935" customWidth="1"/>
    <col min="8963" max="8963" width="15.625" style="2935" customWidth="1"/>
    <col min="8964" max="8964" width="9.375" style="2935" bestFit="1" customWidth="1"/>
    <col min="8965" max="8965" width="13.5" style="2935" customWidth="1"/>
    <col min="8966" max="8966" width="9" style="2935"/>
    <col min="8967" max="8967" width="9.375" style="2935" bestFit="1" customWidth="1"/>
    <col min="8968" max="8969" width="9" style="2935"/>
    <col min="8970" max="8970" width="9.375" style="2935" bestFit="1" customWidth="1"/>
    <col min="8971" max="8971" width="4" style="2935" customWidth="1"/>
    <col min="8972" max="8972" width="5.125" style="2935" customWidth="1"/>
    <col min="8973" max="8973" width="13.75" style="2935" customWidth="1"/>
    <col min="8974" max="9216" width="9" style="2935"/>
    <col min="9217" max="9217" width="4.875" style="2935" customWidth="1"/>
    <col min="9218" max="9218" width="13.25" style="2935" customWidth="1"/>
    <col min="9219" max="9219" width="15.625" style="2935" customWidth="1"/>
    <col min="9220" max="9220" width="9.375" style="2935" bestFit="1" customWidth="1"/>
    <col min="9221" max="9221" width="13.5" style="2935" customWidth="1"/>
    <col min="9222" max="9222" width="9" style="2935"/>
    <col min="9223" max="9223" width="9.375" style="2935" bestFit="1" customWidth="1"/>
    <col min="9224" max="9225" width="9" style="2935"/>
    <col min="9226" max="9226" width="9.375" style="2935" bestFit="1" customWidth="1"/>
    <col min="9227" max="9227" width="4" style="2935" customWidth="1"/>
    <col min="9228" max="9228" width="5.125" style="2935" customWidth="1"/>
    <col min="9229" max="9229" width="13.75" style="2935" customWidth="1"/>
    <col min="9230" max="9472" width="9" style="2935"/>
    <col min="9473" max="9473" width="4.875" style="2935" customWidth="1"/>
    <col min="9474" max="9474" width="13.25" style="2935" customWidth="1"/>
    <col min="9475" max="9475" width="15.625" style="2935" customWidth="1"/>
    <col min="9476" max="9476" width="9.375" style="2935" bestFit="1" customWidth="1"/>
    <col min="9477" max="9477" width="13.5" style="2935" customWidth="1"/>
    <col min="9478" max="9478" width="9" style="2935"/>
    <col min="9479" max="9479" width="9.375" style="2935" bestFit="1" customWidth="1"/>
    <col min="9480" max="9481" width="9" style="2935"/>
    <col min="9482" max="9482" width="9.375" style="2935" bestFit="1" customWidth="1"/>
    <col min="9483" max="9483" width="4" style="2935" customWidth="1"/>
    <col min="9484" max="9484" width="5.125" style="2935" customWidth="1"/>
    <col min="9485" max="9485" width="13.75" style="2935" customWidth="1"/>
    <col min="9486" max="9728" width="9" style="2935"/>
    <col min="9729" max="9729" width="4.875" style="2935" customWidth="1"/>
    <col min="9730" max="9730" width="13.25" style="2935" customWidth="1"/>
    <col min="9731" max="9731" width="15.625" style="2935" customWidth="1"/>
    <col min="9732" max="9732" width="9.375" style="2935" bestFit="1" customWidth="1"/>
    <col min="9733" max="9733" width="13.5" style="2935" customWidth="1"/>
    <col min="9734" max="9734" width="9" style="2935"/>
    <col min="9735" max="9735" width="9.375" style="2935" bestFit="1" customWidth="1"/>
    <col min="9736" max="9737" width="9" style="2935"/>
    <col min="9738" max="9738" width="9.375" style="2935" bestFit="1" customWidth="1"/>
    <col min="9739" max="9739" width="4" style="2935" customWidth="1"/>
    <col min="9740" max="9740" width="5.125" style="2935" customWidth="1"/>
    <col min="9741" max="9741" width="13.75" style="2935" customWidth="1"/>
    <col min="9742" max="9984" width="9" style="2935"/>
    <col min="9985" max="9985" width="4.875" style="2935" customWidth="1"/>
    <col min="9986" max="9986" width="13.25" style="2935" customWidth="1"/>
    <col min="9987" max="9987" width="15.625" style="2935" customWidth="1"/>
    <col min="9988" max="9988" width="9.375" style="2935" bestFit="1" customWidth="1"/>
    <col min="9989" max="9989" width="13.5" style="2935" customWidth="1"/>
    <col min="9990" max="9990" width="9" style="2935"/>
    <col min="9991" max="9991" width="9.375" style="2935" bestFit="1" customWidth="1"/>
    <col min="9992" max="9993" width="9" style="2935"/>
    <col min="9994" max="9994" width="9.375" style="2935" bestFit="1" customWidth="1"/>
    <col min="9995" max="9995" width="4" style="2935" customWidth="1"/>
    <col min="9996" max="9996" width="5.125" style="2935" customWidth="1"/>
    <col min="9997" max="9997" width="13.75" style="2935" customWidth="1"/>
    <col min="9998" max="10240" width="9" style="2935"/>
    <col min="10241" max="10241" width="4.875" style="2935" customWidth="1"/>
    <col min="10242" max="10242" width="13.25" style="2935" customWidth="1"/>
    <col min="10243" max="10243" width="15.625" style="2935" customWidth="1"/>
    <col min="10244" max="10244" width="9.375" style="2935" bestFit="1" customWidth="1"/>
    <col min="10245" max="10245" width="13.5" style="2935" customWidth="1"/>
    <col min="10246" max="10246" width="9" style="2935"/>
    <col min="10247" max="10247" width="9.375" style="2935" bestFit="1" customWidth="1"/>
    <col min="10248" max="10249" width="9" style="2935"/>
    <col min="10250" max="10250" width="9.375" style="2935" bestFit="1" customWidth="1"/>
    <col min="10251" max="10251" width="4" style="2935" customWidth="1"/>
    <col min="10252" max="10252" width="5.125" style="2935" customWidth="1"/>
    <col min="10253" max="10253" width="13.75" style="2935" customWidth="1"/>
    <col min="10254" max="10496" width="9" style="2935"/>
    <col min="10497" max="10497" width="4.875" style="2935" customWidth="1"/>
    <col min="10498" max="10498" width="13.25" style="2935" customWidth="1"/>
    <col min="10499" max="10499" width="15.625" style="2935" customWidth="1"/>
    <col min="10500" max="10500" width="9.375" style="2935" bestFit="1" customWidth="1"/>
    <col min="10501" max="10501" width="13.5" style="2935" customWidth="1"/>
    <col min="10502" max="10502" width="9" style="2935"/>
    <col min="10503" max="10503" width="9.375" style="2935" bestFit="1" customWidth="1"/>
    <col min="10504" max="10505" width="9" style="2935"/>
    <col min="10506" max="10506" width="9.375" style="2935" bestFit="1" customWidth="1"/>
    <col min="10507" max="10507" width="4" style="2935" customWidth="1"/>
    <col min="10508" max="10508" width="5.125" style="2935" customWidth="1"/>
    <col min="10509" max="10509" width="13.75" style="2935" customWidth="1"/>
    <col min="10510" max="10752" width="9" style="2935"/>
    <col min="10753" max="10753" width="4.875" style="2935" customWidth="1"/>
    <col min="10754" max="10754" width="13.25" style="2935" customWidth="1"/>
    <col min="10755" max="10755" width="15.625" style="2935" customWidth="1"/>
    <col min="10756" max="10756" width="9.375" style="2935" bestFit="1" customWidth="1"/>
    <col min="10757" max="10757" width="13.5" style="2935" customWidth="1"/>
    <col min="10758" max="10758" width="9" style="2935"/>
    <col min="10759" max="10759" width="9.375" style="2935" bestFit="1" customWidth="1"/>
    <col min="10760" max="10761" width="9" style="2935"/>
    <col min="10762" max="10762" width="9.375" style="2935" bestFit="1" customWidth="1"/>
    <col min="10763" max="10763" width="4" style="2935" customWidth="1"/>
    <col min="10764" max="10764" width="5.125" style="2935" customWidth="1"/>
    <col min="10765" max="10765" width="13.75" style="2935" customWidth="1"/>
    <col min="10766" max="11008" width="9" style="2935"/>
    <col min="11009" max="11009" width="4.875" style="2935" customWidth="1"/>
    <col min="11010" max="11010" width="13.25" style="2935" customWidth="1"/>
    <col min="11011" max="11011" width="15.625" style="2935" customWidth="1"/>
    <col min="11012" max="11012" width="9.375" style="2935" bestFit="1" customWidth="1"/>
    <col min="11013" max="11013" width="13.5" style="2935" customWidth="1"/>
    <col min="11014" max="11014" width="9" style="2935"/>
    <col min="11015" max="11015" width="9.375" style="2935" bestFit="1" customWidth="1"/>
    <col min="11016" max="11017" width="9" style="2935"/>
    <col min="11018" max="11018" width="9.375" style="2935" bestFit="1" customWidth="1"/>
    <col min="11019" max="11019" width="4" style="2935" customWidth="1"/>
    <col min="11020" max="11020" width="5.125" style="2935" customWidth="1"/>
    <col min="11021" max="11021" width="13.75" style="2935" customWidth="1"/>
    <col min="11022" max="11264" width="9" style="2935"/>
    <col min="11265" max="11265" width="4.875" style="2935" customWidth="1"/>
    <col min="11266" max="11266" width="13.25" style="2935" customWidth="1"/>
    <col min="11267" max="11267" width="15.625" style="2935" customWidth="1"/>
    <col min="11268" max="11268" width="9.375" style="2935" bestFit="1" customWidth="1"/>
    <col min="11269" max="11269" width="13.5" style="2935" customWidth="1"/>
    <col min="11270" max="11270" width="9" style="2935"/>
    <col min="11271" max="11271" width="9.375" style="2935" bestFit="1" customWidth="1"/>
    <col min="11272" max="11273" width="9" style="2935"/>
    <col min="11274" max="11274" width="9.375" style="2935" bestFit="1" customWidth="1"/>
    <col min="11275" max="11275" width="4" style="2935" customWidth="1"/>
    <col min="11276" max="11276" width="5.125" style="2935" customWidth="1"/>
    <col min="11277" max="11277" width="13.75" style="2935" customWidth="1"/>
    <col min="11278" max="11520" width="9" style="2935"/>
    <col min="11521" max="11521" width="4.875" style="2935" customWidth="1"/>
    <col min="11522" max="11522" width="13.25" style="2935" customWidth="1"/>
    <col min="11523" max="11523" width="15.625" style="2935" customWidth="1"/>
    <col min="11524" max="11524" width="9.375" style="2935" bestFit="1" customWidth="1"/>
    <col min="11525" max="11525" width="13.5" style="2935" customWidth="1"/>
    <col min="11526" max="11526" width="9" style="2935"/>
    <col min="11527" max="11527" width="9.375" style="2935" bestFit="1" customWidth="1"/>
    <col min="11528" max="11529" width="9" style="2935"/>
    <col min="11530" max="11530" width="9.375" style="2935" bestFit="1" customWidth="1"/>
    <col min="11531" max="11531" width="4" style="2935" customWidth="1"/>
    <col min="11532" max="11532" width="5.125" style="2935" customWidth="1"/>
    <col min="11533" max="11533" width="13.75" style="2935" customWidth="1"/>
    <col min="11534" max="11776" width="9" style="2935"/>
    <col min="11777" max="11777" width="4.875" style="2935" customWidth="1"/>
    <col min="11778" max="11778" width="13.25" style="2935" customWidth="1"/>
    <col min="11779" max="11779" width="15.625" style="2935" customWidth="1"/>
    <col min="11780" max="11780" width="9.375" style="2935" bestFit="1" customWidth="1"/>
    <col min="11781" max="11781" width="13.5" style="2935" customWidth="1"/>
    <col min="11782" max="11782" width="9" style="2935"/>
    <col min="11783" max="11783" width="9.375" style="2935" bestFit="1" customWidth="1"/>
    <col min="11784" max="11785" width="9" style="2935"/>
    <col min="11786" max="11786" width="9.375" style="2935" bestFit="1" customWidth="1"/>
    <col min="11787" max="11787" width="4" style="2935" customWidth="1"/>
    <col min="11788" max="11788" width="5.125" style="2935" customWidth="1"/>
    <col min="11789" max="11789" width="13.75" style="2935" customWidth="1"/>
    <col min="11790" max="12032" width="9" style="2935"/>
    <col min="12033" max="12033" width="4.875" style="2935" customWidth="1"/>
    <col min="12034" max="12034" width="13.25" style="2935" customWidth="1"/>
    <col min="12035" max="12035" width="15.625" style="2935" customWidth="1"/>
    <col min="12036" max="12036" width="9.375" style="2935" bestFit="1" customWidth="1"/>
    <col min="12037" max="12037" width="13.5" style="2935" customWidth="1"/>
    <col min="12038" max="12038" width="9" style="2935"/>
    <col min="12039" max="12039" width="9.375" style="2935" bestFit="1" customWidth="1"/>
    <col min="12040" max="12041" width="9" style="2935"/>
    <col min="12042" max="12042" width="9.375" style="2935" bestFit="1" customWidth="1"/>
    <col min="12043" max="12043" width="4" style="2935" customWidth="1"/>
    <col min="12044" max="12044" width="5.125" style="2935" customWidth="1"/>
    <col min="12045" max="12045" width="13.75" style="2935" customWidth="1"/>
    <col min="12046" max="12288" width="9" style="2935"/>
    <col min="12289" max="12289" width="4.875" style="2935" customWidth="1"/>
    <col min="12290" max="12290" width="13.25" style="2935" customWidth="1"/>
    <col min="12291" max="12291" width="15.625" style="2935" customWidth="1"/>
    <col min="12292" max="12292" width="9.375" style="2935" bestFit="1" customWidth="1"/>
    <col min="12293" max="12293" width="13.5" style="2935" customWidth="1"/>
    <col min="12294" max="12294" width="9" style="2935"/>
    <col min="12295" max="12295" width="9.375" style="2935" bestFit="1" customWidth="1"/>
    <col min="12296" max="12297" width="9" style="2935"/>
    <col min="12298" max="12298" width="9.375" style="2935" bestFit="1" customWidth="1"/>
    <col min="12299" max="12299" width="4" style="2935" customWidth="1"/>
    <col min="12300" max="12300" width="5.125" style="2935" customWidth="1"/>
    <col min="12301" max="12301" width="13.75" style="2935" customWidth="1"/>
    <col min="12302" max="12544" width="9" style="2935"/>
    <col min="12545" max="12545" width="4.875" style="2935" customWidth="1"/>
    <col min="12546" max="12546" width="13.25" style="2935" customWidth="1"/>
    <col min="12547" max="12547" width="15.625" style="2935" customWidth="1"/>
    <col min="12548" max="12548" width="9.375" style="2935" bestFit="1" customWidth="1"/>
    <col min="12549" max="12549" width="13.5" style="2935" customWidth="1"/>
    <col min="12550" max="12550" width="9" style="2935"/>
    <col min="12551" max="12551" width="9.375" style="2935" bestFit="1" customWidth="1"/>
    <col min="12552" max="12553" width="9" style="2935"/>
    <col min="12554" max="12554" width="9.375" style="2935" bestFit="1" customWidth="1"/>
    <col min="12555" max="12555" width="4" style="2935" customWidth="1"/>
    <col min="12556" max="12556" width="5.125" style="2935" customWidth="1"/>
    <col min="12557" max="12557" width="13.75" style="2935" customWidth="1"/>
    <col min="12558" max="12800" width="9" style="2935"/>
    <col min="12801" max="12801" width="4.875" style="2935" customWidth="1"/>
    <col min="12802" max="12802" width="13.25" style="2935" customWidth="1"/>
    <col min="12803" max="12803" width="15.625" style="2935" customWidth="1"/>
    <col min="12804" max="12804" width="9.375" style="2935" bestFit="1" customWidth="1"/>
    <col min="12805" max="12805" width="13.5" style="2935" customWidth="1"/>
    <col min="12806" max="12806" width="9" style="2935"/>
    <col min="12807" max="12807" width="9.375" style="2935" bestFit="1" customWidth="1"/>
    <col min="12808" max="12809" width="9" style="2935"/>
    <col min="12810" max="12810" width="9.375" style="2935" bestFit="1" customWidth="1"/>
    <col min="12811" max="12811" width="4" style="2935" customWidth="1"/>
    <col min="12812" max="12812" width="5.125" style="2935" customWidth="1"/>
    <col min="12813" max="12813" width="13.75" style="2935" customWidth="1"/>
    <col min="12814" max="13056" width="9" style="2935"/>
    <col min="13057" max="13057" width="4.875" style="2935" customWidth="1"/>
    <col min="13058" max="13058" width="13.25" style="2935" customWidth="1"/>
    <col min="13059" max="13059" width="15.625" style="2935" customWidth="1"/>
    <col min="13060" max="13060" width="9.375" style="2935" bestFit="1" customWidth="1"/>
    <col min="13061" max="13061" width="13.5" style="2935" customWidth="1"/>
    <col min="13062" max="13062" width="9" style="2935"/>
    <col min="13063" max="13063" width="9.375" style="2935" bestFit="1" customWidth="1"/>
    <col min="13064" max="13065" width="9" style="2935"/>
    <col min="13066" max="13066" width="9.375" style="2935" bestFit="1" customWidth="1"/>
    <col min="13067" max="13067" width="4" style="2935" customWidth="1"/>
    <col min="13068" max="13068" width="5.125" style="2935" customWidth="1"/>
    <col min="13069" max="13069" width="13.75" style="2935" customWidth="1"/>
    <col min="13070" max="13312" width="9" style="2935"/>
    <col min="13313" max="13313" width="4.875" style="2935" customWidth="1"/>
    <col min="13314" max="13314" width="13.25" style="2935" customWidth="1"/>
    <col min="13315" max="13315" width="15.625" style="2935" customWidth="1"/>
    <col min="13316" max="13316" width="9.375" style="2935" bestFit="1" customWidth="1"/>
    <col min="13317" max="13317" width="13.5" style="2935" customWidth="1"/>
    <col min="13318" max="13318" width="9" style="2935"/>
    <col min="13319" max="13319" width="9.375" style="2935" bestFit="1" customWidth="1"/>
    <col min="13320" max="13321" width="9" style="2935"/>
    <col min="13322" max="13322" width="9.375" style="2935" bestFit="1" customWidth="1"/>
    <col min="13323" max="13323" width="4" style="2935" customWidth="1"/>
    <col min="13324" max="13324" width="5.125" style="2935" customWidth="1"/>
    <col min="13325" max="13325" width="13.75" style="2935" customWidth="1"/>
    <col min="13326" max="13568" width="9" style="2935"/>
    <col min="13569" max="13569" width="4.875" style="2935" customWidth="1"/>
    <col min="13570" max="13570" width="13.25" style="2935" customWidth="1"/>
    <col min="13571" max="13571" width="15.625" style="2935" customWidth="1"/>
    <col min="13572" max="13572" width="9.375" style="2935" bestFit="1" customWidth="1"/>
    <col min="13573" max="13573" width="13.5" style="2935" customWidth="1"/>
    <col min="13574" max="13574" width="9" style="2935"/>
    <col min="13575" max="13575" width="9.375" style="2935" bestFit="1" customWidth="1"/>
    <col min="13576" max="13577" width="9" style="2935"/>
    <col min="13578" max="13578" width="9.375" style="2935" bestFit="1" customWidth="1"/>
    <col min="13579" max="13579" width="4" style="2935" customWidth="1"/>
    <col min="13580" max="13580" width="5.125" style="2935" customWidth="1"/>
    <col min="13581" max="13581" width="13.75" style="2935" customWidth="1"/>
    <col min="13582" max="13824" width="9" style="2935"/>
    <col min="13825" max="13825" width="4.875" style="2935" customWidth="1"/>
    <col min="13826" max="13826" width="13.25" style="2935" customWidth="1"/>
    <col min="13827" max="13827" width="15.625" style="2935" customWidth="1"/>
    <col min="13828" max="13828" width="9.375" style="2935" bestFit="1" customWidth="1"/>
    <col min="13829" max="13829" width="13.5" style="2935" customWidth="1"/>
    <col min="13830" max="13830" width="9" style="2935"/>
    <col min="13831" max="13831" width="9.375" style="2935" bestFit="1" customWidth="1"/>
    <col min="13832" max="13833" width="9" style="2935"/>
    <col min="13834" max="13834" width="9.375" style="2935" bestFit="1" customWidth="1"/>
    <col min="13835" max="13835" width="4" style="2935" customWidth="1"/>
    <col min="13836" max="13836" width="5.125" style="2935" customWidth="1"/>
    <col min="13837" max="13837" width="13.75" style="2935" customWidth="1"/>
    <col min="13838" max="14080" width="9" style="2935"/>
    <col min="14081" max="14081" width="4.875" style="2935" customWidth="1"/>
    <col min="14082" max="14082" width="13.25" style="2935" customWidth="1"/>
    <col min="14083" max="14083" width="15.625" style="2935" customWidth="1"/>
    <col min="14084" max="14084" width="9.375" style="2935" bestFit="1" customWidth="1"/>
    <col min="14085" max="14085" width="13.5" style="2935" customWidth="1"/>
    <col min="14086" max="14086" width="9" style="2935"/>
    <col min="14087" max="14087" width="9.375" style="2935" bestFit="1" customWidth="1"/>
    <col min="14088" max="14089" width="9" style="2935"/>
    <col min="14090" max="14090" width="9.375" style="2935" bestFit="1" customWidth="1"/>
    <col min="14091" max="14091" width="4" style="2935" customWidth="1"/>
    <col min="14092" max="14092" width="5.125" style="2935" customWidth="1"/>
    <col min="14093" max="14093" width="13.75" style="2935" customWidth="1"/>
    <col min="14094" max="14336" width="9" style="2935"/>
    <col min="14337" max="14337" width="4.875" style="2935" customWidth="1"/>
    <col min="14338" max="14338" width="13.25" style="2935" customWidth="1"/>
    <col min="14339" max="14339" width="15.625" style="2935" customWidth="1"/>
    <col min="14340" max="14340" width="9.375" style="2935" bestFit="1" customWidth="1"/>
    <col min="14341" max="14341" width="13.5" style="2935" customWidth="1"/>
    <col min="14342" max="14342" width="9" style="2935"/>
    <col min="14343" max="14343" width="9.375" style="2935" bestFit="1" customWidth="1"/>
    <col min="14344" max="14345" width="9" style="2935"/>
    <col min="14346" max="14346" width="9.375" style="2935" bestFit="1" customWidth="1"/>
    <col min="14347" max="14347" width="4" style="2935" customWidth="1"/>
    <col min="14348" max="14348" width="5.125" style="2935" customWidth="1"/>
    <col min="14349" max="14349" width="13.75" style="2935" customWidth="1"/>
    <col min="14350" max="14592" width="9" style="2935"/>
    <col min="14593" max="14593" width="4.875" style="2935" customWidth="1"/>
    <col min="14594" max="14594" width="13.25" style="2935" customWidth="1"/>
    <col min="14595" max="14595" width="15.625" style="2935" customWidth="1"/>
    <col min="14596" max="14596" width="9.375" style="2935" bestFit="1" customWidth="1"/>
    <col min="14597" max="14597" width="13.5" style="2935" customWidth="1"/>
    <col min="14598" max="14598" width="9" style="2935"/>
    <col min="14599" max="14599" width="9.375" style="2935" bestFit="1" customWidth="1"/>
    <col min="14600" max="14601" width="9" style="2935"/>
    <col min="14602" max="14602" width="9.375" style="2935" bestFit="1" customWidth="1"/>
    <col min="14603" max="14603" width="4" style="2935" customWidth="1"/>
    <col min="14604" max="14604" width="5.125" style="2935" customWidth="1"/>
    <col min="14605" max="14605" width="13.75" style="2935" customWidth="1"/>
    <col min="14606" max="14848" width="9" style="2935"/>
    <col min="14849" max="14849" width="4.875" style="2935" customWidth="1"/>
    <col min="14850" max="14850" width="13.25" style="2935" customWidth="1"/>
    <col min="14851" max="14851" width="15.625" style="2935" customWidth="1"/>
    <col min="14852" max="14852" width="9.375" style="2935" bestFit="1" customWidth="1"/>
    <col min="14853" max="14853" width="13.5" style="2935" customWidth="1"/>
    <col min="14854" max="14854" width="9" style="2935"/>
    <col min="14855" max="14855" width="9.375" style="2935" bestFit="1" customWidth="1"/>
    <col min="14856" max="14857" width="9" style="2935"/>
    <col min="14858" max="14858" width="9.375" style="2935" bestFit="1" customWidth="1"/>
    <col min="14859" max="14859" width="4" style="2935" customWidth="1"/>
    <col min="14860" max="14860" width="5.125" style="2935" customWidth="1"/>
    <col min="14861" max="14861" width="13.75" style="2935" customWidth="1"/>
    <col min="14862" max="15104" width="9" style="2935"/>
    <col min="15105" max="15105" width="4.875" style="2935" customWidth="1"/>
    <col min="15106" max="15106" width="13.25" style="2935" customWidth="1"/>
    <col min="15107" max="15107" width="15.625" style="2935" customWidth="1"/>
    <col min="15108" max="15108" width="9.375" style="2935" bestFit="1" customWidth="1"/>
    <col min="15109" max="15109" width="13.5" style="2935" customWidth="1"/>
    <col min="15110" max="15110" width="9" style="2935"/>
    <col min="15111" max="15111" width="9.375" style="2935" bestFit="1" customWidth="1"/>
    <col min="15112" max="15113" width="9" style="2935"/>
    <col min="15114" max="15114" width="9.375" style="2935" bestFit="1" customWidth="1"/>
    <col min="15115" max="15115" width="4" style="2935" customWidth="1"/>
    <col min="15116" max="15116" width="5.125" style="2935" customWidth="1"/>
    <col min="15117" max="15117" width="13.75" style="2935" customWidth="1"/>
    <col min="15118" max="15360" width="9" style="2935"/>
    <col min="15361" max="15361" width="4.875" style="2935" customWidth="1"/>
    <col min="15362" max="15362" width="13.25" style="2935" customWidth="1"/>
    <col min="15363" max="15363" width="15.625" style="2935" customWidth="1"/>
    <col min="15364" max="15364" width="9.375" style="2935" bestFit="1" customWidth="1"/>
    <col min="15365" max="15365" width="13.5" style="2935" customWidth="1"/>
    <col min="15366" max="15366" width="9" style="2935"/>
    <col min="15367" max="15367" width="9.375" style="2935" bestFit="1" customWidth="1"/>
    <col min="15368" max="15369" width="9" style="2935"/>
    <col min="15370" max="15370" width="9.375" style="2935" bestFit="1" customWidth="1"/>
    <col min="15371" max="15371" width="4" style="2935" customWidth="1"/>
    <col min="15372" max="15372" width="5.125" style="2935" customWidth="1"/>
    <col min="15373" max="15373" width="13.75" style="2935" customWidth="1"/>
    <col min="15374" max="15616" width="9" style="2935"/>
    <col min="15617" max="15617" width="4.875" style="2935" customWidth="1"/>
    <col min="15618" max="15618" width="13.25" style="2935" customWidth="1"/>
    <col min="15619" max="15619" width="15.625" style="2935" customWidth="1"/>
    <col min="15620" max="15620" width="9.375" style="2935" bestFit="1" customWidth="1"/>
    <col min="15621" max="15621" width="13.5" style="2935" customWidth="1"/>
    <col min="15622" max="15622" width="9" style="2935"/>
    <col min="15623" max="15623" width="9.375" style="2935" bestFit="1" customWidth="1"/>
    <col min="15624" max="15625" width="9" style="2935"/>
    <col min="15626" max="15626" width="9.375" style="2935" bestFit="1" customWidth="1"/>
    <col min="15627" max="15627" width="4" style="2935" customWidth="1"/>
    <col min="15628" max="15628" width="5.125" style="2935" customWidth="1"/>
    <col min="15629" max="15629" width="13.75" style="2935" customWidth="1"/>
    <col min="15630" max="15872" width="9" style="2935"/>
    <col min="15873" max="15873" width="4.875" style="2935" customWidth="1"/>
    <col min="15874" max="15874" width="13.25" style="2935" customWidth="1"/>
    <col min="15875" max="15875" width="15.625" style="2935" customWidth="1"/>
    <col min="15876" max="15876" width="9.375" style="2935" bestFit="1" customWidth="1"/>
    <col min="15877" max="15877" width="13.5" style="2935" customWidth="1"/>
    <col min="15878" max="15878" width="9" style="2935"/>
    <col min="15879" max="15879" width="9.375" style="2935" bestFit="1" customWidth="1"/>
    <col min="15880" max="15881" width="9" style="2935"/>
    <col min="15882" max="15882" width="9.375" style="2935" bestFit="1" customWidth="1"/>
    <col min="15883" max="15883" width="4" style="2935" customWidth="1"/>
    <col min="15884" max="15884" width="5.125" style="2935" customWidth="1"/>
    <col min="15885" max="15885" width="13.75" style="2935" customWidth="1"/>
    <col min="15886" max="16128" width="9" style="2935"/>
    <col min="16129" max="16129" width="4.875" style="2935" customWidth="1"/>
    <col min="16130" max="16130" width="13.25" style="2935" customWidth="1"/>
    <col min="16131" max="16131" width="15.625" style="2935" customWidth="1"/>
    <col min="16132" max="16132" width="9.375" style="2935" bestFit="1" customWidth="1"/>
    <col min="16133" max="16133" width="13.5" style="2935" customWidth="1"/>
    <col min="16134" max="16134" width="9" style="2935"/>
    <col min="16135" max="16135" width="9.375" style="2935" bestFit="1" customWidth="1"/>
    <col min="16136" max="16137" width="9" style="2935"/>
    <col min="16138" max="16138" width="9.375" style="2935" bestFit="1" customWidth="1"/>
    <col min="16139" max="16139" width="4" style="2935" customWidth="1"/>
    <col min="16140" max="16140" width="5.125" style="2935" customWidth="1"/>
    <col min="16141" max="16141" width="13.75" style="2935" customWidth="1"/>
    <col min="16142" max="16384" width="9" style="2935"/>
  </cols>
  <sheetData>
    <row r="1" spans="1:257" s="2995" customFormat="1" ht="14.25" thickBot="1">
      <c r="A1" s="2994"/>
      <c r="B1" s="2996" t="s">
        <v>2787</v>
      </c>
      <c r="C1" s="3000">
        <f>项目基本情况!D3</f>
        <v>43346</v>
      </c>
      <c r="H1" s="2934">
        <f>IF(C1&gt;C13,0,MATCH(C1,C$13:C$100,-1))+IF(SUMIF(C13:C100,C1,D13:D100)=0,13,12)</f>
        <v>13</v>
      </c>
      <c r="I1" s="2934">
        <f>MATCH(C2,H3:H7,1)+IF(SUMIF(H3:H7,C2,I3:I7)=0,2,1)</f>
        <v>5</v>
      </c>
      <c r="J1" s="2993">
        <f ca="1">MATCH(C3,H3:H7,1)+IF(SUMIF(H3:H7,C3,J3:J7)=0,2,1)</f>
        <v>2</v>
      </c>
      <c r="N1" s="2934">
        <f>IF(C1&gt;M13,0,MATCH(C1,M$13:M$100,-1))+IF(SUMIF(M13:M100,C1,N13:N100)=0,13,12)</f>
        <v>13</v>
      </c>
      <c r="P1" s="2994"/>
      <c r="Q1" s="2994"/>
      <c r="R1" s="2994"/>
      <c r="S1" s="2994"/>
      <c r="T1" s="2994"/>
      <c r="U1" s="2994"/>
      <c r="V1" s="2994"/>
      <c r="W1" s="2994"/>
      <c r="X1" s="2994"/>
      <c r="Y1" s="2994"/>
      <c r="Z1" s="2994"/>
      <c r="AA1" s="2994"/>
      <c r="AB1" s="2994"/>
      <c r="AC1" s="2994"/>
      <c r="AD1" s="2994"/>
      <c r="AE1" s="2994"/>
      <c r="AF1" s="2994"/>
      <c r="AG1" s="2994"/>
      <c r="AH1" s="2994"/>
      <c r="AI1" s="2994"/>
      <c r="AJ1" s="2994"/>
      <c r="AK1" s="2994"/>
      <c r="AL1" s="2994"/>
      <c r="AM1" s="2994"/>
      <c r="AN1" s="2994"/>
      <c r="AO1" s="2994"/>
      <c r="AP1" s="2994"/>
      <c r="AQ1" s="2994"/>
      <c r="AR1" s="2994"/>
      <c r="AS1" s="2994"/>
      <c r="AT1" s="2994"/>
      <c r="AU1" s="2994"/>
      <c r="AV1" s="2994"/>
      <c r="AW1" s="2994"/>
      <c r="AX1" s="2994"/>
      <c r="AY1" s="2994"/>
      <c r="AZ1" s="2994"/>
      <c r="BA1" s="2994"/>
      <c r="BB1" s="2994"/>
      <c r="BC1" s="2994"/>
      <c r="BD1" s="2994"/>
      <c r="BE1" s="2994"/>
      <c r="BF1" s="2994"/>
      <c r="BG1" s="2994"/>
      <c r="BH1" s="2994"/>
      <c r="BI1" s="2994"/>
      <c r="BJ1" s="2994"/>
      <c r="BK1" s="2994"/>
      <c r="BL1" s="2994"/>
      <c r="BM1" s="2994"/>
      <c r="BN1" s="2994"/>
      <c r="BO1" s="2994"/>
      <c r="BP1" s="2994"/>
      <c r="BQ1" s="2994"/>
      <c r="BR1" s="2994"/>
      <c r="BS1" s="2994"/>
      <c r="BT1" s="2994"/>
      <c r="BU1" s="2994"/>
      <c r="BV1" s="2994"/>
      <c r="BW1" s="2994"/>
      <c r="BX1" s="2994"/>
      <c r="BY1" s="2994"/>
      <c r="BZ1" s="2994"/>
      <c r="CA1" s="2994"/>
      <c r="CB1" s="2994"/>
      <c r="CC1" s="2994"/>
      <c r="CD1" s="2994"/>
      <c r="CE1" s="2994"/>
      <c r="CF1" s="2994"/>
      <c r="CG1" s="2994"/>
      <c r="CH1" s="2994"/>
      <c r="CI1" s="2994"/>
      <c r="CJ1" s="2994"/>
      <c r="CK1" s="2994"/>
      <c r="CL1" s="2994"/>
      <c r="CM1" s="2994"/>
      <c r="CN1" s="2994"/>
      <c r="CO1" s="2994"/>
      <c r="CP1" s="2994"/>
      <c r="CQ1" s="2994"/>
      <c r="CR1" s="2994"/>
      <c r="CS1" s="2994"/>
      <c r="CT1" s="2994"/>
      <c r="CU1" s="2994"/>
      <c r="CV1" s="2994"/>
      <c r="CW1" s="2994"/>
      <c r="CX1" s="2994"/>
      <c r="CY1" s="2994"/>
      <c r="CZ1" s="2994"/>
      <c r="DA1" s="2994"/>
      <c r="DB1" s="2994"/>
      <c r="DC1" s="2994"/>
      <c r="DD1" s="2994"/>
      <c r="DE1" s="2994"/>
      <c r="DF1" s="2994"/>
      <c r="DG1" s="2994"/>
      <c r="DH1" s="2994"/>
      <c r="DI1" s="2994"/>
      <c r="DJ1" s="2994"/>
      <c r="DK1" s="2994"/>
      <c r="DL1" s="2994"/>
      <c r="DM1" s="2994"/>
      <c r="DN1" s="2994"/>
      <c r="DO1" s="2994"/>
      <c r="DP1" s="2994"/>
      <c r="DQ1" s="2994"/>
      <c r="DR1" s="2994"/>
      <c r="DS1" s="2994"/>
      <c r="DT1" s="2994"/>
      <c r="DU1" s="2994"/>
      <c r="DV1" s="2994"/>
      <c r="DW1" s="2994"/>
      <c r="DX1" s="2994"/>
      <c r="DY1" s="2994"/>
      <c r="DZ1" s="2994"/>
      <c r="EA1" s="2994"/>
      <c r="EB1" s="2994"/>
      <c r="EC1" s="2994"/>
      <c r="ED1" s="2994"/>
      <c r="EE1" s="2994"/>
      <c r="EF1" s="2994"/>
      <c r="EG1" s="2994"/>
      <c r="EH1" s="2994"/>
      <c r="EI1" s="2994"/>
      <c r="EJ1" s="2994"/>
      <c r="EK1" s="2994"/>
      <c r="EL1" s="2994"/>
      <c r="EM1" s="2994"/>
      <c r="EN1" s="2994"/>
      <c r="EO1" s="2994"/>
      <c r="EP1" s="2994"/>
      <c r="EQ1" s="2994"/>
      <c r="ER1" s="2994"/>
      <c r="ES1" s="2994"/>
      <c r="ET1" s="2994"/>
      <c r="EU1" s="2994"/>
      <c r="EV1" s="2994"/>
      <c r="EW1" s="2994"/>
      <c r="EX1" s="2994"/>
      <c r="EY1" s="2994"/>
      <c r="EZ1" s="2994"/>
      <c r="FA1" s="2994"/>
      <c r="FB1" s="2994"/>
      <c r="FC1" s="2994"/>
      <c r="FD1" s="2994"/>
      <c r="FE1" s="2994"/>
      <c r="FF1" s="2994"/>
      <c r="FG1" s="2994"/>
      <c r="FH1" s="2994"/>
      <c r="FI1" s="2994"/>
      <c r="FJ1" s="2994"/>
      <c r="FK1" s="2994"/>
      <c r="FL1" s="2994"/>
      <c r="FM1" s="2994"/>
      <c r="FN1" s="2994"/>
      <c r="FO1" s="2994"/>
      <c r="FP1" s="2994"/>
      <c r="FQ1" s="2994"/>
      <c r="FR1" s="2994"/>
      <c r="FS1" s="2994"/>
      <c r="FT1" s="2994"/>
      <c r="FU1" s="2994"/>
      <c r="FV1" s="2994"/>
      <c r="FW1" s="2994"/>
      <c r="FX1" s="2994"/>
      <c r="FY1" s="2994"/>
      <c r="FZ1" s="2994"/>
      <c r="GA1" s="2994"/>
      <c r="GB1" s="2994"/>
      <c r="GC1" s="2994"/>
      <c r="GD1" s="2994"/>
      <c r="GE1" s="2994"/>
      <c r="GF1" s="2994"/>
      <c r="GG1" s="2994"/>
      <c r="GH1" s="2994"/>
      <c r="GI1" s="2994"/>
      <c r="GJ1" s="2994"/>
      <c r="GK1" s="2994"/>
      <c r="GL1" s="2994"/>
      <c r="GM1" s="2994"/>
      <c r="GN1" s="2994"/>
      <c r="GO1" s="2994"/>
      <c r="GP1" s="2994"/>
      <c r="GQ1" s="2994"/>
      <c r="GR1" s="2994"/>
      <c r="GS1" s="2994"/>
      <c r="GT1" s="2994"/>
      <c r="GU1" s="2994"/>
      <c r="GV1" s="2994"/>
      <c r="GW1" s="2994"/>
      <c r="GX1" s="2994"/>
      <c r="GY1" s="2994"/>
      <c r="GZ1" s="2994"/>
      <c r="HA1" s="2994"/>
      <c r="HB1" s="2994"/>
      <c r="HC1" s="2994"/>
      <c r="HD1" s="2994"/>
      <c r="HE1" s="2994"/>
      <c r="HF1" s="2994"/>
      <c r="HG1" s="2994"/>
      <c r="HH1" s="2994"/>
      <c r="HI1" s="2994"/>
      <c r="HJ1" s="2994"/>
      <c r="HK1" s="2994"/>
      <c r="HL1" s="2994"/>
      <c r="HM1" s="2994"/>
      <c r="HN1" s="2994"/>
      <c r="HO1" s="2994"/>
      <c r="HP1" s="2994"/>
      <c r="HQ1" s="2994"/>
      <c r="HR1" s="2994"/>
      <c r="HS1" s="2994"/>
      <c r="HT1" s="2994"/>
      <c r="HU1" s="2994"/>
      <c r="HV1" s="2994"/>
      <c r="HW1" s="2994"/>
      <c r="HX1" s="2994"/>
      <c r="HY1" s="2994"/>
      <c r="HZ1" s="2994"/>
      <c r="IA1" s="2994"/>
      <c r="IB1" s="2994"/>
      <c r="IC1" s="2994"/>
      <c r="ID1" s="2994"/>
      <c r="IE1" s="2994"/>
      <c r="IF1" s="2994"/>
      <c r="IG1" s="2994"/>
      <c r="IH1" s="2994"/>
      <c r="II1" s="2994"/>
      <c r="IJ1" s="2994"/>
      <c r="IK1" s="2994"/>
      <c r="IL1" s="2994"/>
      <c r="IM1" s="2994"/>
      <c r="IN1" s="2994"/>
      <c r="IO1" s="2994"/>
      <c r="IP1" s="2994"/>
      <c r="IQ1" s="2994"/>
      <c r="IR1" s="2994"/>
      <c r="IS1" s="2994"/>
      <c r="IT1" s="2994"/>
      <c r="IU1" s="2994"/>
      <c r="IV1" s="2994"/>
    </row>
    <row r="2" spans="1:257" s="2992" customFormat="1" ht="15" thickTop="1" thickBot="1">
      <c r="A2" s="2936"/>
      <c r="B2" s="2997" t="s">
        <v>2818</v>
      </c>
      <c r="C2" s="3001">
        <f>'数据-取费表'!B22</f>
        <v>1.5</v>
      </c>
      <c r="D2" s="2996" t="s">
        <v>2788</v>
      </c>
      <c r="E2" s="2999">
        <f ca="1">INDIRECT("I"&amp;$I$1)/100</f>
        <v>4.7500000000000001E-2</v>
      </c>
      <c r="G2" s="2936"/>
      <c r="H2" s="2936"/>
      <c r="I2" s="2936" t="s">
        <v>2789</v>
      </c>
      <c r="K2" s="2936"/>
      <c r="L2" s="2936"/>
      <c r="M2" s="2936"/>
      <c r="N2" s="2936" t="s">
        <v>2790</v>
      </c>
      <c r="O2" s="2936"/>
      <c r="P2" s="2936"/>
      <c r="Q2" s="2936"/>
      <c r="R2" s="2936"/>
      <c r="S2" s="2936"/>
      <c r="T2" s="2936"/>
      <c r="U2" s="2936"/>
      <c r="V2" s="2936"/>
      <c r="W2" s="2936"/>
      <c r="X2" s="2936"/>
      <c r="Y2" s="2936"/>
      <c r="Z2" s="2936"/>
      <c r="AA2" s="2936"/>
      <c r="AB2" s="2936"/>
      <c r="AC2" s="2936"/>
      <c r="AD2" s="2936"/>
      <c r="AE2" s="2936"/>
      <c r="AF2" s="2936"/>
      <c r="AG2" s="2936"/>
      <c r="AH2" s="2936"/>
      <c r="AI2" s="2936"/>
      <c r="AJ2" s="2936"/>
      <c r="AK2" s="2936"/>
      <c r="AL2" s="2936"/>
      <c r="AM2" s="2936"/>
      <c r="AN2" s="2936"/>
      <c r="AO2" s="2936"/>
      <c r="AP2" s="2936"/>
      <c r="AQ2" s="2936"/>
      <c r="AR2" s="2936"/>
      <c r="AS2" s="2936"/>
      <c r="AT2" s="2936"/>
      <c r="AU2" s="2936"/>
      <c r="AV2" s="2936"/>
      <c r="AW2" s="2936"/>
      <c r="AX2" s="2936"/>
      <c r="AY2" s="2936"/>
      <c r="AZ2" s="2936"/>
      <c r="BA2" s="2936"/>
      <c r="BB2" s="2936"/>
      <c r="BC2" s="2936"/>
      <c r="BD2" s="2936"/>
      <c r="BE2" s="2936"/>
      <c r="BF2" s="2936"/>
      <c r="BG2" s="2936"/>
      <c r="BH2" s="2936"/>
      <c r="BI2" s="2936"/>
      <c r="BJ2" s="2936"/>
      <c r="BK2" s="2936"/>
      <c r="BL2" s="2936"/>
      <c r="BM2" s="2936"/>
      <c r="BN2" s="2936"/>
      <c r="BO2" s="2936"/>
      <c r="BP2" s="2936"/>
      <c r="BQ2" s="2936"/>
      <c r="BR2" s="2936"/>
      <c r="BS2" s="2936"/>
      <c r="BT2" s="2936"/>
      <c r="BU2" s="2936"/>
      <c r="BV2" s="2936"/>
      <c r="BW2" s="2936"/>
      <c r="BX2" s="2936"/>
      <c r="BY2" s="2936"/>
      <c r="BZ2" s="2936"/>
      <c r="CA2" s="2936"/>
      <c r="CB2" s="2936"/>
      <c r="CC2" s="2936"/>
      <c r="CD2" s="2936"/>
      <c r="CE2" s="2936"/>
      <c r="CF2" s="2936"/>
      <c r="CG2" s="2936"/>
      <c r="CH2" s="2936"/>
      <c r="CI2" s="2936"/>
      <c r="CJ2" s="2936"/>
      <c r="CK2" s="2936"/>
      <c r="CL2" s="2936"/>
      <c r="CM2" s="2936"/>
      <c r="CN2" s="2936"/>
      <c r="CO2" s="2936"/>
      <c r="CP2" s="2936"/>
      <c r="CQ2" s="2936"/>
      <c r="CR2" s="2936"/>
      <c r="CS2" s="2936"/>
      <c r="CT2" s="2936"/>
      <c r="CU2" s="2936"/>
      <c r="CV2" s="2936"/>
      <c r="CW2" s="2936"/>
      <c r="CX2" s="2936"/>
      <c r="CY2" s="2936"/>
      <c r="CZ2" s="2936"/>
      <c r="DA2" s="2936"/>
      <c r="DB2" s="2936"/>
      <c r="DC2" s="2936"/>
      <c r="DD2" s="2936"/>
      <c r="DE2" s="2936"/>
      <c r="DF2" s="2936"/>
      <c r="DG2" s="2936"/>
      <c r="DH2" s="2936"/>
      <c r="DI2" s="2936"/>
      <c r="DJ2" s="2936"/>
      <c r="DK2" s="2936"/>
      <c r="DL2" s="2936"/>
      <c r="DM2" s="2936"/>
      <c r="DN2" s="2936"/>
      <c r="DO2" s="2936"/>
      <c r="DP2" s="2936"/>
      <c r="DQ2" s="2936"/>
      <c r="DR2" s="2936"/>
      <c r="DS2" s="2936"/>
      <c r="DT2" s="2936"/>
      <c r="DU2" s="2936"/>
      <c r="DV2" s="2936"/>
      <c r="DW2" s="2936"/>
      <c r="DX2" s="2936"/>
      <c r="DY2" s="2936"/>
      <c r="DZ2" s="2936"/>
      <c r="EA2" s="2936"/>
      <c r="EB2" s="2936"/>
      <c r="EC2" s="2936"/>
      <c r="ED2" s="2936"/>
      <c r="EE2" s="2936"/>
      <c r="EF2" s="2936"/>
      <c r="EG2" s="2936"/>
      <c r="EH2" s="2936"/>
      <c r="EI2" s="2936"/>
      <c r="EJ2" s="2936"/>
      <c r="EK2" s="2936"/>
      <c r="EL2" s="2936"/>
      <c r="EM2" s="2936"/>
      <c r="EN2" s="2936"/>
      <c r="EO2" s="2936"/>
      <c r="EP2" s="2936"/>
      <c r="EQ2" s="2936"/>
      <c r="ER2" s="2936"/>
      <c r="ES2" s="2936"/>
      <c r="ET2" s="2936"/>
      <c r="EU2" s="2936"/>
      <c r="EV2" s="2936"/>
      <c r="EW2" s="2936"/>
      <c r="EX2" s="2936"/>
      <c r="EY2" s="2936"/>
      <c r="EZ2" s="2936"/>
      <c r="FA2" s="2936"/>
      <c r="FB2" s="2936"/>
      <c r="FC2" s="2936"/>
      <c r="FD2" s="2936"/>
      <c r="FE2" s="2936"/>
      <c r="FF2" s="2936"/>
      <c r="FG2" s="2936"/>
      <c r="FH2" s="2936"/>
      <c r="FI2" s="2936"/>
      <c r="FJ2" s="2936"/>
      <c r="FK2" s="2936"/>
      <c r="FL2" s="2936"/>
      <c r="FM2" s="2936"/>
      <c r="FN2" s="2936"/>
      <c r="FO2" s="2936"/>
      <c r="FP2" s="2936"/>
      <c r="FQ2" s="2936"/>
      <c r="FR2" s="2936"/>
      <c r="FS2" s="2936"/>
      <c r="FT2" s="2936"/>
      <c r="FU2" s="2936"/>
      <c r="FV2" s="2936"/>
      <c r="FW2" s="2936"/>
      <c r="FX2" s="2936"/>
      <c r="FY2" s="2936"/>
      <c r="FZ2" s="2936"/>
      <c r="GA2" s="2936"/>
      <c r="GB2" s="2936"/>
      <c r="GC2" s="2936"/>
      <c r="GD2" s="2936"/>
      <c r="GE2" s="2936"/>
      <c r="GF2" s="2936"/>
      <c r="GG2" s="2936"/>
      <c r="GH2" s="2936"/>
      <c r="GI2" s="2936"/>
      <c r="GJ2" s="2936"/>
      <c r="GK2" s="2936"/>
      <c r="GL2" s="2936"/>
      <c r="GM2" s="2936"/>
      <c r="GN2" s="2936"/>
      <c r="GO2" s="2936"/>
      <c r="GP2" s="2936"/>
      <c r="GQ2" s="2936"/>
      <c r="GR2" s="2936"/>
      <c r="GS2" s="2936"/>
      <c r="GT2" s="2936"/>
      <c r="GU2" s="2936"/>
      <c r="GV2" s="2936"/>
      <c r="GW2" s="2936"/>
      <c r="GX2" s="2936"/>
      <c r="GY2" s="2936"/>
      <c r="GZ2" s="2936"/>
      <c r="HA2" s="2936"/>
      <c r="HB2" s="2936"/>
      <c r="HC2" s="2936"/>
      <c r="HD2" s="2936"/>
      <c r="HE2" s="2936"/>
      <c r="HF2" s="2936"/>
      <c r="HG2" s="2936"/>
      <c r="HH2" s="2936"/>
      <c r="HI2" s="2936"/>
      <c r="HJ2" s="2936"/>
      <c r="HK2" s="2936"/>
      <c r="HL2" s="2936"/>
      <c r="HM2" s="2936"/>
      <c r="HN2" s="2936"/>
      <c r="HO2" s="2936"/>
      <c r="HP2" s="2936"/>
      <c r="HQ2" s="2936"/>
      <c r="HR2" s="2936"/>
      <c r="HS2" s="2936"/>
      <c r="HT2" s="2936"/>
      <c r="HU2" s="2936"/>
      <c r="HV2" s="2936"/>
      <c r="HW2" s="2936"/>
      <c r="HX2" s="2936"/>
      <c r="HY2" s="2936"/>
      <c r="HZ2" s="2936"/>
      <c r="IA2" s="2936"/>
      <c r="IB2" s="2936"/>
      <c r="IC2" s="2936"/>
      <c r="ID2" s="2936"/>
      <c r="IE2" s="2936"/>
      <c r="IF2" s="2936"/>
      <c r="IG2" s="2936"/>
      <c r="IH2" s="2936"/>
      <c r="II2" s="2936"/>
      <c r="IJ2" s="2936"/>
      <c r="IK2" s="2936"/>
      <c r="IL2" s="2936"/>
      <c r="IM2" s="2936"/>
      <c r="IN2" s="2936"/>
      <c r="IO2" s="2936"/>
      <c r="IP2" s="2936"/>
      <c r="IQ2" s="2936"/>
      <c r="IR2" s="2936"/>
      <c r="IS2" s="2936"/>
      <c r="IT2" s="2936"/>
      <c r="IU2" s="2936"/>
      <c r="IV2" s="2936"/>
      <c r="IW2" s="2936"/>
    </row>
    <row r="3" spans="1:257" s="2992" customFormat="1">
      <c r="A3" s="2937"/>
      <c r="B3" s="2996" t="s">
        <v>2820</v>
      </c>
      <c r="C3" s="2998">
        <f>'数据-取费表'!B19</f>
        <v>0</v>
      </c>
      <c r="D3" s="2996" t="s">
        <v>2788</v>
      </c>
      <c r="E3" s="2999">
        <f ca="1">INDIRECT("J"&amp;$J$1)/100</f>
        <v>0</v>
      </c>
      <c r="G3" s="2938" t="s">
        <v>2791</v>
      </c>
      <c r="H3" s="2939">
        <v>0</v>
      </c>
      <c r="I3" s="2940">
        <f ca="1">INDIRECT("d"&amp;$H$1)</f>
        <v>4.3499999999999996</v>
      </c>
      <c r="J3" s="2940">
        <f ca="1">INDIRECT("d"&amp;$H$1)</f>
        <v>4.3499999999999996</v>
      </c>
      <c r="K3" s="2937"/>
      <c r="L3" s="2937"/>
      <c r="M3" s="2941">
        <v>0.5</v>
      </c>
      <c r="N3" s="2942">
        <f ca="1">INDIRECT("p"&amp;$N$1)</f>
        <v>1.3</v>
      </c>
      <c r="O3" s="2937"/>
      <c r="P3" s="2937"/>
      <c r="Q3" s="2937"/>
      <c r="R3" s="2937"/>
      <c r="S3" s="2937"/>
      <c r="T3" s="2937"/>
      <c r="U3" s="2937"/>
      <c r="V3" s="2937"/>
      <c r="W3" s="2937"/>
      <c r="X3" s="2937"/>
      <c r="Y3" s="2937"/>
      <c r="Z3" s="2937"/>
      <c r="AA3" s="2937"/>
      <c r="AB3" s="2937"/>
      <c r="AC3" s="2937"/>
      <c r="AD3" s="2937"/>
      <c r="AE3" s="2937"/>
      <c r="AF3" s="2937"/>
      <c r="AG3" s="2937"/>
      <c r="AH3" s="2937"/>
      <c r="AI3" s="2937"/>
      <c r="AJ3" s="2937"/>
      <c r="AK3" s="2937"/>
      <c r="AL3" s="2937"/>
      <c r="AM3" s="2937"/>
      <c r="AN3" s="2937"/>
      <c r="AO3" s="2937"/>
      <c r="AP3" s="2937"/>
      <c r="AQ3" s="2937"/>
      <c r="AR3" s="2937"/>
      <c r="AS3" s="2937"/>
      <c r="AT3" s="2937"/>
      <c r="AU3" s="2937"/>
      <c r="AV3" s="2937"/>
      <c r="AW3" s="2937"/>
      <c r="AX3" s="2937"/>
      <c r="AY3" s="2937"/>
      <c r="AZ3" s="2937"/>
      <c r="BA3" s="2937"/>
      <c r="BB3" s="2937"/>
      <c r="BC3" s="2937"/>
      <c r="BD3" s="2937"/>
      <c r="BE3" s="2937"/>
      <c r="BF3" s="2937"/>
      <c r="BG3" s="2937"/>
      <c r="BH3" s="2937"/>
      <c r="BI3" s="2937"/>
      <c r="BJ3" s="2937"/>
      <c r="BK3" s="2937"/>
      <c r="BL3" s="2937"/>
      <c r="BM3" s="2937"/>
      <c r="BN3" s="2937"/>
      <c r="BO3" s="2937"/>
      <c r="BP3" s="2937"/>
      <c r="BQ3" s="2937"/>
      <c r="BR3" s="2937"/>
      <c r="BS3" s="2937"/>
      <c r="BT3" s="2937"/>
      <c r="BU3" s="2937"/>
      <c r="BV3" s="2937"/>
      <c r="BW3" s="2937"/>
      <c r="BX3" s="2937"/>
      <c r="BY3" s="2937"/>
      <c r="BZ3" s="2937"/>
      <c r="CA3" s="2937"/>
      <c r="CB3" s="2937"/>
      <c r="CC3" s="2937"/>
      <c r="CD3" s="2937"/>
      <c r="CE3" s="2937"/>
      <c r="CF3" s="2937"/>
      <c r="CG3" s="2937"/>
      <c r="CH3" s="2937"/>
      <c r="CI3" s="2937"/>
      <c r="CJ3" s="2937"/>
      <c r="CK3" s="2937"/>
      <c r="CL3" s="2937"/>
      <c r="CM3" s="2937"/>
      <c r="CN3" s="2937"/>
      <c r="CO3" s="2937"/>
      <c r="CP3" s="2937"/>
      <c r="CQ3" s="2937"/>
      <c r="CR3" s="2937"/>
      <c r="CS3" s="2937"/>
      <c r="CT3" s="2937"/>
      <c r="CU3" s="2937"/>
      <c r="CV3" s="2937"/>
      <c r="CW3" s="2937"/>
      <c r="CX3" s="2937"/>
      <c r="CY3" s="2937"/>
      <c r="CZ3" s="2937"/>
      <c r="DA3" s="2937"/>
      <c r="DB3" s="2937"/>
      <c r="DC3" s="2937"/>
      <c r="DD3" s="2937"/>
      <c r="DE3" s="2937"/>
      <c r="DF3" s="2937"/>
      <c r="DG3" s="2937"/>
      <c r="DH3" s="2937"/>
      <c r="DI3" s="2937"/>
      <c r="DJ3" s="2937"/>
      <c r="DK3" s="2937"/>
      <c r="DL3" s="2937"/>
      <c r="DM3" s="2937"/>
      <c r="DN3" s="2937"/>
      <c r="DO3" s="2937"/>
      <c r="DP3" s="2937"/>
      <c r="DQ3" s="2937"/>
      <c r="DR3" s="2937"/>
      <c r="DS3" s="2937"/>
      <c r="DT3" s="2937"/>
      <c r="DU3" s="2937"/>
      <c r="DV3" s="2937"/>
      <c r="DW3" s="2937"/>
      <c r="DX3" s="2937"/>
      <c r="DY3" s="2937"/>
      <c r="DZ3" s="2937"/>
      <c r="EA3" s="2937"/>
      <c r="EB3" s="2937"/>
      <c r="EC3" s="2937"/>
      <c r="ED3" s="2937"/>
      <c r="EE3" s="2937"/>
      <c r="EF3" s="2937"/>
      <c r="EG3" s="2937"/>
      <c r="EH3" s="2937"/>
      <c r="EI3" s="2937"/>
      <c r="EJ3" s="2937"/>
      <c r="EK3" s="2937"/>
      <c r="EL3" s="2937"/>
      <c r="EM3" s="2937"/>
      <c r="EN3" s="2937"/>
      <c r="EO3" s="2937"/>
      <c r="EP3" s="2937"/>
      <c r="EQ3" s="2937"/>
      <c r="ER3" s="2937"/>
      <c r="ES3" s="2937"/>
      <c r="ET3" s="2937"/>
      <c r="EU3" s="2937"/>
      <c r="EV3" s="2937"/>
      <c r="EW3" s="2937"/>
      <c r="EX3" s="2937"/>
      <c r="EY3" s="2937"/>
      <c r="EZ3" s="2937"/>
      <c r="FA3" s="2937"/>
      <c r="FB3" s="2937"/>
      <c r="FC3" s="2937"/>
      <c r="FD3" s="2937"/>
      <c r="FE3" s="2937"/>
      <c r="FF3" s="2937"/>
      <c r="FG3" s="2937"/>
      <c r="FH3" s="2937"/>
      <c r="FI3" s="2937"/>
      <c r="FJ3" s="2937"/>
      <c r="FK3" s="2937"/>
      <c r="FL3" s="2937"/>
      <c r="FM3" s="2937"/>
      <c r="FN3" s="2937"/>
      <c r="FO3" s="2937"/>
      <c r="FP3" s="2937"/>
      <c r="FQ3" s="2937"/>
      <c r="FR3" s="2937"/>
      <c r="FS3" s="2937"/>
      <c r="FT3" s="2937"/>
      <c r="FU3" s="2937"/>
      <c r="FV3" s="2937"/>
      <c r="FW3" s="2937"/>
      <c r="FX3" s="2937"/>
      <c r="FY3" s="2937"/>
      <c r="FZ3" s="2937"/>
      <c r="GA3" s="2937"/>
      <c r="GB3" s="2937"/>
      <c r="GC3" s="2937"/>
      <c r="GD3" s="2937"/>
      <c r="GE3" s="2937"/>
      <c r="GF3" s="2937"/>
      <c r="GG3" s="2937"/>
      <c r="GH3" s="2937"/>
      <c r="GI3" s="2937"/>
      <c r="GJ3" s="2937"/>
      <c r="GK3" s="2937"/>
      <c r="GL3" s="2937"/>
      <c r="GM3" s="2937"/>
      <c r="GN3" s="2937"/>
      <c r="GO3" s="2937"/>
      <c r="GP3" s="2937"/>
      <c r="GQ3" s="2937"/>
      <c r="GR3" s="2937"/>
      <c r="GS3" s="2937"/>
      <c r="GT3" s="2937"/>
      <c r="GU3" s="2937"/>
      <c r="GV3" s="2937"/>
      <c r="GW3" s="2937"/>
      <c r="GX3" s="2937"/>
      <c r="GY3" s="2937"/>
      <c r="GZ3" s="2937"/>
      <c r="HA3" s="2937"/>
      <c r="HB3" s="2937"/>
      <c r="HC3" s="2937"/>
      <c r="HD3" s="2937"/>
      <c r="HE3" s="2937"/>
      <c r="HF3" s="2937"/>
      <c r="HG3" s="2937"/>
      <c r="HH3" s="2937"/>
      <c r="HI3" s="2937"/>
      <c r="HJ3" s="2937"/>
      <c r="HK3" s="2937"/>
      <c r="HL3" s="2937"/>
      <c r="HM3" s="2937"/>
      <c r="HN3" s="2937"/>
      <c r="HO3" s="2937"/>
      <c r="HP3" s="2937"/>
      <c r="HQ3" s="2937"/>
      <c r="HR3" s="2937"/>
      <c r="HS3" s="2937"/>
      <c r="HT3" s="2937"/>
      <c r="HU3" s="2937"/>
      <c r="HV3" s="2937"/>
      <c r="HW3" s="2937"/>
      <c r="HX3" s="2937"/>
      <c r="HY3" s="2937"/>
      <c r="HZ3" s="2937"/>
      <c r="IA3" s="2937"/>
      <c r="IB3" s="2937"/>
      <c r="IC3" s="2937"/>
      <c r="ID3" s="2937"/>
      <c r="IE3" s="2937"/>
      <c r="IF3" s="2937"/>
      <c r="IG3" s="2937"/>
      <c r="IH3" s="2937"/>
      <c r="II3" s="2937"/>
      <c r="IJ3" s="2937"/>
      <c r="IK3" s="2937"/>
      <c r="IL3" s="2937"/>
      <c r="IM3" s="2937"/>
      <c r="IN3" s="2937"/>
      <c r="IO3" s="2937"/>
      <c r="IP3" s="2937"/>
      <c r="IQ3" s="2937"/>
      <c r="IR3" s="2937"/>
      <c r="IS3" s="2937"/>
      <c r="IT3" s="2937"/>
      <c r="IU3" s="2937"/>
      <c r="IV3" s="2937"/>
    </row>
    <row r="4" spans="1:257" s="2992" customFormat="1">
      <c r="A4" s="2937"/>
      <c r="B4" s="2996" t="s">
        <v>2819</v>
      </c>
      <c r="C4" s="2999">
        <f ca="1">N4/100</f>
        <v>1.4999999999999999E-2</v>
      </c>
      <c r="G4" s="2944" t="s">
        <v>2792</v>
      </c>
      <c r="H4" s="2945">
        <v>0.5</v>
      </c>
      <c r="I4" s="2946">
        <f ca="1">INDIRECT("e"&amp;$H$1)</f>
        <v>4.3499999999999996</v>
      </c>
      <c r="J4" s="2946">
        <f ca="1">INDIRECT("e"&amp;$H$1)</f>
        <v>4.3499999999999996</v>
      </c>
      <c r="K4" s="2937"/>
      <c r="L4" s="2937"/>
      <c r="M4" s="2947">
        <v>1</v>
      </c>
      <c r="N4" s="2948">
        <f ca="1">INDIRECT("q"&amp;$N$1)</f>
        <v>1.5</v>
      </c>
      <c r="O4" s="2937"/>
      <c r="P4" s="2937"/>
      <c r="Q4" s="2937"/>
      <c r="R4" s="2937"/>
      <c r="S4" s="2937"/>
      <c r="T4" s="2937"/>
      <c r="U4" s="2937"/>
      <c r="V4" s="2937"/>
      <c r="W4" s="2937"/>
      <c r="X4" s="2937"/>
      <c r="Y4" s="2937"/>
      <c r="Z4" s="2937"/>
      <c r="AA4" s="2937"/>
      <c r="AB4" s="2937"/>
      <c r="AC4" s="2937"/>
      <c r="AD4" s="2937"/>
      <c r="AE4" s="2937"/>
      <c r="AF4" s="2937"/>
      <c r="AG4" s="2937"/>
      <c r="AH4" s="2937"/>
      <c r="AI4" s="2937"/>
      <c r="AJ4" s="2937"/>
      <c r="AK4" s="2937"/>
      <c r="AL4" s="2937"/>
      <c r="AM4" s="2937"/>
      <c r="AN4" s="2937"/>
      <c r="AO4" s="2937"/>
      <c r="AP4" s="2937"/>
      <c r="AQ4" s="2937"/>
      <c r="AR4" s="2937"/>
      <c r="AS4" s="2937"/>
      <c r="AT4" s="2937"/>
      <c r="AU4" s="2937"/>
      <c r="AV4" s="2937"/>
      <c r="AW4" s="2937"/>
      <c r="AX4" s="2937"/>
      <c r="AY4" s="2937"/>
      <c r="AZ4" s="2937"/>
      <c r="BA4" s="2937"/>
      <c r="BB4" s="2937"/>
      <c r="BC4" s="2937"/>
      <c r="BD4" s="2937"/>
      <c r="BE4" s="2937"/>
      <c r="BF4" s="2937"/>
      <c r="BG4" s="2937"/>
      <c r="BH4" s="2937"/>
      <c r="BI4" s="2937"/>
      <c r="BJ4" s="2937"/>
      <c r="BK4" s="2937"/>
      <c r="BL4" s="2937"/>
      <c r="BM4" s="2937"/>
      <c r="BN4" s="2937"/>
      <c r="BO4" s="2937"/>
      <c r="BP4" s="2937"/>
      <c r="BQ4" s="2937"/>
      <c r="BR4" s="2937"/>
      <c r="BS4" s="2937"/>
      <c r="BT4" s="2937"/>
      <c r="BU4" s="2937"/>
      <c r="BV4" s="2937"/>
      <c r="BW4" s="2937"/>
      <c r="BX4" s="2937"/>
      <c r="BY4" s="2937"/>
      <c r="BZ4" s="2937"/>
      <c r="CA4" s="2937"/>
      <c r="CB4" s="2937"/>
      <c r="CC4" s="2937"/>
      <c r="CD4" s="2937"/>
      <c r="CE4" s="2937"/>
      <c r="CF4" s="2937"/>
      <c r="CG4" s="2937"/>
      <c r="CH4" s="2937"/>
      <c r="CI4" s="2937"/>
      <c r="CJ4" s="2937"/>
      <c r="CK4" s="2937"/>
      <c r="CL4" s="2937"/>
      <c r="CM4" s="2937"/>
      <c r="CN4" s="2937"/>
      <c r="CO4" s="2937"/>
      <c r="CP4" s="2937"/>
      <c r="CQ4" s="2937"/>
      <c r="CR4" s="2937"/>
      <c r="CS4" s="2937"/>
      <c r="CT4" s="2937"/>
      <c r="CU4" s="2937"/>
      <c r="CV4" s="2937"/>
      <c r="CW4" s="2937"/>
      <c r="CX4" s="2937"/>
      <c r="CY4" s="2937"/>
      <c r="CZ4" s="2937"/>
      <c r="DA4" s="2937"/>
      <c r="DB4" s="2937"/>
      <c r="DC4" s="2937"/>
      <c r="DD4" s="2937"/>
      <c r="DE4" s="2937"/>
      <c r="DF4" s="2937"/>
      <c r="DG4" s="2937"/>
      <c r="DH4" s="2937"/>
      <c r="DI4" s="2937"/>
      <c r="DJ4" s="2937"/>
      <c r="DK4" s="2937"/>
      <c r="DL4" s="2937"/>
      <c r="DM4" s="2937"/>
      <c r="DN4" s="2937"/>
      <c r="DO4" s="2937"/>
      <c r="DP4" s="2937"/>
      <c r="DQ4" s="2937"/>
      <c r="DR4" s="2937"/>
      <c r="DS4" s="2937"/>
      <c r="DT4" s="2937"/>
      <c r="DU4" s="2937"/>
      <c r="DV4" s="2937"/>
      <c r="DW4" s="2937"/>
      <c r="DX4" s="2937"/>
      <c r="DY4" s="2937"/>
      <c r="DZ4" s="2937"/>
      <c r="EA4" s="2937"/>
      <c r="EB4" s="2937"/>
      <c r="EC4" s="2937"/>
      <c r="ED4" s="2937"/>
      <c r="EE4" s="2937"/>
      <c r="EF4" s="2937"/>
      <c r="EG4" s="2937"/>
      <c r="EH4" s="2937"/>
      <c r="EI4" s="2937"/>
      <c r="EJ4" s="2937"/>
      <c r="EK4" s="2937"/>
      <c r="EL4" s="2937"/>
      <c r="EM4" s="2937"/>
      <c r="EN4" s="2937"/>
      <c r="EO4" s="2937"/>
      <c r="EP4" s="2937"/>
      <c r="EQ4" s="2937"/>
      <c r="ER4" s="2937"/>
      <c r="ES4" s="2937"/>
      <c r="ET4" s="2937"/>
      <c r="EU4" s="2937"/>
      <c r="EV4" s="2937"/>
      <c r="EW4" s="2937"/>
      <c r="EX4" s="2937"/>
      <c r="EY4" s="2937"/>
      <c r="EZ4" s="2937"/>
      <c r="FA4" s="2937"/>
      <c r="FB4" s="2937"/>
      <c r="FC4" s="2937"/>
      <c r="FD4" s="2937"/>
      <c r="FE4" s="2937"/>
      <c r="FF4" s="2937"/>
      <c r="FG4" s="2937"/>
      <c r="FH4" s="2937"/>
      <c r="FI4" s="2937"/>
      <c r="FJ4" s="2937"/>
      <c r="FK4" s="2937"/>
      <c r="FL4" s="2937"/>
      <c r="FM4" s="2937"/>
      <c r="FN4" s="2937"/>
      <c r="FO4" s="2937"/>
      <c r="FP4" s="2937"/>
      <c r="FQ4" s="2937"/>
      <c r="FR4" s="2937"/>
      <c r="FS4" s="2937"/>
      <c r="FT4" s="2937"/>
      <c r="FU4" s="2937"/>
      <c r="FV4" s="2937"/>
      <c r="FW4" s="2937"/>
      <c r="FX4" s="2937"/>
      <c r="FY4" s="2937"/>
      <c r="FZ4" s="2937"/>
      <c r="GA4" s="2937"/>
      <c r="GB4" s="2937"/>
      <c r="GC4" s="2937"/>
      <c r="GD4" s="2937"/>
      <c r="GE4" s="2937"/>
      <c r="GF4" s="2937"/>
      <c r="GG4" s="2937"/>
      <c r="GH4" s="2937"/>
      <c r="GI4" s="2937"/>
      <c r="GJ4" s="2937"/>
      <c r="GK4" s="2937"/>
      <c r="GL4" s="2937"/>
      <c r="GM4" s="2937"/>
      <c r="GN4" s="2937"/>
      <c r="GO4" s="2937"/>
      <c r="GP4" s="2937"/>
      <c r="GQ4" s="2937"/>
      <c r="GR4" s="2937"/>
      <c r="GS4" s="2937"/>
      <c r="GT4" s="2937"/>
      <c r="GU4" s="2937"/>
      <c r="GV4" s="2937"/>
      <c r="GW4" s="2937"/>
      <c r="GX4" s="2937"/>
      <c r="GY4" s="2937"/>
      <c r="GZ4" s="2937"/>
      <c r="HA4" s="2937"/>
      <c r="HB4" s="2937"/>
      <c r="HC4" s="2937"/>
      <c r="HD4" s="2937"/>
      <c r="HE4" s="2937"/>
      <c r="HF4" s="2937"/>
      <c r="HG4" s="2937"/>
      <c r="HH4" s="2937"/>
      <c r="HI4" s="2937"/>
      <c r="HJ4" s="2937"/>
      <c r="HK4" s="2937"/>
      <c r="HL4" s="2937"/>
      <c r="HM4" s="2937"/>
      <c r="HN4" s="2937"/>
      <c r="HO4" s="2937"/>
      <c r="HP4" s="2937"/>
      <c r="HQ4" s="2937"/>
      <c r="HR4" s="2937"/>
      <c r="HS4" s="2937"/>
      <c r="HT4" s="2937"/>
      <c r="HU4" s="2937"/>
      <c r="HV4" s="2937"/>
      <c r="HW4" s="2937"/>
      <c r="HX4" s="2937"/>
      <c r="HY4" s="2937"/>
      <c r="HZ4" s="2937"/>
      <c r="IA4" s="2937"/>
      <c r="IB4" s="2937"/>
      <c r="IC4" s="2937"/>
      <c r="ID4" s="2937"/>
      <c r="IE4" s="2937"/>
      <c r="IF4" s="2937"/>
      <c r="IG4" s="2937"/>
      <c r="IH4" s="2937"/>
      <c r="II4" s="2937"/>
      <c r="IJ4" s="2937"/>
      <c r="IK4" s="2937"/>
      <c r="IL4" s="2937"/>
      <c r="IM4" s="2937"/>
      <c r="IN4" s="2937"/>
      <c r="IO4" s="2937"/>
      <c r="IP4" s="2937"/>
      <c r="IQ4" s="2937"/>
      <c r="IR4" s="2937"/>
      <c r="IS4" s="2937"/>
      <c r="IT4" s="2937"/>
      <c r="IU4" s="2937"/>
      <c r="IV4" s="2937"/>
    </row>
    <row r="5" spans="1:257" s="2992" customFormat="1">
      <c r="A5" s="2937"/>
      <c r="G5" s="2944" t="s">
        <v>2793</v>
      </c>
      <c r="H5" s="2945">
        <v>1</v>
      </c>
      <c r="I5" s="2946">
        <f ca="1">INDIRECT("f"&amp;$H$1)</f>
        <v>4.75</v>
      </c>
      <c r="J5" s="2946">
        <f ca="1">INDIRECT("f"&amp;$H$1)</f>
        <v>4.75</v>
      </c>
      <c r="K5" s="2937"/>
      <c r="L5" s="2937"/>
      <c r="M5" s="2947">
        <v>2</v>
      </c>
      <c r="N5" s="2948">
        <f ca="1">INDIRECT("r"&amp;$N$1)</f>
        <v>2.1</v>
      </c>
      <c r="O5" s="2937"/>
      <c r="P5" s="2937"/>
      <c r="Q5" s="2937"/>
      <c r="R5" s="2937"/>
      <c r="S5" s="2937"/>
      <c r="T5" s="2937"/>
      <c r="U5" s="2937"/>
      <c r="V5" s="2937"/>
      <c r="W5" s="2937"/>
      <c r="X5" s="2937"/>
      <c r="Y5" s="2937"/>
      <c r="Z5" s="2937"/>
      <c r="AA5" s="2937"/>
      <c r="AB5" s="2937"/>
      <c r="AC5" s="2937"/>
      <c r="AD5" s="2937"/>
      <c r="AE5" s="2937"/>
      <c r="AF5" s="2937"/>
      <c r="AG5" s="2937"/>
      <c r="AH5" s="2937"/>
      <c r="AI5" s="2937"/>
      <c r="AJ5" s="2937"/>
      <c r="AK5" s="2937"/>
      <c r="AL5" s="2937"/>
      <c r="AM5" s="2937"/>
      <c r="AN5" s="2937"/>
      <c r="AO5" s="2937"/>
      <c r="AP5" s="2937"/>
      <c r="AQ5" s="2937"/>
      <c r="AR5" s="2937"/>
      <c r="AS5" s="2937"/>
      <c r="AT5" s="2937"/>
      <c r="AU5" s="2937"/>
      <c r="AV5" s="2937"/>
      <c r="AW5" s="2937"/>
      <c r="AX5" s="2937"/>
      <c r="AY5" s="2937"/>
      <c r="AZ5" s="2937"/>
      <c r="BA5" s="2937"/>
      <c r="BB5" s="2937"/>
      <c r="BC5" s="2937"/>
      <c r="BD5" s="2937"/>
      <c r="BE5" s="2937"/>
      <c r="BF5" s="2937"/>
      <c r="BG5" s="2937"/>
      <c r="BH5" s="2937"/>
      <c r="BI5" s="2937"/>
      <c r="BJ5" s="2937"/>
      <c r="BK5" s="2937"/>
      <c r="BL5" s="2937"/>
      <c r="BM5" s="2937"/>
      <c r="BN5" s="2937"/>
      <c r="BO5" s="2937"/>
      <c r="BP5" s="2937"/>
      <c r="BQ5" s="2937"/>
      <c r="BR5" s="2937"/>
      <c r="BS5" s="2937"/>
      <c r="BT5" s="2937"/>
      <c r="BU5" s="2937"/>
      <c r="BV5" s="2937"/>
      <c r="BW5" s="2937"/>
      <c r="BX5" s="2937"/>
      <c r="BY5" s="2937"/>
      <c r="BZ5" s="2937"/>
      <c r="CA5" s="2937"/>
      <c r="CB5" s="2937"/>
      <c r="CC5" s="2937"/>
      <c r="CD5" s="2937"/>
      <c r="CE5" s="2937"/>
      <c r="CF5" s="2937"/>
      <c r="CG5" s="2937"/>
      <c r="CH5" s="2937"/>
      <c r="CI5" s="2937"/>
      <c r="CJ5" s="2937"/>
      <c r="CK5" s="2937"/>
      <c r="CL5" s="2937"/>
      <c r="CM5" s="2937"/>
      <c r="CN5" s="2937"/>
      <c r="CO5" s="2937"/>
      <c r="CP5" s="2937"/>
      <c r="CQ5" s="2937"/>
      <c r="CR5" s="2937"/>
      <c r="CS5" s="2937"/>
      <c r="CT5" s="2937"/>
      <c r="CU5" s="2937"/>
      <c r="CV5" s="2937"/>
      <c r="CW5" s="2937"/>
      <c r="CX5" s="2937"/>
      <c r="CY5" s="2937"/>
      <c r="CZ5" s="2937"/>
      <c r="DA5" s="2937"/>
      <c r="DB5" s="2937"/>
      <c r="DC5" s="2937"/>
      <c r="DD5" s="2937"/>
      <c r="DE5" s="2937"/>
      <c r="DF5" s="2937"/>
      <c r="DG5" s="2937"/>
      <c r="DH5" s="2937"/>
      <c r="DI5" s="2937"/>
      <c r="DJ5" s="2937"/>
      <c r="DK5" s="2937"/>
      <c r="DL5" s="2937"/>
      <c r="DM5" s="2937"/>
      <c r="DN5" s="2937"/>
      <c r="DO5" s="2937"/>
      <c r="DP5" s="2937"/>
      <c r="DQ5" s="2937"/>
      <c r="DR5" s="2937"/>
      <c r="DS5" s="2937"/>
      <c r="DT5" s="2937"/>
      <c r="DU5" s="2937"/>
      <c r="DV5" s="2937"/>
      <c r="DW5" s="2937"/>
      <c r="DX5" s="2937"/>
      <c r="DY5" s="2937"/>
      <c r="DZ5" s="2937"/>
      <c r="EA5" s="2937"/>
      <c r="EB5" s="2937"/>
      <c r="EC5" s="2937"/>
      <c r="ED5" s="2937"/>
      <c r="EE5" s="2937"/>
      <c r="EF5" s="2937"/>
      <c r="EG5" s="2937"/>
      <c r="EH5" s="2937"/>
      <c r="EI5" s="2937"/>
      <c r="EJ5" s="2937"/>
      <c r="EK5" s="2937"/>
      <c r="EL5" s="2937"/>
      <c r="EM5" s="2937"/>
      <c r="EN5" s="2937"/>
      <c r="EO5" s="2937"/>
      <c r="EP5" s="2937"/>
      <c r="EQ5" s="2937"/>
      <c r="ER5" s="2937"/>
      <c r="ES5" s="2937"/>
      <c r="ET5" s="2937"/>
      <c r="EU5" s="2937"/>
      <c r="EV5" s="2937"/>
      <c r="EW5" s="2937"/>
      <c r="EX5" s="2937"/>
      <c r="EY5" s="2937"/>
      <c r="EZ5" s="2937"/>
      <c r="FA5" s="2937"/>
      <c r="FB5" s="2937"/>
      <c r="FC5" s="2937"/>
      <c r="FD5" s="2937"/>
      <c r="FE5" s="2937"/>
      <c r="FF5" s="2937"/>
      <c r="FG5" s="2937"/>
      <c r="FH5" s="2937"/>
      <c r="FI5" s="2937"/>
      <c r="FJ5" s="2937"/>
      <c r="FK5" s="2937"/>
      <c r="FL5" s="2937"/>
      <c r="FM5" s="2937"/>
      <c r="FN5" s="2937"/>
      <c r="FO5" s="2937"/>
      <c r="FP5" s="2937"/>
      <c r="FQ5" s="2937"/>
      <c r="FR5" s="2937"/>
      <c r="FS5" s="2937"/>
      <c r="FT5" s="2937"/>
      <c r="FU5" s="2937"/>
      <c r="FV5" s="2937"/>
      <c r="FW5" s="2937"/>
      <c r="FX5" s="2937"/>
      <c r="FY5" s="2937"/>
      <c r="FZ5" s="2937"/>
      <c r="GA5" s="2937"/>
      <c r="GB5" s="2937"/>
      <c r="GC5" s="2937"/>
      <c r="GD5" s="2937"/>
      <c r="GE5" s="2937"/>
      <c r="GF5" s="2937"/>
      <c r="GG5" s="2937"/>
      <c r="GH5" s="2937"/>
      <c r="GI5" s="2937"/>
      <c r="GJ5" s="2937"/>
      <c r="GK5" s="2937"/>
      <c r="GL5" s="2937"/>
      <c r="GM5" s="2937"/>
      <c r="GN5" s="2937"/>
      <c r="GO5" s="2937"/>
      <c r="GP5" s="2937"/>
      <c r="GQ5" s="2937"/>
      <c r="GR5" s="2937"/>
      <c r="GS5" s="2937"/>
      <c r="GT5" s="2937"/>
      <c r="GU5" s="2937"/>
      <c r="GV5" s="2937"/>
      <c r="GW5" s="2937"/>
      <c r="GX5" s="2937"/>
      <c r="GY5" s="2937"/>
      <c r="GZ5" s="2937"/>
      <c r="HA5" s="2937"/>
      <c r="HB5" s="2937"/>
      <c r="HC5" s="2937"/>
      <c r="HD5" s="2937"/>
      <c r="HE5" s="2937"/>
      <c r="HF5" s="2937"/>
      <c r="HG5" s="2937"/>
      <c r="HH5" s="2937"/>
      <c r="HI5" s="2937"/>
      <c r="HJ5" s="2937"/>
      <c r="HK5" s="2937"/>
      <c r="HL5" s="2937"/>
      <c r="HM5" s="2937"/>
      <c r="HN5" s="2937"/>
      <c r="HO5" s="2937"/>
      <c r="HP5" s="2937"/>
      <c r="HQ5" s="2937"/>
      <c r="HR5" s="2937"/>
      <c r="HS5" s="2937"/>
      <c r="HT5" s="2937"/>
      <c r="HU5" s="2937"/>
      <c r="HV5" s="2937"/>
      <c r="HW5" s="2937"/>
      <c r="HX5" s="2937"/>
      <c r="HY5" s="2937"/>
      <c r="HZ5" s="2937"/>
      <c r="IA5" s="2937"/>
      <c r="IB5" s="2937"/>
      <c r="IC5" s="2937"/>
      <c r="ID5" s="2937"/>
      <c r="IE5" s="2937"/>
      <c r="IF5" s="2937"/>
      <c r="IG5" s="2937"/>
      <c r="IH5" s="2937"/>
      <c r="II5" s="2937"/>
      <c r="IJ5" s="2937"/>
      <c r="IK5" s="2937"/>
      <c r="IL5" s="2937"/>
      <c r="IM5" s="2937"/>
      <c r="IN5" s="2937"/>
      <c r="IO5" s="2937"/>
      <c r="IP5" s="2937"/>
      <c r="IQ5" s="2937"/>
      <c r="IR5" s="2937"/>
      <c r="IS5" s="2937"/>
      <c r="IT5" s="2937"/>
      <c r="IU5" s="2937"/>
      <c r="IV5" s="2937"/>
    </row>
    <row r="6" spans="1:257" s="2992" customFormat="1">
      <c r="A6" s="2937"/>
      <c r="G6" s="2944" t="s">
        <v>2794</v>
      </c>
      <c r="H6" s="2945">
        <v>3</v>
      </c>
      <c r="I6" s="2946">
        <f ca="1">INDIRECT("g"&amp;$H$1)</f>
        <v>4.75</v>
      </c>
      <c r="J6" s="2946">
        <f ca="1">INDIRECT("g"&amp;$H$1)</f>
        <v>4.75</v>
      </c>
      <c r="K6" s="2937"/>
      <c r="L6" s="2937"/>
      <c r="M6" s="2947">
        <v>3</v>
      </c>
      <c r="N6" s="2948">
        <f ca="1">INDIRECT("s"&amp;$N$1)</f>
        <v>2.75</v>
      </c>
      <c r="O6" s="2937"/>
      <c r="P6" s="2937"/>
      <c r="Q6" s="2937"/>
      <c r="R6" s="2937"/>
      <c r="S6" s="2937"/>
      <c r="T6" s="2937"/>
      <c r="U6" s="2937"/>
      <c r="V6" s="2937"/>
      <c r="W6" s="2937"/>
      <c r="X6" s="2937"/>
      <c r="Y6" s="2937"/>
      <c r="Z6" s="2937"/>
      <c r="AA6" s="2937"/>
      <c r="AB6" s="2937"/>
      <c r="AC6" s="2937"/>
      <c r="AD6" s="2937"/>
      <c r="AE6" s="2937"/>
      <c r="AF6" s="2937"/>
      <c r="AG6" s="2937"/>
      <c r="AH6" s="2937"/>
      <c r="AI6" s="2937"/>
      <c r="AJ6" s="2937"/>
      <c r="AK6" s="2937"/>
      <c r="AL6" s="2937"/>
      <c r="AM6" s="2937"/>
      <c r="AN6" s="2937"/>
      <c r="AO6" s="2937"/>
      <c r="AP6" s="2937"/>
      <c r="AQ6" s="2937"/>
      <c r="AR6" s="2937"/>
      <c r="AS6" s="2937"/>
      <c r="AT6" s="2937"/>
      <c r="AU6" s="2937"/>
      <c r="AV6" s="2937"/>
      <c r="AW6" s="2937"/>
      <c r="AX6" s="2937"/>
      <c r="AY6" s="2937"/>
      <c r="AZ6" s="2937"/>
      <c r="BA6" s="2937"/>
      <c r="BB6" s="2937"/>
      <c r="BC6" s="2937"/>
      <c r="BD6" s="2937"/>
      <c r="BE6" s="2937"/>
      <c r="BF6" s="2937"/>
      <c r="BG6" s="2937"/>
      <c r="BH6" s="2937"/>
      <c r="BI6" s="2937"/>
      <c r="BJ6" s="2937"/>
      <c r="BK6" s="2937"/>
      <c r="BL6" s="2937"/>
      <c r="BM6" s="2937"/>
      <c r="BN6" s="2937"/>
      <c r="BO6" s="2937"/>
      <c r="BP6" s="2937"/>
      <c r="BQ6" s="2937"/>
      <c r="BR6" s="2937"/>
      <c r="BS6" s="2937"/>
      <c r="BT6" s="2937"/>
      <c r="BU6" s="2937"/>
      <c r="BV6" s="2937"/>
      <c r="BW6" s="2937"/>
      <c r="BX6" s="2937"/>
      <c r="BY6" s="2937"/>
      <c r="BZ6" s="2937"/>
      <c r="CA6" s="2937"/>
      <c r="CB6" s="2937"/>
      <c r="CC6" s="2937"/>
      <c r="CD6" s="2937"/>
      <c r="CE6" s="2937"/>
      <c r="CF6" s="2937"/>
      <c r="CG6" s="2937"/>
      <c r="CH6" s="2937"/>
      <c r="CI6" s="2937"/>
      <c r="CJ6" s="2937"/>
      <c r="CK6" s="2937"/>
      <c r="CL6" s="2937"/>
      <c r="CM6" s="2937"/>
      <c r="CN6" s="2937"/>
      <c r="CO6" s="2937"/>
      <c r="CP6" s="2937"/>
      <c r="CQ6" s="2937"/>
      <c r="CR6" s="2937"/>
      <c r="CS6" s="2937"/>
      <c r="CT6" s="2937"/>
      <c r="CU6" s="2937"/>
      <c r="CV6" s="2937"/>
      <c r="CW6" s="2937"/>
      <c r="CX6" s="2937"/>
      <c r="CY6" s="2937"/>
      <c r="CZ6" s="2937"/>
      <c r="DA6" s="2937"/>
      <c r="DB6" s="2937"/>
      <c r="DC6" s="2937"/>
      <c r="DD6" s="2937"/>
      <c r="DE6" s="2937"/>
      <c r="DF6" s="2937"/>
      <c r="DG6" s="2937"/>
      <c r="DH6" s="2937"/>
      <c r="DI6" s="2937"/>
      <c r="DJ6" s="2937"/>
      <c r="DK6" s="2937"/>
      <c r="DL6" s="2937"/>
      <c r="DM6" s="2937"/>
      <c r="DN6" s="2937"/>
      <c r="DO6" s="2937"/>
      <c r="DP6" s="2937"/>
      <c r="DQ6" s="2937"/>
      <c r="DR6" s="2937"/>
      <c r="DS6" s="2937"/>
      <c r="DT6" s="2937"/>
      <c r="DU6" s="2937"/>
      <c r="DV6" s="2937"/>
      <c r="DW6" s="2937"/>
      <c r="DX6" s="2937"/>
      <c r="DY6" s="2937"/>
      <c r="DZ6" s="2937"/>
      <c r="EA6" s="2937"/>
      <c r="EB6" s="2937"/>
      <c r="EC6" s="2937"/>
      <c r="ED6" s="2937"/>
      <c r="EE6" s="2937"/>
      <c r="EF6" s="2937"/>
      <c r="EG6" s="2937"/>
      <c r="EH6" s="2937"/>
      <c r="EI6" s="2937"/>
      <c r="EJ6" s="2937"/>
      <c r="EK6" s="2937"/>
      <c r="EL6" s="2937"/>
      <c r="EM6" s="2937"/>
      <c r="EN6" s="2937"/>
      <c r="EO6" s="2937"/>
      <c r="EP6" s="2937"/>
      <c r="EQ6" s="2937"/>
      <c r="ER6" s="2937"/>
      <c r="ES6" s="2937"/>
      <c r="ET6" s="2937"/>
      <c r="EU6" s="2937"/>
      <c r="EV6" s="2937"/>
      <c r="EW6" s="2937"/>
      <c r="EX6" s="2937"/>
      <c r="EY6" s="2937"/>
      <c r="EZ6" s="2937"/>
      <c r="FA6" s="2937"/>
      <c r="FB6" s="2937"/>
      <c r="FC6" s="2937"/>
      <c r="FD6" s="2937"/>
      <c r="FE6" s="2937"/>
      <c r="FF6" s="2937"/>
      <c r="FG6" s="2937"/>
      <c r="FH6" s="2937"/>
      <c r="FI6" s="2937"/>
      <c r="FJ6" s="2937"/>
      <c r="FK6" s="2937"/>
      <c r="FL6" s="2937"/>
      <c r="FM6" s="2937"/>
      <c r="FN6" s="2937"/>
      <c r="FO6" s="2937"/>
      <c r="FP6" s="2937"/>
      <c r="FQ6" s="2937"/>
      <c r="FR6" s="2937"/>
      <c r="FS6" s="2937"/>
      <c r="FT6" s="2937"/>
      <c r="FU6" s="2937"/>
      <c r="FV6" s="2937"/>
      <c r="FW6" s="2937"/>
      <c r="FX6" s="2937"/>
      <c r="FY6" s="2937"/>
      <c r="FZ6" s="2937"/>
      <c r="GA6" s="2937"/>
      <c r="GB6" s="2937"/>
      <c r="GC6" s="2937"/>
      <c r="GD6" s="2937"/>
      <c r="GE6" s="2937"/>
      <c r="GF6" s="2937"/>
      <c r="GG6" s="2937"/>
      <c r="GH6" s="2937"/>
      <c r="GI6" s="2937"/>
      <c r="GJ6" s="2937"/>
      <c r="GK6" s="2937"/>
      <c r="GL6" s="2937"/>
      <c r="GM6" s="2937"/>
      <c r="GN6" s="2937"/>
      <c r="GO6" s="2937"/>
      <c r="GP6" s="2937"/>
      <c r="GQ6" s="2937"/>
      <c r="GR6" s="2937"/>
      <c r="GS6" s="2937"/>
      <c r="GT6" s="2937"/>
      <c r="GU6" s="2937"/>
      <c r="GV6" s="2937"/>
      <c r="GW6" s="2937"/>
      <c r="GX6" s="2937"/>
      <c r="GY6" s="2937"/>
      <c r="GZ6" s="2937"/>
      <c r="HA6" s="2937"/>
      <c r="HB6" s="2937"/>
      <c r="HC6" s="2937"/>
      <c r="HD6" s="2937"/>
      <c r="HE6" s="2937"/>
      <c r="HF6" s="2937"/>
      <c r="HG6" s="2937"/>
      <c r="HH6" s="2937"/>
      <c r="HI6" s="2937"/>
      <c r="HJ6" s="2937"/>
      <c r="HK6" s="2937"/>
      <c r="HL6" s="2937"/>
      <c r="HM6" s="2937"/>
      <c r="HN6" s="2937"/>
      <c r="HO6" s="2937"/>
      <c r="HP6" s="2937"/>
      <c r="HQ6" s="2937"/>
      <c r="HR6" s="2937"/>
      <c r="HS6" s="2937"/>
      <c r="HT6" s="2937"/>
      <c r="HU6" s="2937"/>
      <c r="HV6" s="2937"/>
      <c r="HW6" s="2937"/>
      <c r="HX6" s="2937"/>
      <c r="HY6" s="2937"/>
      <c r="HZ6" s="2937"/>
      <c r="IA6" s="2937"/>
      <c r="IB6" s="2937"/>
      <c r="IC6" s="2937"/>
      <c r="ID6" s="2937"/>
      <c r="IE6" s="2937"/>
      <c r="IF6" s="2937"/>
      <c r="IG6" s="2937"/>
      <c r="IH6" s="2937"/>
      <c r="II6" s="2937"/>
      <c r="IJ6" s="2937"/>
      <c r="IK6" s="2937"/>
      <c r="IL6" s="2937"/>
      <c r="IM6" s="2937"/>
      <c r="IN6" s="2937"/>
      <c r="IO6" s="2937"/>
      <c r="IP6" s="2937"/>
      <c r="IQ6" s="2937"/>
      <c r="IR6" s="2937"/>
      <c r="IS6" s="2937"/>
      <c r="IT6" s="2937"/>
      <c r="IU6" s="2937"/>
      <c r="IV6" s="2937"/>
    </row>
    <row r="7" spans="1:257" s="2992" customFormat="1" ht="14.25" thickBot="1">
      <c r="A7" s="2937"/>
      <c r="G7" s="2949" t="s">
        <v>2795</v>
      </c>
      <c r="H7" s="2950">
        <v>5</v>
      </c>
      <c r="I7" s="2951">
        <f ca="1">INDIRECT("h"&amp;$H$1)</f>
        <v>4.9000000000000004</v>
      </c>
      <c r="J7" s="2951">
        <f ca="1">INDIRECT("h"&amp;$H$1)</f>
        <v>4.9000000000000004</v>
      </c>
      <c r="K7" s="2937"/>
      <c r="L7" s="2937"/>
      <c r="M7" s="2952">
        <v>5</v>
      </c>
      <c r="N7" s="2953">
        <f ca="1">INDIRECT("t"&amp;$N$1)</f>
        <v>0</v>
      </c>
      <c r="O7" s="2937"/>
      <c r="P7" s="2937"/>
      <c r="Q7" s="2937"/>
      <c r="R7" s="2937"/>
      <c r="S7" s="2937"/>
      <c r="T7" s="2937"/>
      <c r="U7" s="2937"/>
      <c r="V7" s="2937"/>
      <c r="W7" s="2937"/>
      <c r="X7" s="2937"/>
      <c r="Y7" s="2937"/>
      <c r="Z7" s="2937"/>
      <c r="AA7" s="2937"/>
      <c r="AB7" s="2937"/>
      <c r="AC7" s="2937"/>
      <c r="AD7" s="2937"/>
      <c r="AE7" s="2937"/>
      <c r="AF7" s="2937"/>
      <c r="AG7" s="2937"/>
      <c r="AH7" s="2937"/>
      <c r="AI7" s="2937"/>
      <c r="AJ7" s="2937"/>
      <c r="AK7" s="2937"/>
      <c r="AL7" s="2937"/>
      <c r="AM7" s="2937"/>
      <c r="AN7" s="2937"/>
      <c r="AO7" s="2937"/>
      <c r="AP7" s="2937"/>
      <c r="AQ7" s="2937"/>
      <c r="AR7" s="2937"/>
      <c r="AS7" s="2937"/>
      <c r="AT7" s="2937"/>
      <c r="AU7" s="2937"/>
      <c r="AV7" s="2937"/>
      <c r="AW7" s="2937"/>
      <c r="AX7" s="2937"/>
      <c r="AY7" s="2937"/>
      <c r="AZ7" s="2937"/>
      <c r="BA7" s="2937"/>
      <c r="BB7" s="2937"/>
      <c r="BC7" s="2937"/>
      <c r="BD7" s="2937"/>
      <c r="BE7" s="2937"/>
      <c r="BF7" s="2937"/>
      <c r="BG7" s="2937"/>
      <c r="BH7" s="2937"/>
      <c r="BI7" s="2937"/>
      <c r="BJ7" s="2937"/>
      <c r="BK7" s="2937"/>
      <c r="BL7" s="2937"/>
      <c r="BM7" s="2937"/>
      <c r="BN7" s="2937"/>
      <c r="BO7" s="2937"/>
      <c r="BP7" s="2937"/>
      <c r="BQ7" s="2937"/>
      <c r="BR7" s="2937"/>
      <c r="BS7" s="2937"/>
      <c r="BT7" s="2937"/>
      <c r="BU7" s="2937"/>
      <c r="BV7" s="2937"/>
      <c r="BW7" s="2937"/>
      <c r="BX7" s="2937"/>
      <c r="BY7" s="2937"/>
      <c r="BZ7" s="2937"/>
      <c r="CA7" s="2937"/>
      <c r="CB7" s="2937"/>
      <c r="CC7" s="2937"/>
      <c r="CD7" s="2937"/>
      <c r="CE7" s="2937"/>
      <c r="CF7" s="2937"/>
      <c r="CG7" s="2937"/>
      <c r="CH7" s="2937"/>
      <c r="CI7" s="2937"/>
      <c r="CJ7" s="2937"/>
      <c r="CK7" s="2937"/>
      <c r="CL7" s="2937"/>
      <c r="CM7" s="2937"/>
      <c r="CN7" s="2937"/>
      <c r="CO7" s="2937"/>
      <c r="CP7" s="2937"/>
      <c r="CQ7" s="2937"/>
      <c r="CR7" s="2937"/>
      <c r="CS7" s="2937"/>
      <c r="CT7" s="2937"/>
      <c r="CU7" s="2937"/>
      <c r="CV7" s="2937"/>
      <c r="CW7" s="2937"/>
      <c r="CX7" s="2937"/>
      <c r="CY7" s="2937"/>
      <c r="CZ7" s="2937"/>
      <c r="DA7" s="2937"/>
      <c r="DB7" s="2937"/>
      <c r="DC7" s="2937"/>
      <c r="DD7" s="2937"/>
      <c r="DE7" s="2937"/>
      <c r="DF7" s="2937"/>
      <c r="DG7" s="2937"/>
      <c r="DH7" s="2937"/>
      <c r="DI7" s="2937"/>
      <c r="DJ7" s="2937"/>
      <c r="DK7" s="2937"/>
      <c r="DL7" s="2937"/>
      <c r="DM7" s="2937"/>
      <c r="DN7" s="2937"/>
      <c r="DO7" s="2937"/>
      <c r="DP7" s="2937"/>
      <c r="DQ7" s="2937"/>
      <c r="DR7" s="2937"/>
      <c r="DS7" s="2937"/>
      <c r="DT7" s="2937"/>
      <c r="DU7" s="2937"/>
      <c r="DV7" s="2937"/>
      <c r="DW7" s="2937"/>
      <c r="DX7" s="2937"/>
      <c r="DY7" s="2937"/>
      <c r="DZ7" s="2937"/>
      <c r="EA7" s="2937"/>
      <c r="EB7" s="2937"/>
      <c r="EC7" s="2937"/>
      <c r="ED7" s="2937"/>
      <c r="EE7" s="2937"/>
      <c r="EF7" s="2937"/>
      <c r="EG7" s="2937"/>
      <c r="EH7" s="2937"/>
      <c r="EI7" s="2937"/>
      <c r="EJ7" s="2937"/>
      <c r="EK7" s="2937"/>
      <c r="EL7" s="2937"/>
      <c r="EM7" s="2937"/>
      <c r="EN7" s="2937"/>
      <c r="EO7" s="2937"/>
      <c r="EP7" s="2937"/>
      <c r="EQ7" s="2937"/>
      <c r="ER7" s="2937"/>
      <c r="ES7" s="2937"/>
      <c r="ET7" s="2937"/>
      <c r="EU7" s="2937"/>
      <c r="EV7" s="2937"/>
      <c r="EW7" s="2937"/>
      <c r="EX7" s="2937"/>
      <c r="EY7" s="2937"/>
      <c r="EZ7" s="2937"/>
      <c r="FA7" s="2937"/>
      <c r="FB7" s="2937"/>
      <c r="FC7" s="2937"/>
      <c r="FD7" s="2937"/>
      <c r="FE7" s="2937"/>
      <c r="FF7" s="2937"/>
      <c r="FG7" s="2937"/>
      <c r="FH7" s="2937"/>
      <c r="FI7" s="2937"/>
      <c r="FJ7" s="2937"/>
      <c r="FK7" s="2937"/>
      <c r="FL7" s="2937"/>
      <c r="FM7" s="2937"/>
      <c r="FN7" s="2937"/>
      <c r="FO7" s="2937"/>
      <c r="FP7" s="2937"/>
      <c r="FQ7" s="2937"/>
      <c r="FR7" s="2937"/>
      <c r="FS7" s="2937"/>
      <c r="FT7" s="2937"/>
      <c r="FU7" s="2937"/>
      <c r="FV7" s="2937"/>
      <c r="FW7" s="2937"/>
      <c r="FX7" s="2937"/>
      <c r="FY7" s="2937"/>
      <c r="FZ7" s="2937"/>
      <c r="GA7" s="2937"/>
      <c r="GB7" s="2937"/>
      <c r="GC7" s="2937"/>
      <c r="GD7" s="2937"/>
      <c r="GE7" s="2937"/>
      <c r="GF7" s="2937"/>
      <c r="GG7" s="2937"/>
      <c r="GH7" s="2937"/>
      <c r="GI7" s="2937"/>
      <c r="GJ7" s="2937"/>
      <c r="GK7" s="2937"/>
      <c r="GL7" s="2937"/>
      <c r="GM7" s="2937"/>
      <c r="GN7" s="2937"/>
      <c r="GO7" s="2937"/>
      <c r="GP7" s="2937"/>
      <c r="GQ7" s="2937"/>
      <c r="GR7" s="2937"/>
      <c r="GS7" s="2937"/>
      <c r="GT7" s="2937"/>
      <c r="GU7" s="2937"/>
      <c r="GV7" s="2937"/>
      <c r="GW7" s="2937"/>
      <c r="GX7" s="2937"/>
      <c r="GY7" s="2937"/>
      <c r="GZ7" s="2937"/>
      <c r="HA7" s="2937"/>
      <c r="HB7" s="2937"/>
      <c r="HC7" s="2937"/>
      <c r="HD7" s="2937"/>
      <c r="HE7" s="2937"/>
      <c r="HF7" s="2937"/>
      <c r="HG7" s="2937"/>
      <c r="HH7" s="2937"/>
      <c r="HI7" s="2937"/>
      <c r="HJ7" s="2937"/>
      <c r="HK7" s="2937"/>
      <c r="HL7" s="2937"/>
      <c r="HM7" s="2937"/>
      <c r="HN7" s="2937"/>
      <c r="HO7" s="2937"/>
      <c r="HP7" s="2937"/>
      <c r="HQ7" s="2937"/>
      <c r="HR7" s="2937"/>
      <c r="HS7" s="2937"/>
      <c r="HT7" s="2937"/>
      <c r="HU7" s="2937"/>
      <c r="HV7" s="2937"/>
      <c r="HW7" s="2937"/>
      <c r="HX7" s="2937"/>
      <c r="HY7" s="2937"/>
      <c r="HZ7" s="2937"/>
      <c r="IA7" s="2937"/>
      <c r="IB7" s="2937"/>
      <c r="IC7" s="2937"/>
      <c r="ID7" s="2937"/>
      <c r="IE7" s="2937"/>
      <c r="IF7" s="2937"/>
      <c r="IG7" s="2937"/>
      <c r="IH7" s="2937"/>
      <c r="II7" s="2937"/>
      <c r="IJ7" s="2937"/>
      <c r="IK7" s="2937"/>
      <c r="IL7" s="2937"/>
      <c r="IM7" s="2937"/>
      <c r="IN7" s="2937"/>
      <c r="IO7" s="2937"/>
      <c r="IP7" s="2937"/>
      <c r="IQ7" s="2937"/>
      <c r="IR7" s="2937"/>
      <c r="IS7" s="2937"/>
      <c r="IT7" s="2937"/>
      <c r="IU7" s="2937"/>
      <c r="IV7" s="2937"/>
    </row>
    <row r="8" spans="1:257">
      <c r="A8" s="2954"/>
      <c r="B8" s="2955"/>
      <c r="C8" s="2956"/>
      <c r="D8" s="2937"/>
      <c r="E8" s="2937"/>
      <c r="F8" s="2937"/>
      <c r="G8" s="2937"/>
      <c r="H8" s="2937"/>
      <c r="I8" s="2937"/>
      <c r="J8" s="2937"/>
      <c r="L8" s="2937"/>
      <c r="M8" s="2937"/>
      <c r="N8" s="2937"/>
      <c r="O8" s="2937"/>
      <c r="P8" s="2937"/>
      <c r="Q8" s="2937"/>
      <c r="R8" s="2937"/>
      <c r="S8" s="2937"/>
      <c r="T8" s="2937"/>
      <c r="U8" s="2937"/>
      <c r="V8" s="2937"/>
      <c r="W8" s="2937"/>
      <c r="X8" s="2937"/>
      <c r="Y8" s="2937"/>
      <c r="Z8" s="2937"/>
    </row>
    <row r="9" spans="1:257" ht="20.25">
      <c r="A9" s="2957"/>
      <c r="B9" s="2958" t="s">
        <v>2796</v>
      </c>
      <c r="C9" s="2959"/>
      <c r="D9" s="2960"/>
      <c r="E9" s="2960"/>
      <c r="F9" s="2960"/>
      <c r="G9" s="2960"/>
      <c r="H9" s="2960"/>
      <c r="I9" s="2960"/>
      <c r="J9" s="2960"/>
      <c r="K9" s="2960"/>
      <c r="L9" s="2960"/>
      <c r="M9" s="2960"/>
      <c r="N9" s="2960"/>
      <c r="O9" s="2960"/>
      <c r="P9" s="2960"/>
      <c r="Q9" s="2960"/>
      <c r="R9" s="2960"/>
      <c r="S9" s="2960"/>
      <c r="T9" s="2960"/>
      <c r="U9" s="2960"/>
      <c r="V9" s="2960"/>
      <c r="W9" s="2960"/>
      <c r="X9" s="2960"/>
      <c r="Y9" s="2960"/>
      <c r="Z9" s="2960"/>
      <c r="AA9" s="2961"/>
      <c r="AB9" s="2961"/>
      <c r="AC9" s="2961"/>
      <c r="AD9" s="2961"/>
      <c r="AE9" s="2961"/>
      <c r="AF9" s="2961"/>
      <c r="AG9" s="2961"/>
      <c r="AH9" s="2961"/>
      <c r="AI9" s="2961"/>
      <c r="AJ9" s="2961"/>
      <c r="AK9" s="2961"/>
      <c r="AL9" s="2961"/>
      <c r="AM9" s="2961"/>
      <c r="AN9" s="2961"/>
      <c r="AO9" s="2961"/>
      <c r="AP9" s="2961"/>
      <c r="AQ9" s="2961"/>
      <c r="AR9" s="2961"/>
      <c r="AS9" s="2961"/>
      <c r="AT9" s="2961"/>
      <c r="AU9" s="2961"/>
      <c r="AV9" s="2961"/>
      <c r="AW9" s="2961"/>
      <c r="AX9" s="2961"/>
      <c r="AY9" s="2961"/>
      <c r="AZ9" s="2961"/>
      <c r="BA9" s="2961"/>
      <c r="BB9" s="2961"/>
      <c r="BC9" s="2961"/>
      <c r="BD9" s="2961"/>
      <c r="BE9" s="2961"/>
      <c r="BF9" s="2961"/>
      <c r="BG9" s="2961"/>
      <c r="BH9" s="2961"/>
      <c r="BI9" s="2961"/>
      <c r="BJ9" s="2961"/>
      <c r="BK9" s="2961"/>
      <c r="BL9" s="2961"/>
      <c r="BM9" s="2961"/>
      <c r="BN9" s="2961"/>
      <c r="BO9" s="2961"/>
      <c r="BP9" s="2961"/>
      <c r="BQ9" s="2961"/>
      <c r="BR9" s="2961"/>
      <c r="BS9" s="2961"/>
      <c r="BT9" s="2961"/>
      <c r="BU9" s="2961"/>
      <c r="BV9" s="2961"/>
      <c r="BW9" s="2961"/>
      <c r="BX9" s="2961"/>
      <c r="BY9" s="2961"/>
      <c r="BZ9" s="2961"/>
      <c r="CA9" s="2961"/>
      <c r="CB9" s="2961"/>
      <c r="CC9" s="2961"/>
      <c r="CD9" s="2961"/>
      <c r="CE9" s="2961"/>
      <c r="CF9" s="2961"/>
      <c r="CG9" s="2961"/>
      <c r="CH9" s="2961"/>
      <c r="CI9" s="2961"/>
      <c r="CJ9" s="2961"/>
      <c r="CK9" s="2961"/>
      <c r="CL9" s="2961"/>
      <c r="CM9" s="2961"/>
      <c r="CN9" s="2961"/>
      <c r="CO9" s="2961"/>
      <c r="CP9" s="2961"/>
      <c r="CQ9" s="2961"/>
      <c r="CR9" s="2961"/>
      <c r="CS9" s="2961"/>
      <c r="CT9" s="2961"/>
      <c r="CU9" s="2961"/>
      <c r="CV9" s="2961"/>
      <c r="CW9" s="2961"/>
      <c r="CX9" s="2961"/>
      <c r="CY9" s="2961"/>
      <c r="CZ9" s="2961"/>
      <c r="DA9" s="2961"/>
      <c r="DB9" s="2961"/>
      <c r="DC9" s="2961"/>
      <c r="DD9" s="2961"/>
      <c r="DE9" s="2961"/>
      <c r="DF9" s="2961"/>
      <c r="DG9" s="2961"/>
      <c r="DH9" s="2961"/>
      <c r="DI9" s="2961"/>
      <c r="DJ9" s="2961"/>
      <c r="DK9" s="2961"/>
      <c r="DL9" s="2961"/>
      <c r="DM9" s="2961"/>
      <c r="DN9" s="2961"/>
      <c r="DO9" s="2961"/>
      <c r="DP9" s="2961"/>
      <c r="DQ9" s="2961"/>
      <c r="DR9" s="2961"/>
      <c r="DS9" s="2961"/>
      <c r="DT9" s="2961"/>
      <c r="DU9" s="2961"/>
      <c r="DV9" s="2961"/>
      <c r="DW9" s="2961"/>
      <c r="DX9" s="2961"/>
      <c r="DY9" s="2961"/>
      <c r="DZ9" s="2961"/>
      <c r="EA9" s="2961"/>
      <c r="EB9" s="2961"/>
      <c r="EC9" s="2961"/>
      <c r="ED9" s="2961"/>
      <c r="EE9" s="2961"/>
      <c r="EF9" s="2961"/>
      <c r="EG9" s="2961"/>
      <c r="EH9" s="2961"/>
      <c r="EI9" s="2961"/>
      <c r="EJ9" s="2961"/>
      <c r="EK9" s="2961"/>
      <c r="EL9" s="2961"/>
      <c r="EM9" s="2961"/>
      <c r="EN9" s="2961"/>
      <c r="EO9" s="2961"/>
      <c r="EP9" s="2961"/>
      <c r="EQ9" s="2961"/>
      <c r="ER9" s="2961"/>
      <c r="ES9" s="2961"/>
      <c r="ET9" s="2961"/>
      <c r="EU9" s="2961"/>
      <c r="EV9" s="2961"/>
      <c r="EW9" s="2961"/>
      <c r="EX9" s="2961"/>
      <c r="EY9" s="2961"/>
      <c r="EZ9" s="2961"/>
      <c r="FA9" s="2961"/>
      <c r="FB9" s="2961"/>
      <c r="FC9" s="2961"/>
      <c r="FD9" s="2961"/>
      <c r="FE9" s="2961"/>
      <c r="FF9" s="2961"/>
      <c r="FG9" s="2961"/>
      <c r="FH9" s="2961"/>
      <c r="FI9" s="2961"/>
      <c r="FJ9" s="2961"/>
      <c r="FK9" s="2961"/>
      <c r="FL9" s="2961"/>
      <c r="FM9" s="2961"/>
      <c r="FN9" s="2961"/>
      <c r="FO9" s="2961"/>
      <c r="FP9" s="2961"/>
      <c r="FQ9" s="2961"/>
      <c r="FR9" s="2961"/>
      <c r="FS9" s="2961"/>
      <c r="FT9" s="2961"/>
      <c r="FU9" s="2961"/>
      <c r="FV9" s="2961"/>
      <c r="FW9" s="2961"/>
      <c r="FX9" s="2961"/>
      <c r="FY9" s="2961"/>
      <c r="FZ9" s="2961"/>
      <c r="GA9" s="2961"/>
      <c r="GB9" s="2961"/>
      <c r="GC9" s="2961"/>
      <c r="GD9" s="2961"/>
      <c r="GE9" s="2961"/>
      <c r="GF9" s="2961"/>
      <c r="GG9" s="2961"/>
      <c r="GH9" s="2961"/>
      <c r="GI9" s="2961"/>
      <c r="GJ9" s="2961"/>
      <c r="GK9" s="2961"/>
      <c r="GL9" s="2961"/>
      <c r="GM9" s="2961"/>
      <c r="GN9" s="2961"/>
      <c r="GO9" s="2961"/>
      <c r="GP9" s="2961"/>
      <c r="GQ9" s="2961"/>
      <c r="GR9" s="2961"/>
      <c r="GS9" s="2961"/>
      <c r="GT9" s="2961"/>
      <c r="GU9" s="2961"/>
      <c r="GV9" s="2961"/>
      <c r="GW9" s="2961"/>
      <c r="GX9" s="2961"/>
      <c r="GY9" s="2961"/>
      <c r="GZ9" s="2961"/>
      <c r="HA9" s="2961"/>
      <c r="HB9" s="2961"/>
      <c r="HC9" s="2961"/>
      <c r="HD9" s="2961"/>
      <c r="HE9" s="2961"/>
      <c r="HF9" s="2961"/>
      <c r="HG9" s="2961"/>
      <c r="HH9" s="2961"/>
      <c r="HI9" s="2961"/>
      <c r="HJ9" s="2961"/>
      <c r="HK9" s="2961"/>
      <c r="HL9" s="2961"/>
      <c r="HM9" s="2961"/>
      <c r="HN9" s="2961"/>
      <c r="HO9" s="2961"/>
      <c r="HP9" s="2961"/>
      <c r="HQ9" s="2961"/>
      <c r="HR9" s="2961"/>
      <c r="HS9" s="2961"/>
      <c r="HT9" s="2961"/>
      <c r="HU9" s="2961"/>
      <c r="HV9" s="2961"/>
      <c r="HW9" s="2961"/>
      <c r="HX9" s="2961"/>
      <c r="HY9" s="2961"/>
      <c r="HZ9" s="2961"/>
      <c r="IA9" s="2961"/>
      <c r="IB9" s="2961"/>
      <c r="IC9" s="2961"/>
      <c r="ID9" s="2961"/>
      <c r="IE9" s="2961"/>
      <c r="IF9" s="2961"/>
      <c r="IG9" s="2961"/>
      <c r="IH9" s="2961"/>
      <c r="II9" s="2961"/>
      <c r="IJ9" s="2961"/>
      <c r="IK9" s="2961"/>
      <c r="IL9" s="2961"/>
      <c r="IM9" s="2961"/>
      <c r="IN9" s="2961"/>
      <c r="IO9" s="2961"/>
      <c r="IP9" s="2961"/>
      <c r="IQ9" s="2961"/>
      <c r="IR9" s="2961"/>
      <c r="IS9" s="2961"/>
      <c r="IT9" s="2961"/>
      <c r="IU9" s="2961"/>
      <c r="IV9" s="2961"/>
      <c r="IW9" s="2962"/>
    </row>
    <row r="10" spans="1:257" ht="22.5">
      <c r="A10" s="2963"/>
      <c r="B10" s="2964" t="s">
        <v>2797</v>
      </c>
      <c r="C10" s="2963"/>
      <c r="D10" s="2963"/>
      <c r="E10" s="2963"/>
      <c r="F10" s="2963"/>
      <c r="G10" s="2963"/>
      <c r="H10" s="2963"/>
      <c r="I10" s="2937"/>
      <c r="J10" s="2937"/>
      <c r="K10" s="2963"/>
      <c r="L10" s="2964" t="s">
        <v>2798</v>
      </c>
      <c r="M10" s="2963"/>
      <c r="N10" s="2963"/>
      <c r="O10" s="2963"/>
      <c r="P10" s="2963"/>
      <c r="Q10" s="2963"/>
      <c r="R10" s="2963"/>
      <c r="S10" s="2963"/>
      <c r="T10" s="2963"/>
      <c r="U10" s="2963"/>
      <c r="V10" s="2963"/>
      <c r="W10" s="2963"/>
      <c r="X10" s="2963"/>
      <c r="Y10" s="2963"/>
      <c r="Z10" s="2963"/>
      <c r="AA10" s="2965"/>
      <c r="AB10" s="2965"/>
      <c r="AC10" s="2965"/>
      <c r="AD10" s="2965"/>
      <c r="AE10" s="2965"/>
      <c r="AF10" s="2965"/>
      <c r="AG10" s="2965"/>
      <c r="AH10" s="2965"/>
      <c r="AI10" s="2965"/>
      <c r="AJ10" s="2965"/>
      <c r="AK10" s="2965"/>
      <c r="AL10" s="2965"/>
      <c r="AM10" s="2965"/>
      <c r="AN10" s="2965"/>
      <c r="AO10" s="2965"/>
      <c r="AP10" s="2965"/>
      <c r="AQ10" s="2965"/>
      <c r="AR10" s="2965"/>
      <c r="AS10" s="2965"/>
      <c r="AT10" s="2965"/>
      <c r="AU10" s="2965"/>
      <c r="AV10" s="2965"/>
      <c r="AW10" s="2965"/>
      <c r="AX10" s="2965"/>
      <c r="AY10" s="2965"/>
      <c r="AZ10" s="2965"/>
      <c r="BA10" s="2965"/>
      <c r="BB10" s="2965"/>
      <c r="BC10" s="2965"/>
      <c r="BD10" s="2965"/>
      <c r="BE10" s="2965"/>
      <c r="BF10" s="2965"/>
      <c r="BG10" s="2965"/>
      <c r="BH10" s="2965"/>
      <c r="BI10" s="2965"/>
      <c r="BJ10" s="2965"/>
      <c r="BK10" s="2965"/>
      <c r="BL10" s="2965"/>
      <c r="BM10" s="2965"/>
      <c r="BN10" s="2965"/>
      <c r="BO10" s="2965"/>
      <c r="BP10" s="2965"/>
      <c r="BQ10" s="2965"/>
      <c r="BR10" s="2965"/>
      <c r="BS10" s="2965"/>
      <c r="BT10" s="2965"/>
      <c r="BU10" s="2965"/>
      <c r="BV10" s="2965"/>
      <c r="BW10" s="2965"/>
      <c r="BX10" s="2965"/>
      <c r="BY10" s="2965"/>
      <c r="BZ10" s="2965"/>
      <c r="CA10" s="2965"/>
      <c r="CB10" s="2965"/>
      <c r="CC10" s="2965"/>
      <c r="CD10" s="2965"/>
      <c r="CE10" s="2965"/>
      <c r="CF10" s="2965"/>
      <c r="CG10" s="2965"/>
      <c r="CH10" s="2965"/>
      <c r="CI10" s="2965"/>
      <c r="CJ10" s="2965"/>
      <c r="CK10" s="2965"/>
      <c r="CL10" s="2965"/>
      <c r="CM10" s="2965"/>
      <c r="CN10" s="2965"/>
      <c r="CO10" s="2965"/>
      <c r="CP10" s="2965"/>
      <c r="CQ10" s="2965"/>
      <c r="CR10" s="2965"/>
      <c r="CS10" s="2965"/>
      <c r="CT10" s="2965"/>
      <c r="CU10" s="2965"/>
      <c r="CV10" s="2965"/>
      <c r="CW10" s="2965"/>
      <c r="CX10" s="2965"/>
      <c r="CY10" s="2965"/>
      <c r="CZ10" s="2965"/>
      <c r="DA10" s="2965"/>
      <c r="DB10" s="2965"/>
      <c r="DC10" s="2965"/>
      <c r="DD10" s="2965"/>
      <c r="DE10" s="2965"/>
      <c r="DF10" s="2965"/>
      <c r="DG10" s="2965"/>
      <c r="DH10" s="2965"/>
      <c r="DI10" s="2965"/>
      <c r="DJ10" s="2965"/>
      <c r="DK10" s="2965"/>
      <c r="DL10" s="2965"/>
      <c r="DM10" s="2965"/>
      <c r="DN10" s="2965"/>
      <c r="DO10" s="2965"/>
      <c r="DP10" s="2965"/>
      <c r="DQ10" s="2965"/>
      <c r="DR10" s="2965"/>
      <c r="DS10" s="2965"/>
      <c r="DT10" s="2965"/>
      <c r="DU10" s="2965"/>
      <c r="DV10" s="2965"/>
      <c r="DW10" s="2965"/>
      <c r="DX10" s="2965"/>
      <c r="DY10" s="2965"/>
      <c r="DZ10" s="2965"/>
      <c r="EA10" s="2965"/>
      <c r="EB10" s="2965"/>
      <c r="EC10" s="2965"/>
      <c r="ED10" s="2965"/>
      <c r="EE10" s="2965"/>
      <c r="EF10" s="2965"/>
      <c r="EG10" s="2965"/>
      <c r="EH10" s="2965"/>
      <c r="EI10" s="2965"/>
      <c r="EJ10" s="2965"/>
      <c r="EK10" s="2965"/>
      <c r="EL10" s="2965"/>
      <c r="EM10" s="2965"/>
      <c r="EN10" s="2965"/>
      <c r="EO10" s="2965"/>
      <c r="EP10" s="2965"/>
      <c r="EQ10" s="2965"/>
      <c r="ER10" s="2965"/>
      <c r="ES10" s="2965"/>
      <c r="ET10" s="2965"/>
      <c r="EU10" s="2965"/>
      <c r="EV10" s="2965"/>
      <c r="EW10" s="2965"/>
      <c r="EX10" s="2965"/>
      <c r="EY10" s="2965"/>
      <c r="EZ10" s="2965"/>
      <c r="FA10" s="2965"/>
      <c r="FB10" s="2965"/>
      <c r="FC10" s="2965"/>
      <c r="FD10" s="2965"/>
      <c r="FE10" s="2965"/>
      <c r="FF10" s="2965"/>
      <c r="FG10" s="2965"/>
      <c r="FH10" s="2965"/>
      <c r="FI10" s="2965"/>
      <c r="FJ10" s="2965"/>
      <c r="FK10" s="2965"/>
      <c r="FL10" s="2965"/>
      <c r="FM10" s="2965"/>
      <c r="FN10" s="2965"/>
      <c r="FO10" s="2965"/>
      <c r="FP10" s="2965"/>
      <c r="FQ10" s="2965"/>
      <c r="FR10" s="2965"/>
      <c r="FS10" s="2965"/>
      <c r="FT10" s="2965"/>
      <c r="FU10" s="2965"/>
      <c r="FV10" s="2965"/>
      <c r="FW10" s="2965"/>
      <c r="FX10" s="2965"/>
      <c r="FY10" s="2965"/>
      <c r="FZ10" s="2965"/>
      <c r="GA10" s="2965"/>
      <c r="GB10" s="2965"/>
      <c r="GC10" s="2965"/>
      <c r="GD10" s="2965"/>
      <c r="GE10" s="2965"/>
      <c r="GF10" s="2965"/>
      <c r="GG10" s="2965"/>
      <c r="GH10" s="2965"/>
      <c r="GI10" s="2965"/>
      <c r="GJ10" s="2965"/>
      <c r="GK10" s="2965"/>
      <c r="GL10" s="2965"/>
      <c r="GM10" s="2965"/>
      <c r="GN10" s="2965"/>
      <c r="GO10" s="2965"/>
      <c r="GP10" s="2965"/>
      <c r="GQ10" s="2965"/>
      <c r="GR10" s="2965"/>
      <c r="GS10" s="2965"/>
      <c r="GT10" s="2965"/>
      <c r="GU10" s="2965"/>
      <c r="GV10" s="2965"/>
      <c r="GW10" s="2965"/>
      <c r="GX10" s="2965"/>
      <c r="GY10" s="2965"/>
      <c r="GZ10" s="2965"/>
      <c r="HA10" s="2965"/>
      <c r="HB10" s="2965"/>
      <c r="HC10" s="2965"/>
      <c r="HD10" s="2965"/>
      <c r="HE10" s="2965"/>
      <c r="HF10" s="2965"/>
      <c r="HG10" s="2965"/>
      <c r="HH10" s="2965"/>
      <c r="HI10" s="2965"/>
      <c r="HJ10" s="2965"/>
      <c r="HK10" s="2965"/>
      <c r="HL10" s="2965"/>
      <c r="HM10" s="2965"/>
      <c r="HN10" s="2965"/>
      <c r="HO10" s="2965"/>
      <c r="HP10" s="2965"/>
      <c r="HQ10" s="2965"/>
      <c r="HR10" s="2965"/>
      <c r="HS10" s="2965"/>
      <c r="HT10" s="2965"/>
      <c r="HU10" s="2965"/>
      <c r="HV10" s="2965"/>
      <c r="HW10" s="2965"/>
      <c r="HX10" s="2965"/>
      <c r="HY10" s="2965"/>
      <c r="HZ10" s="2965"/>
      <c r="IA10" s="2965"/>
      <c r="IB10" s="2965"/>
      <c r="IC10" s="2965"/>
      <c r="ID10" s="2965"/>
      <c r="IE10" s="2965"/>
      <c r="IF10" s="2965"/>
      <c r="IG10" s="2965"/>
      <c r="IH10" s="2965"/>
      <c r="II10" s="2965"/>
      <c r="IJ10" s="2965"/>
      <c r="IK10" s="2965"/>
      <c r="IL10" s="2965"/>
      <c r="IM10" s="2965"/>
      <c r="IN10" s="2965"/>
      <c r="IO10" s="2965"/>
      <c r="IP10" s="2965"/>
      <c r="IQ10" s="2965"/>
      <c r="IR10" s="2965"/>
      <c r="IS10" s="2965"/>
      <c r="IT10" s="2965"/>
      <c r="IU10" s="2965"/>
      <c r="IV10" s="2965"/>
    </row>
    <row r="11" spans="1:257">
      <c r="A11" s="2966"/>
      <c r="B11" s="2967" t="s">
        <v>2799</v>
      </c>
      <c r="C11" s="2968" t="s">
        <v>2800</v>
      </c>
      <c r="D11" s="2969" t="s">
        <v>2801</v>
      </c>
      <c r="E11" s="2970"/>
      <c r="F11" s="2969" t="s">
        <v>2802</v>
      </c>
      <c r="G11" s="2971"/>
      <c r="H11" s="2970"/>
      <c r="I11" s="2969" t="s">
        <v>2803</v>
      </c>
      <c r="J11" s="2970"/>
      <c r="K11" s="2966"/>
      <c r="L11" s="2967" t="s">
        <v>2799</v>
      </c>
      <c r="M11" s="2968" t="s">
        <v>2800</v>
      </c>
      <c r="N11" s="2967" t="s">
        <v>2804</v>
      </c>
      <c r="O11" s="2969" t="s">
        <v>2805</v>
      </c>
      <c r="P11" s="2971"/>
      <c r="Q11" s="2971"/>
      <c r="R11" s="2971"/>
      <c r="S11" s="2971"/>
      <c r="T11" s="2970"/>
      <c r="U11" s="2969" t="s">
        <v>2806</v>
      </c>
      <c r="V11" s="2971"/>
      <c r="W11" s="2970"/>
      <c r="X11" s="2967" t="s">
        <v>2807</v>
      </c>
      <c r="Y11" s="2967" t="s">
        <v>2808</v>
      </c>
      <c r="Z11" s="2967" t="s">
        <v>2809</v>
      </c>
      <c r="AA11" s="2972"/>
      <c r="AB11" s="2972"/>
      <c r="AC11" s="2972"/>
      <c r="AD11" s="2972"/>
      <c r="AE11" s="2972"/>
      <c r="AF11" s="2972"/>
      <c r="AG11" s="2972"/>
      <c r="AH11" s="2972"/>
      <c r="AI11" s="2972"/>
      <c r="AJ11" s="2972"/>
      <c r="AK11" s="2972"/>
      <c r="AL11" s="2972"/>
      <c r="AM11" s="2972"/>
      <c r="AN11" s="2972"/>
      <c r="AO11" s="2972"/>
      <c r="AP11" s="2972"/>
      <c r="AQ11" s="2972"/>
      <c r="AR11" s="2972"/>
      <c r="AS11" s="2972"/>
      <c r="AT11" s="2972"/>
      <c r="AU11" s="2972"/>
      <c r="AV11" s="2972"/>
      <c r="AW11" s="2972"/>
      <c r="AX11" s="2972"/>
      <c r="AY11" s="2972"/>
      <c r="AZ11" s="2972"/>
      <c r="BA11" s="2972"/>
      <c r="BB11" s="2972"/>
      <c r="BC11" s="2972"/>
      <c r="BD11" s="2972"/>
      <c r="BE11" s="2972"/>
      <c r="BF11" s="2972"/>
      <c r="BG11" s="2972"/>
      <c r="BH11" s="2972"/>
      <c r="BI11" s="2972"/>
      <c r="BJ11" s="2972"/>
      <c r="BK11" s="2972"/>
      <c r="BL11" s="2972"/>
      <c r="BM11" s="2972"/>
      <c r="BN11" s="2972"/>
      <c r="BO11" s="2972"/>
      <c r="BP11" s="2972"/>
      <c r="BQ11" s="2972"/>
      <c r="BR11" s="2972"/>
      <c r="BS11" s="2972"/>
      <c r="BT11" s="2972"/>
      <c r="BU11" s="2972"/>
      <c r="BV11" s="2972"/>
      <c r="BW11" s="2972"/>
      <c r="BX11" s="2972"/>
      <c r="BY11" s="2972"/>
      <c r="BZ11" s="2972"/>
      <c r="CA11" s="2972"/>
      <c r="CB11" s="2972"/>
      <c r="CC11" s="2972"/>
      <c r="CD11" s="2972"/>
      <c r="CE11" s="2972"/>
      <c r="CF11" s="2972"/>
      <c r="CG11" s="2972"/>
      <c r="CH11" s="2972"/>
      <c r="CI11" s="2972"/>
      <c r="CJ11" s="2972"/>
      <c r="CK11" s="2972"/>
      <c r="CL11" s="2972"/>
      <c r="CM11" s="2972"/>
      <c r="CN11" s="2972"/>
      <c r="CO11" s="2972"/>
      <c r="CP11" s="2972"/>
      <c r="CQ11" s="2972"/>
      <c r="CR11" s="2972"/>
      <c r="CS11" s="2972"/>
      <c r="CT11" s="2972"/>
      <c r="CU11" s="2972"/>
      <c r="CV11" s="2972"/>
      <c r="CW11" s="2972"/>
      <c r="CX11" s="2972"/>
      <c r="CY11" s="2972"/>
      <c r="CZ11" s="2972"/>
      <c r="DA11" s="2972"/>
      <c r="DB11" s="2972"/>
      <c r="DC11" s="2972"/>
      <c r="DD11" s="2972"/>
      <c r="DE11" s="2972"/>
      <c r="DF11" s="2972"/>
      <c r="DG11" s="2972"/>
      <c r="DH11" s="2972"/>
      <c r="DI11" s="2972"/>
      <c r="DJ11" s="2972"/>
      <c r="DK11" s="2972"/>
      <c r="DL11" s="2972"/>
      <c r="DM11" s="2972"/>
      <c r="DN11" s="2972"/>
      <c r="DO11" s="2972"/>
      <c r="DP11" s="2972"/>
      <c r="DQ11" s="2972"/>
      <c r="DR11" s="2972"/>
      <c r="DS11" s="2972"/>
      <c r="DT11" s="2972"/>
      <c r="DU11" s="2972"/>
      <c r="DV11" s="2972"/>
      <c r="DW11" s="2972"/>
      <c r="DX11" s="2972"/>
      <c r="DY11" s="2972"/>
      <c r="DZ11" s="2972"/>
      <c r="EA11" s="2972"/>
      <c r="EB11" s="2972"/>
      <c r="EC11" s="2972"/>
      <c r="ED11" s="2972"/>
      <c r="EE11" s="2972"/>
      <c r="EF11" s="2972"/>
      <c r="EG11" s="2972"/>
      <c r="EH11" s="2972"/>
      <c r="EI11" s="2972"/>
      <c r="EJ11" s="2972"/>
      <c r="EK11" s="2972"/>
      <c r="EL11" s="2972"/>
      <c r="EM11" s="2972"/>
      <c r="EN11" s="2972"/>
      <c r="EO11" s="2972"/>
      <c r="EP11" s="2972"/>
      <c r="EQ11" s="2972"/>
      <c r="ER11" s="2972"/>
      <c r="ES11" s="2972"/>
      <c r="ET11" s="2972"/>
      <c r="EU11" s="2972"/>
      <c r="EV11" s="2972"/>
      <c r="EW11" s="2972"/>
      <c r="EX11" s="2972"/>
      <c r="EY11" s="2972"/>
      <c r="EZ11" s="2972"/>
      <c r="FA11" s="2972"/>
      <c r="FB11" s="2972"/>
      <c r="FC11" s="2972"/>
      <c r="FD11" s="2972"/>
      <c r="FE11" s="2972"/>
      <c r="FF11" s="2972"/>
      <c r="FG11" s="2972"/>
      <c r="FH11" s="2972"/>
      <c r="FI11" s="2972"/>
      <c r="FJ11" s="2972"/>
      <c r="FK11" s="2972"/>
      <c r="FL11" s="2972"/>
      <c r="FM11" s="2972"/>
      <c r="FN11" s="2972"/>
      <c r="FO11" s="2972"/>
      <c r="FP11" s="2972"/>
      <c r="FQ11" s="2972"/>
      <c r="FR11" s="2972"/>
      <c r="FS11" s="2972"/>
      <c r="FT11" s="2972"/>
      <c r="FU11" s="2972"/>
      <c r="FV11" s="2972"/>
      <c r="FW11" s="2972"/>
      <c r="FX11" s="2972"/>
      <c r="FY11" s="2972"/>
      <c r="FZ11" s="2972"/>
      <c r="GA11" s="2972"/>
      <c r="GB11" s="2972"/>
      <c r="GC11" s="2972"/>
      <c r="GD11" s="2972"/>
      <c r="GE11" s="2972"/>
      <c r="GF11" s="2972"/>
      <c r="GG11" s="2972"/>
      <c r="GH11" s="2972"/>
      <c r="GI11" s="2972"/>
      <c r="GJ11" s="2972"/>
      <c r="GK11" s="2972"/>
      <c r="GL11" s="2972"/>
      <c r="GM11" s="2972"/>
      <c r="GN11" s="2972"/>
      <c r="GO11" s="2972"/>
      <c r="GP11" s="2972"/>
      <c r="GQ11" s="2972"/>
      <c r="GR11" s="2972"/>
      <c r="GS11" s="2972"/>
      <c r="GT11" s="2972"/>
      <c r="GU11" s="2972"/>
      <c r="GV11" s="2972"/>
      <c r="GW11" s="2972"/>
      <c r="GX11" s="2972"/>
      <c r="GY11" s="2972"/>
      <c r="GZ11" s="2972"/>
      <c r="HA11" s="2972"/>
      <c r="HB11" s="2972"/>
      <c r="HC11" s="2972"/>
      <c r="HD11" s="2972"/>
      <c r="HE11" s="2972"/>
      <c r="HF11" s="2972"/>
      <c r="HG11" s="2972"/>
      <c r="HH11" s="2972"/>
      <c r="HI11" s="2972"/>
      <c r="HJ11" s="2972"/>
      <c r="HK11" s="2972"/>
      <c r="HL11" s="2972"/>
      <c r="HM11" s="2972"/>
      <c r="HN11" s="2972"/>
      <c r="HO11" s="2972"/>
      <c r="HP11" s="2972"/>
      <c r="HQ11" s="2972"/>
      <c r="HR11" s="2972"/>
      <c r="HS11" s="2972"/>
      <c r="HT11" s="2972"/>
      <c r="HU11" s="2972"/>
      <c r="HV11" s="2972"/>
      <c r="HW11" s="2972"/>
      <c r="HX11" s="2972"/>
      <c r="HY11" s="2972"/>
      <c r="HZ11" s="2972"/>
      <c r="IA11" s="2972"/>
      <c r="IB11" s="2972"/>
      <c r="IC11" s="2972"/>
      <c r="ID11" s="2972"/>
      <c r="IE11" s="2972"/>
      <c r="IF11" s="2972"/>
      <c r="IG11" s="2972"/>
      <c r="IH11" s="2972"/>
      <c r="II11" s="2972"/>
      <c r="IJ11" s="2972"/>
      <c r="IK11" s="2972"/>
      <c r="IL11" s="2972"/>
      <c r="IM11" s="2972"/>
      <c r="IN11" s="2972"/>
      <c r="IO11" s="2972"/>
      <c r="IP11" s="2972"/>
      <c r="IQ11" s="2972"/>
      <c r="IR11" s="2972"/>
      <c r="IS11" s="2972"/>
      <c r="IT11" s="2972"/>
      <c r="IU11" s="2972"/>
      <c r="IV11" s="2972"/>
    </row>
    <row r="12" spans="1:257">
      <c r="A12" s="2973"/>
      <c r="B12" s="2974"/>
      <c r="C12" s="2975"/>
      <c r="D12" s="2976" t="s">
        <v>2810</v>
      </c>
      <c r="E12" s="2976" t="s">
        <v>2811</v>
      </c>
      <c r="F12" s="2976" t="s">
        <v>2812</v>
      </c>
      <c r="G12" s="2976" t="s">
        <v>2813</v>
      </c>
      <c r="H12" s="2976" t="s">
        <v>2795</v>
      </c>
      <c r="I12" s="2977" t="s">
        <v>2814</v>
      </c>
      <c r="J12" s="2977" t="s">
        <v>2814</v>
      </c>
      <c r="K12" s="2973"/>
      <c r="L12" s="2974"/>
      <c r="M12" s="2975"/>
      <c r="N12" s="2974"/>
      <c r="O12" s="2977" t="s">
        <v>2815</v>
      </c>
      <c r="P12" s="2977">
        <v>0.5</v>
      </c>
      <c r="Q12" s="2977">
        <v>1</v>
      </c>
      <c r="R12" s="2977">
        <v>2</v>
      </c>
      <c r="S12" s="2977">
        <v>3</v>
      </c>
      <c r="T12" s="2977">
        <v>5</v>
      </c>
      <c r="U12" s="2977">
        <v>1</v>
      </c>
      <c r="V12" s="2977">
        <v>3</v>
      </c>
      <c r="W12" s="2977">
        <v>5</v>
      </c>
      <c r="X12" s="2974"/>
      <c r="Y12" s="2974"/>
      <c r="Z12" s="2974"/>
      <c r="AA12" s="2978"/>
      <c r="AB12" s="2978"/>
      <c r="AC12" s="2978"/>
      <c r="AD12" s="2978"/>
      <c r="AE12" s="2978"/>
      <c r="AF12" s="2978"/>
      <c r="AG12" s="2978"/>
      <c r="AH12" s="2978"/>
      <c r="AI12" s="2978"/>
      <c r="AJ12" s="2978"/>
      <c r="AK12" s="2978"/>
      <c r="AL12" s="2978"/>
      <c r="AM12" s="2978"/>
      <c r="AN12" s="2978"/>
      <c r="AO12" s="2978"/>
      <c r="AP12" s="2978"/>
      <c r="AQ12" s="2978"/>
      <c r="AR12" s="2978"/>
      <c r="AS12" s="2978"/>
      <c r="AT12" s="2978"/>
      <c r="AU12" s="2978"/>
      <c r="AV12" s="2978"/>
      <c r="AW12" s="2978"/>
      <c r="AX12" s="2978"/>
      <c r="AY12" s="2978"/>
      <c r="AZ12" s="2978"/>
      <c r="BA12" s="2978"/>
      <c r="BB12" s="2978"/>
      <c r="BC12" s="2978"/>
      <c r="BD12" s="2978"/>
      <c r="BE12" s="2978"/>
      <c r="BF12" s="2978"/>
      <c r="BG12" s="2978"/>
      <c r="BH12" s="2978"/>
      <c r="BI12" s="2978"/>
      <c r="BJ12" s="2978"/>
      <c r="BK12" s="2978"/>
      <c r="BL12" s="2978"/>
      <c r="BM12" s="2978"/>
      <c r="BN12" s="2978"/>
      <c r="BO12" s="2978"/>
      <c r="BP12" s="2978"/>
      <c r="BQ12" s="2978"/>
      <c r="BR12" s="2978"/>
      <c r="BS12" s="2978"/>
      <c r="BT12" s="2978"/>
      <c r="BU12" s="2978"/>
      <c r="BV12" s="2978"/>
      <c r="BW12" s="2978"/>
      <c r="BX12" s="2978"/>
      <c r="BY12" s="2978"/>
      <c r="BZ12" s="2978"/>
      <c r="CA12" s="2978"/>
      <c r="CB12" s="2978"/>
      <c r="CC12" s="2978"/>
      <c r="CD12" s="2978"/>
      <c r="CE12" s="2978"/>
      <c r="CF12" s="2978"/>
      <c r="CG12" s="2978"/>
      <c r="CH12" s="2978"/>
      <c r="CI12" s="2978"/>
      <c r="CJ12" s="2978"/>
      <c r="CK12" s="2978"/>
      <c r="CL12" s="2978"/>
      <c r="CM12" s="2978"/>
      <c r="CN12" s="2978"/>
      <c r="CO12" s="2978"/>
      <c r="CP12" s="2978"/>
      <c r="CQ12" s="2978"/>
      <c r="CR12" s="2978"/>
      <c r="CS12" s="2978"/>
      <c r="CT12" s="2978"/>
      <c r="CU12" s="2978"/>
      <c r="CV12" s="2978"/>
      <c r="CW12" s="2978"/>
      <c r="CX12" s="2978"/>
      <c r="CY12" s="2978"/>
      <c r="CZ12" s="2978"/>
      <c r="DA12" s="2978"/>
      <c r="DB12" s="2978"/>
      <c r="DC12" s="2978"/>
      <c r="DD12" s="2978"/>
      <c r="DE12" s="2978"/>
      <c r="DF12" s="2978"/>
      <c r="DG12" s="2978"/>
      <c r="DH12" s="2978"/>
      <c r="DI12" s="2978"/>
      <c r="DJ12" s="2978"/>
      <c r="DK12" s="2978"/>
      <c r="DL12" s="2978"/>
      <c r="DM12" s="2978"/>
      <c r="DN12" s="2978"/>
      <c r="DO12" s="2978"/>
      <c r="DP12" s="2978"/>
      <c r="DQ12" s="2978"/>
      <c r="DR12" s="2978"/>
      <c r="DS12" s="2978"/>
      <c r="DT12" s="2978"/>
      <c r="DU12" s="2978"/>
      <c r="DV12" s="2978"/>
      <c r="DW12" s="2978"/>
      <c r="DX12" s="2978"/>
      <c r="DY12" s="2978"/>
      <c r="DZ12" s="2978"/>
      <c r="EA12" s="2978"/>
      <c r="EB12" s="2978"/>
      <c r="EC12" s="2978"/>
      <c r="ED12" s="2978"/>
      <c r="EE12" s="2978"/>
      <c r="EF12" s="2978"/>
      <c r="EG12" s="2978"/>
      <c r="EH12" s="2978"/>
      <c r="EI12" s="2978"/>
      <c r="EJ12" s="2978"/>
      <c r="EK12" s="2978"/>
      <c r="EL12" s="2978"/>
      <c r="EM12" s="2978"/>
      <c r="EN12" s="2978"/>
      <c r="EO12" s="2978"/>
      <c r="EP12" s="2978"/>
      <c r="EQ12" s="2978"/>
      <c r="ER12" s="2978"/>
      <c r="ES12" s="2978"/>
      <c r="ET12" s="2978"/>
      <c r="EU12" s="2978"/>
      <c r="EV12" s="2978"/>
      <c r="EW12" s="2978"/>
      <c r="EX12" s="2978"/>
      <c r="EY12" s="2978"/>
      <c r="EZ12" s="2978"/>
      <c r="FA12" s="2978"/>
      <c r="FB12" s="2978"/>
      <c r="FC12" s="2978"/>
      <c r="FD12" s="2978"/>
      <c r="FE12" s="2978"/>
      <c r="FF12" s="2978"/>
      <c r="FG12" s="2978"/>
      <c r="FH12" s="2978"/>
      <c r="FI12" s="2978"/>
      <c r="FJ12" s="2978"/>
      <c r="FK12" s="2978"/>
      <c r="FL12" s="2978"/>
      <c r="FM12" s="2978"/>
      <c r="FN12" s="2978"/>
      <c r="FO12" s="2978"/>
      <c r="FP12" s="2978"/>
      <c r="FQ12" s="2978"/>
      <c r="FR12" s="2978"/>
      <c r="FS12" s="2978"/>
      <c r="FT12" s="2978"/>
      <c r="FU12" s="2978"/>
      <c r="FV12" s="2978"/>
      <c r="FW12" s="2978"/>
      <c r="FX12" s="2978"/>
      <c r="FY12" s="2978"/>
      <c r="FZ12" s="2978"/>
      <c r="GA12" s="2978"/>
      <c r="GB12" s="2978"/>
      <c r="GC12" s="2978"/>
      <c r="GD12" s="2978"/>
      <c r="GE12" s="2978"/>
      <c r="GF12" s="2978"/>
      <c r="GG12" s="2978"/>
      <c r="GH12" s="2978"/>
      <c r="GI12" s="2978"/>
      <c r="GJ12" s="2978"/>
      <c r="GK12" s="2978"/>
      <c r="GL12" s="2978"/>
      <c r="GM12" s="2978"/>
      <c r="GN12" s="2978"/>
      <c r="GO12" s="2978"/>
      <c r="GP12" s="2978"/>
      <c r="GQ12" s="2978"/>
      <c r="GR12" s="2978"/>
      <c r="GS12" s="2978"/>
      <c r="GT12" s="2978"/>
      <c r="GU12" s="2978"/>
      <c r="GV12" s="2978"/>
      <c r="GW12" s="2978"/>
      <c r="GX12" s="2978"/>
      <c r="GY12" s="2978"/>
      <c r="GZ12" s="2978"/>
      <c r="HA12" s="2978"/>
      <c r="HB12" s="2978"/>
      <c r="HC12" s="2978"/>
      <c r="HD12" s="2978"/>
      <c r="HE12" s="2978"/>
      <c r="HF12" s="2978"/>
      <c r="HG12" s="2978"/>
      <c r="HH12" s="2978"/>
      <c r="HI12" s="2978"/>
      <c r="HJ12" s="2978"/>
      <c r="HK12" s="2978"/>
      <c r="HL12" s="2978"/>
      <c r="HM12" s="2978"/>
      <c r="HN12" s="2978"/>
      <c r="HO12" s="2978"/>
      <c r="HP12" s="2978"/>
      <c r="HQ12" s="2978"/>
      <c r="HR12" s="2978"/>
      <c r="HS12" s="2978"/>
      <c r="HT12" s="2978"/>
      <c r="HU12" s="2978"/>
      <c r="HV12" s="2978"/>
      <c r="HW12" s="2978"/>
      <c r="HX12" s="2978"/>
      <c r="HY12" s="2978"/>
      <c r="HZ12" s="2978"/>
      <c r="IA12" s="2978"/>
      <c r="IB12" s="2978"/>
      <c r="IC12" s="2978"/>
      <c r="ID12" s="2978"/>
      <c r="IE12" s="2978"/>
      <c r="IF12" s="2978"/>
      <c r="IG12" s="2978"/>
      <c r="IH12" s="2978"/>
      <c r="II12" s="2978"/>
      <c r="IJ12" s="2978"/>
      <c r="IK12" s="2978"/>
      <c r="IL12" s="2978"/>
      <c r="IM12" s="2978"/>
      <c r="IN12" s="2978"/>
      <c r="IO12" s="2978"/>
      <c r="IP12" s="2978"/>
      <c r="IQ12" s="2978"/>
      <c r="IR12" s="2978"/>
      <c r="IS12" s="2978"/>
      <c r="IT12" s="2978"/>
      <c r="IU12" s="2978"/>
      <c r="IV12" s="2978"/>
    </row>
    <row r="13" spans="1:257" ht="14.25">
      <c r="A13" s="2979"/>
      <c r="B13" s="2980" t="s">
        <v>2816</v>
      </c>
      <c r="C13" s="2981">
        <v>42301</v>
      </c>
      <c r="D13" s="2982">
        <v>4.3499999999999996</v>
      </c>
      <c r="E13" s="2982">
        <v>4.3499999999999996</v>
      </c>
      <c r="F13" s="2982">
        <v>4.75</v>
      </c>
      <c r="G13" s="2982">
        <v>4.75</v>
      </c>
      <c r="H13" s="2982">
        <v>4.9000000000000004</v>
      </c>
      <c r="I13" s="2982">
        <v>2.75</v>
      </c>
      <c r="J13" s="2982">
        <v>3.25</v>
      </c>
      <c r="K13" s="2979"/>
      <c r="L13" s="2980" t="s">
        <v>2816</v>
      </c>
      <c r="M13" s="2983">
        <v>42301</v>
      </c>
      <c r="N13" s="2982">
        <v>0.35</v>
      </c>
      <c r="O13" s="2982">
        <v>1.1000000000000001</v>
      </c>
      <c r="P13" s="2982">
        <v>1.3</v>
      </c>
      <c r="Q13" s="2982">
        <v>1.5</v>
      </c>
      <c r="R13" s="2982">
        <v>2.1</v>
      </c>
      <c r="S13" s="2982">
        <v>2.75</v>
      </c>
      <c r="T13" s="2982"/>
      <c r="U13" s="2982"/>
      <c r="V13" s="2982"/>
      <c r="W13" s="2982"/>
      <c r="X13" s="2982"/>
      <c r="Y13" s="2982"/>
      <c r="Z13" s="2982"/>
      <c r="AA13" s="2984"/>
      <c r="AB13" s="2984"/>
      <c r="AC13" s="2984"/>
      <c r="AD13" s="2984"/>
      <c r="AE13" s="2984"/>
      <c r="AF13" s="2984"/>
      <c r="AG13" s="2984"/>
      <c r="AH13" s="2984"/>
      <c r="AI13" s="2984"/>
      <c r="AJ13" s="2984"/>
      <c r="AK13" s="2984"/>
      <c r="AL13" s="2984"/>
      <c r="AM13" s="2984"/>
      <c r="AN13" s="2984"/>
      <c r="AO13" s="2984"/>
      <c r="AP13" s="2984"/>
      <c r="AQ13" s="2984"/>
      <c r="AR13" s="2984"/>
      <c r="AS13" s="2984"/>
      <c r="AT13" s="2984"/>
      <c r="AU13" s="2984"/>
      <c r="AV13" s="2984"/>
      <c r="AW13" s="2984"/>
      <c r="AX13" s="2984"/>
      <c r="AY13" s="2984"/>
      <c r="AZ13" s="2984"/>
      <c r="BA13" s="2984"/>
      <c r="BB13" s="2984"/>
      <c r="BC13" s="2984"/>
      <c r="BD13" s="2984"/>
      <c r="BE13" s="2984"/>
      <c r="BF13" s="2984"/>
      <c r="BG13" s="2984"/>
      <c r="BH13" s="2984"/>
      <c r="BI13" s="2984"/>
      <c r="BJ13" s="2984"/>
      <c r="BK13" s="2984"/>
      <c r="BL13" s="2984"/>
      <c r="BM13" s="2984"/>
      <c r="BN13" s="2984"/>
      <c r="BO13" s="2984"/>
      <c r="BP13" s="2984"/>
      <c r="BQ13" s="2984"/>
      <c r="BR13" s="2984"/>
      <c r="BS13" s="2984"/>
      <c r="BT13" s="2984"/>
      <c r="BU13" s="2984"/>
      <c r="BV13" s="2984"/>
      <c r="BW13" s="2984"/>
      <c r="BX13" s="2984"/>
      <c r="BY13" s="2984"/>
      <c r="BZ13" s="2984"/>
      <c r="CA13" s="2984"/>
      <c r="CB13" s="2984"/>
      <c r="CC13" s="2984"/>
      <c r="CD13" s="2984"/>
      <c r="CE13" s="2984"/>
      <c r="CF13" s="2984"/>
      <c r="CG13" s="2984"/>
      <c r="CH13" s="2984"/>
      <c r="CI13" s="2984"/>
      <c r="CJ13" s="2984"/>
      <c r="CK13" s="2984"/>
      <c r="CL13" s="2984"/>
      <c r="CM13" s="2984"/>
      <c r="CN13" s="2984"/>
      <c r="CO13" s="2984"/>
      <c r="CP13" s="2984"/>
      <c r="CQ13" s="2984"/>
      <c r="CR13" s="2984"/>
      <c r="CS13" s="2984"/>
      <c r="CT13" s="2984"/>
      <c r="CU13" s="2984"/>
      <c r="CV13" s="2984"/>
      <c r="CW13" s="2984"/>
      <c r="CX13" s="2984"/>
      <c r="CY13" s="2984"/>
      <c r="CZ13" s="2984"/>
      <c r="DA13" s="2984"/>
      <c r="DB13" s="2984"/>
      <c r="DC13" s="2984"/>
      <c r="DD13" s="2984"/>
      <c r="DE13" s="2984"/>
      <c r="DF13" s="2984"/>
      <c r="DG13" s="2984"/>
      <c r="DH13" s="2984"/>
      <c r="DI13" s="2984"/>
      <c r="DJ13" s="2984"/>
      <c r="DK13" s="2984"/>
      <c r="DL13" s="2984"/>
      <c r="DM13" s="2984"/>
      <c r="DN13" s="2984"/>
      <c r="DO13" s="2984"/>
      <c r="DP13" s="2984"/>
      <c r="DQ13" s="2984"/>
      <c r="DR13" s="2984"/>
      <c r="DS13" s="2984"/>
      <c r="DT13" s="2984"/>
      <c r="DU13" s="2984"/>
      <c r="DV13" s="2984"/>
      <c r="DW13" s="2984"/>
      <c r="DX13" s="2984"/>
      <c r="DY13" s="2984"/>
      <c r="DZ13" s="2984"/>
      <c r="EA13" s="2984"/>
      <c r="EB13" s="2984"/>
      <c r="EC13" s="2984"/>
      <c r="ED13" s="2984"/>
      <c r="EE13" s="2984"/>
      <c r="EF13" s="2984"/>
      <c r="EG13" s="2984"/>
      <c r="EH13" s="2984"/>
      <c r="EI13" s="2984"/>
      <c r="EJ13" s="2984"/>
      <c r="EK13" s="2984"/>
      <c r="EL13" s="2984"/>
      <c r="EM13" s="2984"/>
      <c r="EN13" s="2984"/>
      <c r="EO13" s="2984"/>
      <c r="EP13" s="2984"/>
      <c r="EQ13" s="2984"/>
      <c r="ER13" s="2984"/>
      <c r="ES13" s="2984"/>
      <c r="ET13" s="2984"/>
      <c r="EU13" s="2984"/>
      <c r="EV13" s="2984"/>
      <c r="EW13" s="2984"/>
      <c r="EX13" s="2984"/>
      <c r="EY13" s="2984"/>
      <c r="EZ13" s="2984"/>
      <c r="FA13" s="2984"/>
      <c r="FB13" s="2984"/>
      <c r="FC13" s="2984"/>
      <c r="FD13" s="2984"/>
      <c r="FE13" s="2984"/>
      <c r="FF13" s="2984"/>
      <c r="FG13" s="2984"/>
      <c r="FH13" s="2984"/>
      <c r="FI13" s="2984"/>
      <c r="FJ13" s="2984"/>
      <c r="FK13" s="2984"/>
      <c r="FL13" s="2984"/>
      <c r="FM13" s="2984"/>
      <c r="FN13" s="2984"/>
      <c r="FO13" s="2984"/>
      <c r="FP13" s="2984"/>
      <c r="FQ13" s="2984"/>
      <c r="FR13" s="2984"/>
      <c r="FS13" s="2984"/>
      <c r="FT13" s="2984"/>
      <c r="FU13" s="2984"/>
      <c r="FV13" s="2984"/>
      <c r="FW13" s="2984"/>
      <c r="FX13" s="2984"/>
      <c r="FY13" s="2984"/>
      <c r="FZ13" s="2984"/>
      <c r="GA13" s="2984"/>
      <c r="GB13" s="2984"/>
      <c r="GC13" s="2984"/>
      <c r="GD13" s="2984"/>
      <c r="GE13" s="2984"/>
      <c r="GF13" s="2984"/>
      <c r="GG13" s="2984"/>
      <c r="GH13" s="2984"/>
      <c r="GI13" s="2984"/>
      <c r="GJ13" s="2984"/>
      <c r="GK13" s="2984"/>
      <c r="GL13" s="2984"/>
      <c r="GM13" s="2984"/>
      <c r="GN13" s="2984"/>
      <c r="GO13" s="2984"/>
      <c r="GP13" s="2984"/>
      <c r="GQ13" s="2984"/>
      <c r="GR13" s="2984"/>
      <c r="GS13" s="2984"/>
      <c r="GT13" s="2984"/>
      <c r="GU13" s="2984"/>
      <c r="GV13" s="2984"/>
      <c r="GW13" s="2984"/>
      <c r="GX13" s="2984"/>
      <c r="GY13" s="2984"/>
      <c r="GZ13" s="2984"/>
      <c r="HA13" s="2984"/>
      <c r="HB13" s="2984"/>
      <c r="HC13" s="2984"/>
      <c r="HD13" s="2984"/>
      <c r="HE13" s="2984"/>
      <c r="HF13" s="2984"/>
      <c r="HG13" s="2984"/>
      <c r="HH13" s="2984"/>
      <c r="HI13" s="2984"/>
      <c r="HJ13" s="2984"/>
      <c r="HK13" s="2984"/>
      <c r="HL13" s="2984"/>
      <c r="HM13" s="2984"/>
      <c r="HN13" s="2984"/>
      <c r="HO13" s="2984"/>
      <c r="HP13" s="2984"/>
      <c r="HQ13" s="2984"/>
      <c r="HR13" s="2984"/>
      <c r="HS13" s="2984"/>
      <c r="HT13" s="2984"/>
      <c r="HU13" s="2984"/>
      <c r="HV13" s="2984"/>
      <c r="HW13" s="2984"/>
      <c r="HX13" s="2984"/>
      <c r="HY13" s="2984"/>
      <c r="HZ13" s="2984"/>
      <c r="IA13" s="2984"/>
      <c r="IB13" s="2984"/>
      <c r="IC13" s="2984"/>
      <c r="ID13" s="2984"/>
      <c r="IE13" s="2984"/>
      <c r="IF13" s="2984"/>
      <c r="IG13" s="2984"/>
      <c r="IH13" s="2984"/>
      <c r="II13" s="2984"/>
      <c r="IJ13" s="2984"/>
      <c r="IK13" s="2984"/>
      <c r="IL13" s="2984"/>
      <c r="IM13" s="2984"/>
      <c r="IN13" s="2984"/>
      <c r="IO13" s="2984"/>
      <c r="IP13" s="2984"/>
      <c r="IQ13" s="2984"/>
      <c r="IR13" s="2984"/>
      <c r="IS13" s="2984"/>
      <c r="IT13" s="2984"/>
      <c r="IU13" s="2984"/>
      <c r="IV13" s="2984"/>
      <c r="IW13" s="2985"/>
    </row>
    <row r="14" spans="1:257">
      <c r="B14" s="2986"/>
      <c r="C14" s="2987">
        <v>42242</v>
      </c>
      <c r="D14" s="2986">
        <v>4.5999999999999996</v>
      </c>
      <c r="E14" s="2986">
        <v>4.5999999999999996</v>
      </c>
      <c r="F14" s="2986">
        <v>5</v>
      </c>
      <c r="G14" s="2986">
        <v>5</v>
      </c>
      <c r="H14" s="2986">
        <v>5.15</v>
      </c>
      <c r="I14" s="2986">
        <v>2.75</v>
      </c>
      <c r="J14" s="2986">
        <v>3.25</v>
      </c>
      <c r="L14" s="2986"/>
      <c r="M14" s="2987">
        <v>42242</v>
      </c>
      <c r="N14" s="2986">
        <v>0.35</v>
      </c>
      <c r="O14" s="2986">
        <v>1.35</v>
      </c>
      <c r="P14" s="2986">
        <v>1.55</v>
      </c>
      <c r="Q14" s="2986">
        <v>1.75</v>
      </c>
      <c r="R14" s="2986">
        <v>2.35</v>
      </c>
      <c r="S14" s="2986">
        <v>3</v>
      </c>
      <c r="T14" s="2986"/>
      <c r="U14" s="2986"/>
      <c r="V14" s="2986"/>
      <c r="W14" s="2986"/>
      <c r="X14" s="2986"/>
      <c r="Y14" s="2986"/>
      <c r="Z14" s="2986"/>
    </row>
    <row r="15" spans="1:257">
      <c r="B15" s="2986"/>
      <c r="C15" s="2987">
        <v>42183</v>
      </c>
      <c r="D15" s="2986">
        <v>4.8499999999999996</v>
      </c>
      <c r="E15" s="2986">
        <v>4.8499999999999996</v>
      </c>
      <c r="F15" s="2986">
        <v>5.25</v>
      </c>
      <c r="G15" s="2986">
        <v>5.25</v>
      </c>
      <c r="H15" s="2986">
        <v>5.4</v>
      </c>
      <c r="I15" s="2986">
        <v>3</v>
      </c>
      <c r="J15" s="2986">
        <v>3.5</v>
      </c>
      <c r="L15" s="2986"/>
      <c r="M15" s="2987">
        <v>42183</v>
      </c>
      <c r="N15" s="2986">
        <v>0.35</v>
      </c>
      <c r="O15" s="2986">
        <v>1.6</v>
      </c>
      <c r="P15" s="2986">
        <v>1.8</v>
      </c>
      <c r="Q15" s="2986">
        <v>2</v>
      </c>
      <c r="R15" s="2986">
        <v>2.6</v>
      </c>
      <c r="S15" s="2986">
        <v>3.25</v>
      </c>
      <c r="T15" s="2986"/>
      <c r="U15" s="2986"/>
      <c r="V15" s="2986"/>
      <c r="W15" s="2986"/>
      <c r="X15" s="2986"/>
      <c r="Y15" s="2986"/>
      <c r="Z15" s="2986"/>
    </row>
    <row r="16" spans="1:257">
      <c r="B16" s="2986"/>
      <c r="C16" s="2987">
        <v>42135</v>
      </c>
      <c r="D16" s="2986">
        <v>5.0999999999999996</v>
      </c>
      <c r="E16" s="2986">
        <v>5.0999999999999996</v>
      </c>
      <c r="F16" s="2986">
        <v>5.5</v>
      </c>
      <c r="G16" s="2986">
        <v>5.5</v>
      </c>
      <c r="H16" s="2986">
        <v>5.65</v>
      </c>
      <c r="I16" s="2986">
        <v>3.25</v>
      </c>
      <c r="J16" s="2986">
        <v>3.75</v>
      </c>
      <c r="L16" s="2986"/>
      <c r="M16" s="2987">
        <v>42135</v>
      </c>
      <c r="N16" s="2986">
        <v>0.35</v>
      </c>
      <c r="O16" s="2986">
        <v>1.85</v>
      </c>
      <c r="P16" s="2986">
        <v>2.0499999999999998</v>
      </c>
      <c r="Q16" s="2986">
        <v>2.25</v>
      </c>
      <c r="R16" s="2986">
        <v>2.85</v>
      </c>
      <c r="S16" s="2986">
        <v>3.5</v>
      </c>
      <c r="T16" s="2986"/>
      <c r="U16" s="2986"/>
      <c r="V16" s="2986"/>
      <c r="W16" s="2986"/>
      <c r="X16" s="2986"/>
      <c r="Y16" s="2986"/>
      <c r="Z16" s="2986"/>
    </row>
    <row r="17" spans="2:26">
      <c r="B17" s="2986"/>
      <c r="C17" s="2987">
        <v>42064</v>
      </c>
      <c r="D17" s="2986">
        <v>5.35</v>
      </c>
      <c r="E17" s="2986">
        <v>5.35</v>
      </c>
      <c r="F17" s="2986">
        <v>5.75</v>
      </c>
      <c r="G17" s="2986">
        <v>5.75</v>
      </c>
      <c r="H17" s="2986">
        <v>5.9</v>
      </c>
      <c r="I17" s="2986"/>
      <c r="J17" s="2986"/>
      <c r="L17" s="2986"/>
      <c r="M17" s="2987">
        <v>42064</v>
      </c>
      <c r="N17" s="2986">
        <v>0.35</v>
      </c>
      <c r="O17" s="2986">
        <v>2.1</v>
      </c>
      <c r="P17" s="2986">
        <v>2.2999999999999998</v>
      </c>
      <c r="Q17" s="2986">
        <v>2.5</v>
      </c>
      <c r="R17" s="2986">
        <v>3.1</v>
      </c>
      <c r="S17" s="2986">
        <v>3.75</v>
      </c>
      <c r="T17" s="2986">
        <v>4.5</v>
      </c>
      <c r="U17" s="2986">
        <v>2.35</v>
      </c>
      <c r="V17" s="2986">
        <v>2.5499999999999998</v>
      </c>
      <c r="W17" s="2986">
        <v>2.75</v>
      </c>
      <c r="X17" s="2986"/>
      <c r="Y17" s="2986">
        <v>0.8</v>
      </c>
      <c r="Z17" s="2986">
        <v>1.35</v>
      </c>
    </row>
    <row r="18" spans="2:26" ht="15">
      <c r="B18" s="2986"/>
      <c r="C18" s="2987">
        <v>41965</v>
      </c>
      <c r="D18" s="2986">
        <v>5.6</v>
      </c>
      <c r="E18" s="2986">
        <v>5.6</v>
      </c>
      <c r="F18" s="2986">
        <v>6</v>
      </c>
      <c r="G18" s="2986">
        <v>6</v>
      </c>
      <c r="H18" s="2986">
        <v>6.15</v>
      </c>
      <c r="I18" s="2986"/>
      <c r="J18" s="2986"/>
      <c r="L18" s="2986"/>
      <c r="M18" s="2987">
        <v>41965</v>
      </c>
      <c r="N18" s="2986">
        <v>0.35</v>
      </c>
      <c r="O18" s="2986">
        <v>2.35</v>
      </c>
      <c r="P18" s="2986">
        <v>2.5499999999999998</v>
      </c>
      <c r="Q18" s="2986">
        <v>2.75</v>
      </c>
      <c r="R18" s="2986">
        <v>3.35</v>
      </c>
      <c r="S18" s="2986">
        <v>4</v>
      </c>
      <c r="T18" s="2986">
        <v>4.75</v>
      </c>
      <c r="U18" s="2988">
        <v>2.35</v>
      </c>
      <c r="V18" s="2988">
        <v>2.5499999999999998</v>
      </c>
      <c r="W18" s="2988">
        <v>2.75</v>
      </c>
      <c r="X18" s="2986"/>
      <c r="Y18" s="2988">
        <v>0.8</v>
      </c>
      <c r="Z18" s="2988">
        <v>1.35</v>
      </c>
    </row>
    <row r="19" spans="2:26">
      <c r="B19" s="2986"/>
      <c r="C19" s="2987">
        <v>41096</v>
      </c>
      <c r="D19" s="2986">
        <v>5.6</v>
      </c>
      <c r="E19" s="2986">
        <v>6</v>
      </c>
      <c r="F19" s="2986">
        <v>6.15</v>
      </c>
      <c r="G19" s="2986">
        <v>6.4</v>
      </c>
      <c r="H19" s="2986">
        <v>6.55</v>
      </c>
      <c r="I19" s="2986">
        <v>4</v>
      </c>
      <c r="J19" s="2986">
        <v>4.5</v>
      </c>
      <c r="L19" s="2986"/>
      <c r="M19" s="2987">
        <v>41096</v>
      </c>
      <c r="N19" s="2986">
        <v>0.35</v>
      </c>
      <c r="O19" s="2986">
        <v>2.6</v>
      </c>
      <c r="P19" s="2986">
        <v>2.8</v>
      </c>
      <c r="Q19" s="2986">
        <v>3</v>
      </c>
      <c r="R19" s="2986">
        <v>3.75</v>
      </c>
      <c r="S19" s="2986">
        <v>4.25</v>
      </c>
      <c r="T19" s="2986">
        <v>4.75</v>
      </c>
      <c r="U19" s="2986">
        <v>2.85</v>
      </c>
      <c r="V19" s="2986">
        <v>2.9</v>
      </c>
      <c r="W19" s="2986">
        <v>3</v>
      </c>
      <c r="X19" s="2986">
        <v>1.1499999999999999</v>
      </c>
      <c r="Y19" s="2986">
        <v>0.8</v>
      </c>
      <c r="Z19" s="2986">
        <v>1.35</v>
      </c>
    </row>
    <row r="20" spans="2:26">
      <c r="B20" s="2986"/>
      <c r="C20" s="2987">
        <v>41068</v>
      </c>
      <c r="D20" s="2986">
        <v>5.85</v>
      </c>
      <c r="E20" s="2986">
        <v>6.31</v>
      </c>
      <c r="F20" s="2986">
        <v>6.4</v>
      </c>
      <c r="G20" s="2986">
        <v>6.65</v>
      </c>
      <c r="H20" s="2986">
        <v>6.8</v>
      </c>
      <c r="I20" s="2986">
        <v>4.2</v>
      </c>
      <c r="J20" s="2986">
        <v>4.7</v>
      </c>
      <c r="L20" s="2986"/>
      <c r="M20" s="2987">
        <v>41068</v>
      </c>
      <c r="N20" s="2986">
        <v>0.4</v>
      </c>
      <c r="O20" s="2986">
        <v>2.85</v>
      </c>
      <c r="P20" s="2986">
        <v>3.05</v>
      </c>
      <c r="Q20" s="2986">
        <v>3.25</v>
      </c>
      <c r="R20" s="2986">
        <v>4.0999999999999996</v>
      </c>
      <c r="S20" s="2986">
        <v>4.6500000000000004</v>
      </c>
      <c r="T20" s="2986">
        <v>5.0999999999999996</v>
      </c>
      <c r="U20" s="2986">
        <v>3.1</v>
      </c>
      <c r="V20" s="2986">
        <v>3.15</v>
      </c>
      <c r="W20" s="2986">
        <v>3.25</v>
      </c>
      <c r="X20" s="2986">
        <v>1.31</v>
      </c>
      <c r="Y20" s="2986">
        <v>0.94</v>
      </c>
      <c r="Z20" s="2986">
        <v>1.49</v>
      </c>
    </row>
    <row r="21" spans="2:26">
      <c r="B21" s="2986"/>
      <c r="C21" s="2987">
        <v>40731</v>
      </c>
      <c r="D21" s="2986">
        <v>6.1</v>
      </c>
      <c r="E21" s="2986">
        <v>6.56</v>
      </c>
      <c r="F21" s="2986">
        <v>6.65</v>
      </c>
      <c r="G21" s="2986">
        <v>6.9</v>
      </c>
      <c r="H21" s="2986">
        <v>7.05</v>
      </c>
      <c r="I21" s="2986">
        <v>4.45</v>
      </c>
      <c r="J21" s="2986">
        <v>4.9000000000000004</v>
      </c>
      <c r="L21" s="2986"/>
      <c r="M21" s="2987">
        <v>40731</v>
      </c>
      <c r="N21" s="2986">
        <v>0.5</v>
      </c>
      <c r="O21" s="2986">
        <v>3.1</v>
      </c>
      <c r="P21" s="2986">
        <v>3.3</v>
      </c>
      <c r="Q21" s="2986">
        <v>3.5</v>
      </c>
      <c r="R21" s="2986">
        <v>4.4000000000000004</v>
      </c>
      <c r="S21" s="2986">
        <v>5</v>
      </c>
      <c r="T21" s="2986">
        <v>5.5</v>
      </c>
      <c r="U21" s="2986">
        <v>3.1</v>
      </c>
      <c r="V21" s="2986">
        <v>3.3</v>
      </c>
      <c r="W21" s="2986">
        <v>3.5</v>
      </c>
      <c r="X21" s="2986">
        <v>1.31</v>
      </c>
      <c r="Y21" s="2986">
        <v>0.95</v>
      </c>
      <c r="Z21" s="2986">
        <v>1.49</v>
      </c>
    </row>
    <row r="22" spans="2:26">
      <c r="B22" s="2986"/>
      <c r="C22" s="2987">
        <v>40639</v>
      </c>
      <c r="D22" s="2986">
        <v>5.85</v>
      </c>
      <c r="E22" s="2986">
        <v>6.31</v>
      </c>
      <c r="F22" s="2986">
        <v>6.4</v>
      </c>
      <c r="G22" s="2986">
        <v>6.65</v>
      </c>
      <c r="H22" s="2986">
        <v>6.8</v>
      </c>
      <c r="I22" s="2986">
        <v>4.2</v>
      </c>
      <c r="J22" s="2986">
        <v>4.7</v>
      </c>
      <c r="L22" s="2986"/>
      <c r="M22" s="2987">
        <v>40639</v>
      </c>
      <c r="N22" s="2986">
        <v>0.5</v>
      </c>
      <c r="O22" s="2986">
        <v>2.85</v>
      </c>
      <c r="P22" s="2986">
        <v>3.05</v>
      </c>
      <c r="Q22" s="2986">
        <v>3.25</v>
      </c>
      <c r="R22" s="2986">
        <v>4.1500000000000004</v>
      </c>
      <c r="S22" s="2986">
        <v>4.75</v>
      </c>
      <c r="T22" s="2986">
        <v>5.25</v>
      </c>
      <c r="U22" s="2986">
        <v>2.85</v>
      </c>
      <c r="V22" s="2986">
        <v>3.05</v>
      </c>
      <c r="W22" s="2986">
        <v>3.25</v>
      </c>
      <c r="X22" s="2986">
        <v>1.31</v>
      </c>
      <c r="Y22" s="2986">
        <v>0.95</v>
      </c>
      <c r="Z22" s="2986">
        <v>1.49</v>
      </c>
    </row>
    <row r="23" spans="2:26">
      <c r="B23" s="2986"/>
      <c r="C23" s="2987">
        <v>40583</v>
      </c>
      <c r="D23" s="2986">
        <v>5.6</v>
      </c>
      <c r="E23" s="2986">
        <v>6.06</v>
      </c>
      <c r="F23" s="2986">
        <v>6.1</v>
      </c>
      <c r="G23" s="2986">
        <v>6.45</v>
      </c>
      <c r="H23" s="2986">
        <v>6.6</v>
      </c>
      <c r="I23" s="2986">
        <v>4</v>
      </c>
      <c r="J23" s="2986">
        <v>4.5</v>
      </c>
      <c r="L23" s="2986"/>
      <c r="M23" s="2987">
        <v>40583</v>
      </c>
      <c r="N23" s="2986">
        <v>0.4</v>
      </c>
      <c r="O23" s="2986">
        <v>2.6</v>
      </c>
      <c r="P23" s="2986">
        <v>2.8</v>
      </c>
      <c r="Q23" s="2986">
        <v>3</v>
      </c>
      <c r="R23" s="2986">
        <v>3.9</v>
      </c>
      <c r="S23" s="2986">
        <v>4.5</v>
      </c>
      <c r="T23" s="2986">
        <v>5</v>
      </c>
      <c r="U23" s="2986">
        <v>2.6</v>
      </c>
      <c r="V23" s="2986">
        <v>2.8</v>
      </c>
      <c r="W23" s="2986">
        <v>3</v>
      </c>
      <c r="X23" s="2986">
        <v>1.21</v>
      </c>
      <c r="Y23" s="2986">
        <v>0.85</v>
      </c>
      <c r="Z23" s="2986">
        <v>1.39</v>
      </c>
    </row>
    <row r="24" spans="2:26">
      <c r="B24" s="2986"/>
      <c r="C24" s="2987">
        <v>40538</v>
      </c>
      <c r="D24" s="2986">
        <v>5.35</v>
      </c>
      <c r="E24" s="2986">
        <v>5.81</v>
      </c>
      <c r="F24" s="2986">
        <v>5.85</v>
      </c>
      <c r="G24" s="2986">
        <v>6.22</v>
      </c>
      <c r="H24" s="2986">
        <v>6.4</v>
      </c>
      <c r="I24" s="2986">
        <v>3.75</v>
      </c>
      <c r="J24" s="2986">
        <v>4.3</v>
      </c>
      <c r="L24" s="2986"/>
      <c r="M24" s="2987">
        <v>40538</v>
      </c>
      <c r="N24" s="2986">
        <v>0.36</v>
      </c>
      <c r="O24" s="2986">
        <v>2.25</v>
      </c>
      <c r="P24" s="2986">
        <v>2.5</v>
      </c>
      <c r="Q24" s="2986">
        <v>2.75</v>
      </c>
      <c r="R24" s="2986">
        <v>3.55</v>
      </c>
      <c r="S24" s="2986">
        <v>4.1500000000000004</v>
      </c>
      <c r="T24" s="2986">
        <v>4.55</v>
      </c>
      <c r="U24" s="2986">
        <v>2.16</v>
      </c>
      <c r="V24" s="2986">
        <v>2.5</v>
      </c>
      <c r="W24" s="2986">
        <v>2.85</v>
      </c>
      <c r="X24" s="2986">
        <v>1.17</v>
      </c>
      <c r="Y24" s="2986">
        <v>0.81</v>
      </c>
      <c r="Z24" s="2986">
        <v>1.35</v>
      </c>
    </row>
    <row r="25" spans="2:26">
      <c r="B25" s="2986"/>
      <c r="C25" s="2987">
        <v>40471</v>
      </c>
      <c r="D25" s="2986">
        <v>5.0999999999999996</v>
      </c>
      <c r="E25" s="2986">
        <v>5.56</v>
      </c>
      <c r="F25" s="2986">
        <v>5.6</v>
      </c>
      <c r="G25" s="2986">
        <v>5.96</v>
      </c>
      <c r="H25" s="2986">
        <v>6.14</v>
      </c>
      <c r="I25" s="2986">
        <v>3.5</v>
      </c>
      <c r="J25" s="2986">
        <v>4.05</v>
      </c>
      <c r="L25" s="2986"/>
      <c r="M25" s="2987">
        <v>40471</v>
      </c>
      <c r="N25" s="2986">
        <v>0.36</v>
      </c>
      <c r="O25" s="2986">
        <v>1.91</v>
      </c>
      <c r="P25" s="2986">
        <v>2.2000000000000002</v>
      </c>
      <c r="Q25" s="2986">
        <v>2.5</v>
      </c>
      <c r="R25" s="2986">
        <v>3.25</v>
      </c>
      <c r="S25" s="2986">
        <v>3.85</v>
      </c>
      <c r="T25" s="2986">
        <v>4.2</v>
      </c>
      <c r="U25" s="2986">
        <v>1.91</v>
      </c>
      <c r="V25" s="2986">
        <v>2.2000000000000002</v>
      </c>
      <c r="W25" s="2986">
        <v>2.5</v>
      </c>
      <c r="X25" s="2986">
        <v>1.17</v>
      </c>
      <c r="Y25" s="2986">
        <v>0.81</v>
      </c>
      <c r="Z25" s="2986">
        <v>1.35</v>
      </c>
    </row>
    <row r="26" spans="2:26">
      <c r="B26" s="2986"/>
      <c r="C26" s="2987">
        <v>39805</v>
      </c>
      <c r="D26" s="2986">
        <v>4.8600000000000003</v>
      </c>
      <c r="E26" s="2986">
        <v>5.31</v>
      </c>
      <c r="F26" s="2986">
        <v>5.4</v>
      </c>
      <c r="G26" s="2986">
        <v>5.76</v>
      </c>
      <c r="H26" s="2986">
        <v>5.94</v>
      </c>
      <c r="I26" s="2986">
        <v>3.33</v>
      </c>
      <c r="J26" s="2986">
        <v>3.87</v>
      </c>
      <c r="L26" s="2986"/>
      <c r="M26" s="2987">
        <v>39805</v>
      </c>
      <c r="N26" s="2986">
        <v>0.36</v>
      </c>
      <c r="O26" s="2986">
        <v>1.71</v>
      </c>
      <c r="P26" s="2986">
        <v>1.98</v>
      </c>
      <c r="Q26" s="2986">
        <v>2.25</v>
      </c>
      <c r="R26" s="2986">
        <v>2.79</v>
      </c>
      <c r="S26" s="2986">
        <v>3.33</v>
      </c>
      <c r="T26" s="2986">
        <v>3.6</v>
      </c>
      <c r="U26" s="2986">
        <v>1.71</v>
      </c>
      <c r="V26" s="2986">
        <v>1.98</v>
      </c>
      <c r="W26" s="2986">
        <v>2.25</v>
      </c>
      <c r="X26" s="2986">
        <v>1.17</v>
      </c>
      <c r="Y26" s="2986">
        <v>0.81</v>
      </c>
      <c r="Z26" s="2986">
        <v>1.35</v>
      </c>
    </row>
    <row r="27" spans="2:26">
      <c r="B27" s="2986"/>
      <c r="C27" s="2987">
        <v>39779</v>
      </c>
      <c r="D27" s="2986">
        <v>5.04</v>
      </c>
      <c r="E27" s="2986">
        <v>5.58</v>
      </c>
      <c r="F27" s="2986">
        <v>5.67</v>
      </c>
      <c r="G27" s="2986">
        <v>5.94</v>
      </c>
      <c r="H27" s="2986">
        <v>6.12</v>
      </c>
      <c r="I27" s="2986">
        <v>3.51</v>
      </c>
      <c r="J27" s="2986">
        <v>4.05</v>
      </c>
      <c r="L27" s="2986"/>
      <c r="M27" s="2987">
        <v>39779</v>
      </c>
      <c r="N27" s="2986">
        <v>0.36</v>
      </c>
      <c r="O27" s="2986">
        <v>1.98</v>
      </c>
      <c r="P27" s="2986">
        <v>2.25</v>
      </c>
      <c r="Q27" s="2986">
        <v>2.52</v>
      </c>
      <c r="R27" s="2986">
        <v>3.06</v>
      </c>
      <c r="S27" s="2986">
        <v>3.6</v>
      </c>
      <c r="T27" s="2986">
        <v>3.87</v>
      </c>
      <c r="U27" s="2986">
        <v>1.98</v>
      </c>
      <c r="V27" s="2986">
        <v>2.25</v>
      </c>
      <c r="W27" s="2986">
        <v>2.52</v>
      </c>
      <c r="X27" s="2986">
        <v>1.17</v>
      </c>
      <c r="Y27" s="2986">
        <v>0.81</v>
      </c>
      <c r="Z27" s="2986">
        <v>1.35</v>
      </c>
    </row>
    <row r="28" spans="2:26">
      <c r="B28" s="2986"/>
      <c r="C28" s="2987">
        <v>39751</v>
      </c>
      <c r="D28" s="2986">
        <v>6.03</v>
      </c>
      <c r="E28" s="2986">
        <v>6.66</v>
      </c>
      <c r="F28" s="2986">
        <v>6.75</v>
      </c>
      <c r="G28" s="2986">
        <v>7.02</v>
      </c>
      <c r="H28" s="2986">
        <v>7.2</v>
      </c>
      <c r="I28" s="2986">
        <v>4.05</v>
      </c>
      <c r="J28" s="2986">
        <v>4.59</v>
      </c>
      <c r="L28" s="2986"/>
      <c r="M28" s="2987">
        <v>39751</v>
      </c>
      <c r="N28" s="2986">
        <v>0.72</v>
      </c>
      <c r="O28" s="2986">
        <v>2.88</v>
      </c>
      <c r="P28" s="2986">
        <v>3.24</v>
      </c>
      <c r="Q28" s="2986">
        <v>3.6</v>
      </c>
      <c r="R28" s="2986">
        <v>4.1399999999999997</v>
      </c>
      <c r="S28" s="2986">
        <v>4.7699999999999996</v>
      </c>
      <c r="T28" s="2986">
        <v>5.13</v>
      </c>
      <c r="U28" s="2986">
        <v>2.88</v>
      </c>
      <c r="V28" s="2986">
        <v>3.24</v>
      </c>
      <c r="W28" s="2986">
        <v>3.6</v>
      </c>
      <c r="X28" s="2986">
        <v>1.53</v>
      </c>
      <c r="Y28" s="2986">
        <v>1.17</v>
      </c>
      <c r="Z28" s="2986">
        <v>1.71</v>
      </c>
    </row>
    <row r="29" spans="2:26">
      <c r="B29" s="2986"/>
      <c r="C29" s="2989">
        <v>39748</v>
      </c>
      <c r="D29" s="2986">
        <v>6.12</v>
      </c>
      <c r="E29" s="2986">
        <v>6.93</v>
      </c>
      <c r="F29" s="2986">
        <v>7.02</v>
      </c>
      <c r="G29" s="2986">
        <v>7.29</v>
      </c>
      <c r="H29" s="2986">
        <v>7.47</v>
      </c>
      <c r="I29" s="2986">
        <v>4.05</v>
      </c>
      <c r="J29" s="2986">
        <v>4.59</v>
      </c>
      <c r="L29" s="2986"/>
      <c r="M29" s="2989">
        <v>39736</v>
      </c>
      <c r="N29" s="2986">
        <v>0.72</v>
      </c>
      <c r="O29" s="2986">
        <v>3.15</v>
      </c>
      <c r="P29" s="2986">
        <v>3.51</v>
      </c>
      <c r="Q29" s="2986">
        <v>3.87</v>
      </c>
      <c r="R29" s="2986">
        <v>4.41</v>
      </c>
      <c r="S29" s="2986">
        <v>5.13</v>
      </c>
      <c r="T29" s="2986">
        <v>5.58</v>
      </c>
      <c r="U29" s="2986">
        <v>3.15</v>
      </c>
      <c r="V29" s="2986">
        <v>3.51</v>
      </c>
      <c r="W29" s="2986">
        <v>3.87</v>
      </c>
      <c r="X29" s="2986">
        <v>1.53</v>
      </c>
      <c r="Y29" s="2986">
        <v>1.17</v>
      </c>
      <c r="Z29" s="2986">
        <v>1.71</v>
      </c>
    </row>
    <row r="30" spans="2:26">
      <c r="B30" s="2986"/>
      <c r="C30" s="2987">
        <v>39730</v>
      </c>
      <c r="D30" s="2986">
        <v>6.12</v>
      </c>
      <c r="E30" s="2986">
        <v>6.93</v>
      </c>
      <c r="F30" s="2986">
        <v>7.02</v>
      </c>
      <c r="G30" s="2986">
        <v>7.29</v>
      </c>
      <c r="H30" s="2986">
        <v>7.47</v>
      </c>
      <c r="I30" s="2986">
        <v>4.32</v>
      </c>
      <c r="J30" s="2986">
        <v>4.8600000000000003</v>
      </c>
      <c r="L30" s="2986"/>
      <c r="M30" s="2987">
        <v>39730</v>
      </c>
      <c r="N30" s="2986">
        <v>0.72</v>
      </c>
      <c r="O30" s="2986">
        <v>3.15</v>
      </c>
      <c r="P30" s="2986">
        <v>3.51</v>
      </c>
      <c r="Q30" s="2986">
        <v>3.87</v>
      </c>
      <c r="R30" s="2986">
        <v>4.41</v>
      </c>
      <c r="S30" s="2986">
        <v>5.13</v>
      </c>
      <c r="T30" s="2986">
        <v>5.58</v>
      </c>
      <c r="U30" s="2986">
        <v>3.15</v>
      </c>
      <c r="V30" s="2986">
        <v>3.51</v>
      </c>
      <c r="W30" s="2986">
        <v>3.87</v>
      </c>
      <c r="X30" s="2986">
        <v>1.53</v>
      </c>
      <c r="Y30" s="2986">
        <v>1.17</v>
      </c>
      <c r="Z30" s="2986">
        <v>1.71</v>
      </c>
    </row>
    <row r="31" spans="2:26">
      <c r="B31" s="2986"/>
      <c r="C31" s="2987">
        <v>39707</v>
      </c>
      <c r="D31" s="2986">
        <v>6.21</v>
      </c>
      <c r="E31" s="2986">
        <v>7.2</v>
      </c>
      <c r="F31" s="2986">
        <v>7.29</v>
      </c>
      <c r="G31" s="2986">
        <v>7.56</v>
      </c>
      <c r="H31" s="2986">
        <v>7.74</v>
      </c>
      <c r="I31" s="2986">
        <v>4.59</v>
      </c>
      <c r="J31" s="2986">
        <v>5.13</v>
      </c>
      <c r="L31" s="2986"/>
      <c r="M31" s="2987">
        <v>39437</v>
      </c>
      <c r="N31" s="2986">
        <v>0.72</v>
      </c>
      <c r="O31" s="2986">
        <v>3.33</v>
      </c>
      <c r="P31" s="2986">
        <v>3.78</v>
      </c>
      <c r="Q31" s="2986">
        <v>4.1399999999999997</v>
      </c>
      <c r="R31" s="2986">
        <v>4.68</v>
      </c>
      <c r="S31" s="2986">
        <v>5.4</v>
      </c>
      <c r="T31" s="2986">
        <v>5.85</v>
      </c>
      <c r="U31" s="2986">
        <v>3.33</v>
      </c>
      <c r="V31" s="2986">
        <v>3.78</v>
      </c>
      <c r="W31" s="2986">
        <v>4.1399999999999997</v>
      </c>
      <c r="X31" s="2986">
        <v>1.53</v>
      </c>
      <c r="Y31" s="2986">
        <v>1.17</v>
      </c>
      <c r="Z31" s="2986">
        <v>1.71</v>
      </c>
    </row>
    <row r="32" spans="2:26">
      <c r="B32" s="2986"/>
      <c r="C32" s="2987">
        <v>39437</v>
      </c>
      <c r="D32" s="2986">
        <v>6.57</v>
      </c>
      <c r="E32" s="2986">
        <v>7.47</v>
      </c>
      <c r="F32" s="2986">
        <v>7.56</v>
      </c>
      <c r="G32" s="2986">
        <v>7.74</v>
      </c>
      <c r="H32" s="2986">
        <v>7.83</v>
      </c>
      <c r="I32" s="2986">
        <v>4.7699999999999996</v>
      </c>
      <c r="J32" s="2986">
        <v>5.22</v>
      </c>
      <c r="L32" s="2986"/>
      <c r="M32" s="2987">
        <v>39340</v>
      </c>
      <c r="N32" s="2986">
        <v>0.81</v>
      </c>
      <c r="O32" s="2986">
        <v>2.88</v>
      </c>
      <c r="P32" s="2986">
        <v>3.42</v>
      </c>
      <c r="Q32" s="2986">
        <v>3.87</v>
      </c>
      <c r="R32" s="2986">
        <v>4.5</v>
      </c>
      <c r="S32" s="2986">
        <v>5.22</v>
      </c>
      <c r="T32" s="2986">
        <v>5.76</v>
      </c>
      <c r="U32" s="2986">
        <v>2.88</v>
      </c>
      <c r="V32" s="2986">
        <v>3.42</v>
      </c>
      <c r="W32" s="2986">
        <v>3.87</v>
      </c>
      <c r="X32" s="2986">
        <v>1.53</v>
      </c>
      <c r="Y32" s="2986">
        <v>1.17</v>
      </c>
      <c r="Z32" s="2986">
        <v>1.71</v>
      </c>
    </row>
    <row r="33" spans="2:26">
      <c r="B33" s="2986"/>
      <c r="C33" s="2987">
        <v>39340</v>
      </c>
      <c r="D33" s="2986">
        <v>6.48</v>
      </c>
      <c r="E33" s="2986">
        <v>7.29</v>
      </c>
      <c r="F33" s="2986">
        <v>7.47</v>
      </c>
      <c r="G33" s="2986">
        <v>7.65</v>
      </c>
      <c r="H33" s="2986">
        <v>7.83</v>
      </c>
      <c r="I33" s="2986">
        <v>4.7699999999999996</v>
      </c>
      <c r="J33" s="2986">
        <v>5.22</v>
      </c>
      <c r="L33" s="2986"/>
      <c r="M33" s="2987">
        <v>39316</v>
      </c>
      <c r="N33" s="2986">
        <v>0.81</v>
      </c>
      <c r="O33" s="2986">
        <v>2.61</v>
      </c>
      <c r="P33" s="2986">
        <v>3.15</v>
      </c>
      <c r="Q33" s="2986">
        <v>3.6</v>
      </c>
      <c r="R33" s="2986">
        <v>4.2300000000000004</v>
      </c>
      <c r="S33" s="2986">
        <v>4.95</v>
      </c>
      <c r="T33" s="2986">
        <v>5.49</v>
      </c>
      <c r="U33" s="2986">
        <v>2.61</v>
      </c>
      <c r="V33" s="2986">
        <v>3.15</v>
      </c>
      <c r="W33" s="2986">
        <v>3.6</v>
      </c>
      <c r="X33" s="2986">
        <v>1.53</v>
      </c>
      <c r="Y33" s="2986">
        <v>1.17</v>
      </c>
      <c r="Z33" s="2986">
        <v>1.71</v>
      </c>
    </row>
    <row r="34" spans="2:26">
      <c r="B34" s="2986"/>
      <c r="C34" s="2987">
        <v>39316</v>
      </c>
      <c r="D34" s="2986">
        <v>6.21</v>
      </c>
      <c r="E34" s="2986">
        <v>7.02</v>
      </c>
      <c r="F34" s="2986">
        <v>7.2</v>
      </c>
      <c r="G34" s="2986">
        <v>7.38</v>
      </c>
      <c r="H34" s="2986">
        <v>7.56</v>
      </c>
      <c r="I34" s="2986">
        <v>4.59</v>
      </c>
      <c r="J34" s="2986">
        <v>5.04</v>
      </c>
      <c r="L34" s="2986"/>
      <c r="M34" s="2987">
        <v>39284</v>
      </c>
      <c r="N34" s="2986">
        <v>0.81</v>
      </c>
      <c r="O34" s="2986">
        <v>2.34</v>
      </c>
      <c r="P34" s="2986">
        <v>2.88</v>
      </c>
      <c r="Q34" s="2986">
        <v>3.33</v>
      </c>
      <c r="R34" s="2986">
        <v>3.96</v>
      </c>
      <c r="S34" s="2986">
        <v>4.68</v>
      </c>
      <c r="T34" s="2986">
        <v>5.22</v>
      </c>
      <c r="U34" s="2986">
        <v>2.34</v>
      </c>
      <c r="V34" s="2986">
        <v>2.88</v>
      </c>
      <c r="W34" s="2986">
        <v>3.33</v>
      </c>
      <c r="X34" s="2986">
        <v>1.53</v>
      </c>
      <c r="Y34" s="2986">
        <v>1.17</v>
      </c>
      <c r="Z34" s="2986">
        <v>1.71</v>
      </c>
    </row>
    <row r="35" spans="2:26">
      <c r="B35" s="2986"/>
      <c r="C35" s="2987">
        <v>39284</v>
      </c>
      <c r="D35" s="2986">
        <v>6.03</v>
      </c>
      <c r="E35" s="2986">
        <v>6.84</v>
      </c>
      <c r="F35" s="2986">
        <v>7.02</v>
      </c>
      <c r="G35" s="2986">
        <v>7.2</v>
      </c>
      <c r="H35" s="2986">
        <v>7.38</v>
      </c>
      <c r="I35" s="2986">
        <v>4.5</v>
      </c>
      <c r="J35" s="2986">
        <v>4.95</v>
      </c>
      <c r="L35" s="2986"/>
      <c r="M35" s="2987">
        <v>39221</v>
      </c>
      <c r="N35" s="2986">
        <v>0.72</v>
      </c>
      <c r="O35" s="2986">
        <v>2.0699999999999998</v>
      </c>
      <c r="P35" s="2986">
        <v>2.61</v>
      </c>
      <c r="Q35" s="2986">
        <v>3.06</v>
      </c>
      <c r="R35" s="2986">
        <v>3.69</v>
      </c>
      <c r="S35" s="2986">
        <v>4.41</v>
      </c>
      <c r="T35" s="2986">
        <v>4.95</v>
      </c>
      <c r="U35" s="2986">
        <v>2.0699999999999998</v>
      </c>
      <c r="V35" s="2986">
        <v>2.61</v>
      </c>
      <c r="W35" s="2986">
        <v>3.06</v>
      </c>
      <c r="X35" s="2986">
        <v>1.44</v>
      </c>
      <c r="Y35" s="2986">
        <v>1.08</v>
      </c>
      <c r="Z35" s="2986">
        <v>1.62</v>
      </c>
    </row>
    <row r="36" spans="2:26">
      <c r="B36" s="2986"/>
      <c r="C36" s="2987">
        <v>39221</v>
      </c>
      <c r="D36" s="2986">
        <v>5.85</v>
      </c>
      <c r="E36" s="2986">
        <v>6.57</v>
      </c>
      <c r="F36" s="2986">
        <v>6.75</v>
      </c>
      <c r="G36" s="2986">
        <v>6.93</v>
      </c>
      <c r="H36" s="2986">
        <v>7.2</v>
      </c>
      <c r="I36" s="2986">
        <v>4.41</v>
      </c>
      <c r="J36" s="2986">
        <v>4.8600000000000003</v>
      </c>
      <c r="L36" s="2986"/>
      <c r="M36" s="2987">
        <v>39159</v>
      </c>
      <c r="N36" s="2986">
        <v>0.72</v>
      </c>
      <c r="O36" s="2986">
        <v>1.98</v>
      </c>
      <c r="P36" s="2986">
        <v>2.4300000000000002</v>
      </c>
      <c r="Q36" s="2986">
        <v>2.79</v>
      </c>
      <c r="R36" s="2986">
        <v>3.33</v>
      </c>
      <c r="S36" s="2986">
        <v>3.96</v>
      </c>
      <c r="T36" s="2986">
        <v>4.41</v>
      </c>
      <c r="U36" s="2986">
        <v>1.98</v>
      </c>
      <c r="V36" s="2986">
        <v>2.4300000000000002</v>
      </c>
      <c r="W36" s="2986">
        <v>2.79</v>
      </c>
      <c r="X36" s="2986">
        <v>1.44</v>
      </c>
      <c r="Y36" s="2986">
        <v>1.08</v>
      </c>
      <c r="Z36" s="2986">
        <v>1.62</v>
      </c>
    </row>
    <row r="37" spans="2:26">
      <c r="B37" s="2986"/>
      <c r="C37" s="2987">
        <v>39159</v>
      </c>
      <c r="D37" s="2986">
        <v>5.67</v>
      </c>
      <c r="E37" s="2986">
        <v>6.39</v>
      </c>
      <c r="F37" s="2986">
        <v>6.57</v>
      </c>
      <c r="G37" s="2986">
        <v>6.75</v>
      </c>
      <c r="H37" s="2986">
        <v>7.11</v>
      </c>
      <c r="I37" s="2986">
        <v>4.32</v>
      </c>
      <c r="J37" s="2986">
        <v>4.7699999999999996</v>
      </c>
      <c r="L37" s="2986"/>
      <c r="M37" s="2987">
        <v>38948</v>
      </c>
      <c r="N37" s="2986">
        <v>0.72</v>
      </c>
      <c r="O37" s="2986">
        <v>1.8</v>
      </c>
      <c r="P37" s="2986">
        <v>2.25</v>
      </c>
      <c r="Q37" s="2986">
        <v>2.52</v>
      </c>
      <c r="R37" s="2986">
        <v>3.06</v>
      </c>
      <c r="S37" s="2986">
        <v>3.69</v>
      </c>
      <c r="T37" s="2986">
        <v>4.1399999999999997</v>
      </c>
      <c r="U37" s="2986">
        <v>1.8</v>
      </c>
      <c r="V37" s="2986">
        <v>2.25</v>
      </c>
      <c r="W37" s="2986">
        <v>2.52</v>
      </c>
      <c r="X37" s="2986">
        <v>1.44</v>
      </c>
      <c r="Y37" s="2986">
        <v>1.08</v>
      </c>
      <c r="Z37" s="2986">
        <v>1.62</v>
      </c>
    </row>
    <row r="38" spans="2:26">
      <c r="B38" s="2986"/>
      <c r="C38" s="2987">
        <v>38948</v>
      </c>
      <c r="D38" s="2986">
        <v>5.58</v>
      </c>
      <c r="E38" s="2986">
        <v>6.12</v>
      </c>
      <c r="F38" s="2986">
        <v>6.3</v>
      </c>
      <c r="G38" s="2986">
        <v>6.48</v>
      </c>
      <c r="H38" s="2986">
        <v>6.84</v>
      </c>
      <c r="I38" s="2986">
        <v>4.1399999999999997</v>
      </c>
      <c r="J38" s="2986">
        <v>4.59</v>
      </c>
      <c r="L38" s="2986"/>
      <c r="M38" s="2987">
        <v>38289</v>
      </c>
      <c r="N38" s="2986">
        <v>0.72</v>
      </c>
      <c r="O38" s="2986">
        <v>1.71</v>
      </c>
      <c r="P38" s="2986">
        <v>2.0699999999999998</v>
      </c>
      <c r="Q38" s="2986">
        <v>2.25</v>
      </c>
      <c r="R38" s="2986">
        <v>2.7</v>
      </c>
      <c r="S38" s="2986">
        <v>3.24</v>
      </c>
      <c r="T38" s="2986">
        <v>3.6</v>
      </c>
      <c r="U38" s="2986">
        <v>1.71</v>
      </c>
      <c r="V38" s="2986">
        <v>2.0699999999999998</v>
      </c>
      <c r="W38" s="2986">
        <v>2.25</v>
      </c>
      <c r="X38" s="2986">
        <v>1.44</v>
      </c>
      <c r="Y38" s="2986">
        <v>1.08</v>
      </c>
      <c r="Z38" s="2986">
        <v>1.62</v>
      </c>
    </row>
    <row r="39" spans="2:26">
      <c r="B39" s="2986"/>
      <c r="C39" s="2987">
        <v>38835</v>
      </c>
      <c r="D39" s="2986">
        <v>5.4</v>
      </c>
      <c r="E39" s="2986">
        <v>5.85</v>
      </c>
      <c r="F39" s="2986">
        <v>6.03</v>
      </c>
      <c r="G39" s="2986">
        <v>6.12</v>
      </c>
      <c r="H39" s="2986">
        <v>6.39</v>
      </c>
      <c r="I39" s="2986">
        <v>4.1399999999999997</v>
      </c>
      <c r="J39" s="2986">
        <v>4.59</v>
      </c>
      <c r="L39" s="2986"/>
      <c r="M39" s="2987">
        <v>37308</v>
      </c>
      <c r="N39" s="2986">
        <v>0.72</v>
      </c>
      <c r="O39" s="2986">
        <v>1.71</v>
      </c>
      <c r="P39" s="2986">
        <v>1.89</v>
      </c>
      <c r="Q39" s="2986">
        <v>1.98</v>
      </c>
      <c r="R39" s="2986">
        <v>2.25</v>
      </c>
      <c r="S39" s="2986">
        <v>2.52</v>
      </c>
      <c r="T39" s="2986">
        <v>2.79</v>
      </c>
      <c r="U39" s="2986">
        <v>1.71</v>
      </c>
      <c r="V39" s="2986">
        <v>1.89</v>
      </c>
      <c r="W39" s="2986">
        <v>1.98</v>
      </c>
      <c r="X39" s="2986">
        <v>1.44</v>
      </c>
      <c r="Y39" s="2986">
        <v>1.08</v>
      </c>
      <c r="Z39" s="2986">
        <v>1.62</v>
      </c>
    </row>
    <row r="40" spans="2:26">
      <c r="B40" s="2986"/>
      <c r="C40" s="2987">
        <v>38428</v>
      </c>
      <c r="D40" s="2986">
        <v>5.22</v>
      </c>
      <c r="E40" s="2986">
        <v>5.58</v>
      </c>
      <c r="F40" s="2986">
        <v>5.76</v>
      </c>
      <c r="G40" s="2986">
        <v>5.85</v>
      </c>
      <c r="H40" s="2986">
        <v>6.12</v>
      </c>
      <c r="I40" s="2986">
        <v>3.96</v>
      </c>
      <c r="J40" s="2986">
        <v>4.41</v>
      </c>
      <c r="L40" s="2986"/>
      <c r="M40" s="2987">
        <v>36321</v>
      </c>
      <c r="N40" s="2986">
        <v>0.99</v>
      </c>
      <c r="O40" s="2986">
        <v>1.98</v>
      </c>
      <c r="P40" s="2986">
        <v>2.16</v>
      </c>
      <c r="Q40" s="2986">
        <v>2.25</v>
      </c>
      <c r="R40" s="2986">
        <v>2.4300000000000002</v>
      </c>
      <c r="S40" s="2986">
        <v>2.7</v>
      </c>
      <c r="T40" s="2986">
        <v>2.88</v>
      </c>
      <c r="U40" s="2986">
        <v>1.98</v>
      </c>
      <c r="V40" s="2986">
        <v>2.16</v>
      </c>
      <c r="W40" s="2986">
        <v>2.25</v>
      </c>
      <c r="X40" s="2986">
        <v>1.71</v>
      </c>
      <c r="Y40" s="2986">
        <v>1.35</v>
      </c>
      <c r="Z40" s="2986">
        <v>1.89</v>
      </c>
    </row>
    <row r="41" spans="2:26">
      <c r="B41" s="2986"/>
      <c r="C41" s="2987">
        <v>38289</v>
      </c>
      <c r="D41" s="2986">
        <v>5.22</v>
      </c>
      <c r="E41" s="2986">
        <v>5.58</v>
      </c>
      <c r="F41" s="2986">
        <v>5.76</v>
      </c>
      <c r="G41" s="2986">
        <v>5.85</v>
      </c>
      <c r="H41" s="2986">
        <v>6.12</v>
      </c>
      <c r="I41" s="2986">
        <v>3.78</v>
      </c>
      <c r="J41" s="2986">
        <v>4.2300000000000004</v>
      </c>
      <c r="L41" s="2986"/>
      <c r="M41" s="2987">
        <v>36136</v>
      </c>
      <c r="N41" s="2986">
        <v>1.44</v>
      </c>
      <c r="O41" s="2986">
        <v>2.79</v>
      </c>
      <c r="P41" s="2986">
        <v>3.33</v>
      </c>
      <c r="Q41" s="2986">
        <v>3.78</v>
      </c>
      <c r="R41" s="2986">
        <v>3.96</v>
      </c>
      <c r="S41" s="2986">
        <v>4.1399999999999997</v>
      </c>
      <c r="T41" s="2986">
        <v>4.5</v>
      </c>
      <c r="U41" s="2986">
        <v>3.33</v>
      </c>
      <c r="V41" s="2986">
        <v>3.78</v>
      </c>
      <c r="W41" s="2986">
        <v>4.1399999999999997</v>
      </c>
      <c r="X41" s="2986">
        <v>2.16</v>
      </c>
      <c r="Y41" s="2986">
        <v>1.8</v>
      </c>
      <c r="Z41" s="2986">
        <v>2.34</v>
      </c>
    </row>
    <row r="42" spans="2:26">
      <c r="B42" s="2986"/>
      <c r="C42" s="2987">
        <v>37308</v>
      </c>
      <c r="D42" s="2986">
        <v>5.04</v>
      </c>
      <c r="E42" s="2986">
        <v>5.31</v>
      </c>
      <c r="F42" s="2986">
        <v>5.49</v>
      </c>
      <c r="G42" s="2986">
        <v>5.58</v>
      </c>
      <c r="H42" s="2986">
        <v>5.76</v>
      </c>
      <c r="I42" s="2986">
        <v>3.6</v>
      </c>
      <c r="J42" s="2986">
        <v>4.05</v>
      </c>
      <c r="L42" s="2986"/>
      <c r="M42" s="2987">
        <v>35977</v>
      </c>
      <c r="N42" s="2986">
        <v>1.44</v>
      </c>
      <c r="O42" s="2986">
        <v>2.79</v>
      </c>
      <c r="P42" s="2986">
        <v>3.96</v>
      </c>
      <c r="Q42" s="2986">
        <v>4.7699999999999996</v>
      </c>
      <c r="R42" s="2986">
        <v>4.8600000000000003</v>
      </c>
      <c r="S42" s="2986">
        <v>4.95</v>
      </c>
      <c r="T42" s="2986">
        <v>5.22</v>
      </c>
      <c r="U42" s="2986">
        <v>3.96</v>
      </c>
      <c r="V42" s="2986">
        <v>4.7699999999999996</v>
      </c>
      <c r="W42" s="2986">
        <v>4.95</v>
      </c>
      <c r="X42" s="2986" t="s">
        <v>2817</v>
      </c>
      <c r="Y42" s="2986" t="s">
        <v>2817</v>
      </c>
      <c r="Z42" s="2986" t="s">
        <v>2817</v>
      </c>
    </row>
    <row r="43" spans="2:26">
      <c r="B43" s="2986"/>
      <c r="C43" s="2987">
        <v>36321</v>
      </c>
      <c r="D43" s="2986">
        <v>5.58</v>
      </c>
      <c r="E43" s="2986">
        <v>5.85</v>
      </c>
      <c r="F43" s="2986">
        <v>5.94</v>
      </c>
      <c r="G43" s="2986">
        <v>6.03</v>
      </c>
      <c r="H43" s="2986">
        <v>6.21</v>
      </c>
      <c r="I43" s="2986">
        <v>4.1399999999999997</v>
      </c>
      <c r="J43" s="2986">
        <v>4.59</v>
      </c>
      <c r="L43" s="2986"/>
      <c r="M43" s="2987">
        <v>35879</v>
      </c>
      <c r="N43" s="2986">
        <v>1.71</v>
      </c>
      <c r="O43" s="2986">
        <v>2.88</v>
      </c>
      <c r="P43" s="2986">
        <v>4.1399999999999997</v>
      </c>
      <c r="Q43" s="2986">
        <v>5.22</v>
      </c>
      <c r="R43" s="2986">
        <v>5.58</v>
      </c>
      <c r="S43" s="2986">
        <v>6.21</v>
      </c>
      <c r="T43" s="2986">
        <v>6.66</v>
      </c>
      <c r="U43" s="2986">
        <v>4.1399999999999997</v>
      </c>
      <c r="V43" s="2986">
        <v>5.22</v>
      </c>
      <c r="W43" s="2986">
        <v>6.21</v>
      </c>
      <c r="X43" s="2986" t="s">
        <v>2817</v>
      </c>
      <c r="Y43" s="2986" t="s">
        <v>2817</v>
      </c>
      <c r="Z43" s="2986" t="s">
        <v>2817</v>
      </c>
    </row>
    <row r="44" spans="2:26">
      <c r="B44" s="2986"/>
      <c r="C44" s="2987">
        <v>36136</v>
      </c>
      <c r="D44" s="2986">
        <v>6.12</v>
      </c>
      <c r="E44" s="2986">
        <v>6.39</v>
      </c>
      <c r="F44" s="2986">
        <v>6.66</v>
      </c>
      <c r="G44" s="2986">
        <v>7.2</v>
      </c>
      <c r="H44" s="2986">
        <v>7.56</v>
      </c>
      <c r="I44" s="2986">
        <v>0</v>
      </c>
      <c r="J44" s="2986">
        <v>0</v>
      </c>
      <c r="L44" s="2986"/>
      <c r="M44" s="2987">
        <v>35726</v>
      </c>
      <c r="N44" s="2986">
        <v>1.71</v>
      </c>
      <c r="O44" s="2986">
        <v>2.88</v>
      </c>
      <c r="P44" s="2986">
        <v>4.1399999999999997</v>
      </c>
      <c r="Q44" s="2986">
        <v>5.67</v>
      </c>
      <c r="R44" s="2986">
        <v>5.94</v>
      </c>
      <c r="S44" s="2986">
        <v>6.21</v>
      </c>
      <c r="T44" s="2986">
        <v>6.66</v>
      </c>
      <c r="U44" s="2986">
        <v>4.1399999999999997</v>
      </c>
      <c r="V44" s="2986">
        <v>5.67</v>
      </c>
      <c r="W44" s="2986">
        <v>6.21</v>
      </c>
      <c r="X44" s="2986" t="s">
        <v>2817</v>
      </c>
      <c r="Y44" s="2986" t="s">
        <v>2817</v>
      </c>
      <c r="Z44" s="2986" t="s">
        <v>2817</v>
      </c>
    </row>
    <row r="45" spans="2:26">
      <c r="B45" s="2986"/>
      <c r="C45" s="2987">
        <v>35977</v>
      </c>
      <c r="D45" s="2986">
        <v>6.57</v>
      </c>
      <c r="E45" s="2986">
        <v>6.93</v>
      </c>
      <c r="F45" s="2986">
        <v>7.11</v>
      </c>
      <c r="G45" s="2986">
        <v>7.65</v>
      </c>
      <c r="H45" s="2986">
        <v>8.01</v>
      </c>
      <c r="I45" s="2986">
        <v>0</v>
      </c>
      <c r="J45" s="2986">
        <v>0</v>
      </c>
      <c r="L45" s="2986"/>
      <c r="M45" s="2987">
        <v>35300</v>
      </c>
      <c r="N45" s="2986">
        <v>1.98</v>
      </c>
      <c r="O45" s="2986">
        <v>3.33</v>
      </c>
      <c r="P45" s="2986">
        <v>5.4</v>
      </c>
      <c r="Q45" s="2986">
        <v>7.47</v>
      </c>
      <c r="R45" s="2986">
        <v>7.92</v>
      </c>
      <c r="S45" s="2986">
        <v>8.2799999999999994</v>
      </c>
      <c r="T45" s="2986">
        <v>9</v>
      </c>
      <c r="U45" s="2986">
        <v>5.4</v>
      </c>
      <c r="V45" s="2986">
        <v>7.47</v>
      </c>
      <c r="W45" s="2986">
        <v>8.2799999999999994</v>
      </c>
      <c r="X45" s="2986" t="s">
        <v>2817</v>
      </c>
      <c r="Y45" s="2986" t="s">
        <v>2817</v>
      </c>
      <c r="Z45" s="2986" t="s">
        <v>2817</v>
      </c>
    </row>
    <row r="46" spans="2:26">
      <c r="B46" s="2986"/>
      <c r="C46" s="2987">
        <v>35879</v>
      </c>
      <c r="D46" s="2986">
        <v>7.02</v>
      </c>
      <c r="E46" s="2986">
        <v>7.92</v>
      </c>
      <c r="F46" s="2986">
        <v>9</v>
      </c>
      <c r="G46" s="2986">
        <v>9.7200000000000006</v>
      </c>
      <c r="H46" s="2986">
        <v>10.35</v>
      </c>
      <c r="I46" s="2986">
        <v>0</v>
      </c>
      <c r="J46" s="2986">
        <v>0</v>
      </c>
      <c r="L46" s="2986"/>
      <c r="M46" s="2987">
        <v>35186</v>
      </c>
      <c r="N46" s="2986">
        <v>2.97</v>
      </c>
      <c r="O46" s="2986">
        <v>4.8600000000000003</v>
      </c>
      <c r="P46" s="2986">
        <v>7.2</v>
      </c>
      <c r="Q46" s="2986">
        <v>9.18</v>
      </c>
      <c r="R46" s="2986">
        <v>9.9</v>
      </c>
      <c r="S46" s="2986">
        <v>10.8</v>
      </c>
      <c r="T46" s="2986">
        <v>12.06</v>
      </c>
      <c r="U46" s="2986">
        <v>7.2</v>
      </c>
      <c r="V46" s="2986">
        <v>9.18</v>
      </c>
      <c r="W46" s="2986">
        <v>10.8</v>
      </c>
      <c r="X46" s="2986" t="s">
        <v>2817</v>
      </c>
      <c r="Y46" s="2986" t="s">
        <v>2817</v>
      </c>
      <c r="Z46" s="2986" t="s">
        <v>2817</v>
      </c>
    </row>
    <row r="47" spans="2:26">
      <c r="B47" s="2986"/>
      <c r="C47" s="2987">
        <v>35726</v>
      </c>
      <c r="D47" s="2986">
        <v>7.65</v>
      </c>
      <c r="E47" s="2986">
        <v>8.64</v>
      </c>
      <c r="F47" s="2986">
        <v>9.36</v>
      </c>
      <c r="G47" s="2986">
        <v>9.9</v>
      </c>
      <c r="H47" s="2986">
        <v>10.53</v>
      </c>
      <c r="I47" s="2986">
        <v>0</v>
      </c>
      <c r="J47" s="2986">
        <v>0</v>
      </c>
      <c r="L47" s="2986"/>
      <c r="M47" s="2987">
        <v>34161</v>
      </c>
      <c r="N47" s="2986">
        <v>3.15</v>
      </c>
      <c r="O47" s="2986">
        <v>6.66</v>
      </c>
      <c r="P47" s="2986">
        <v>9</v>
      </c>
      <c r="Q47" s="2986">
        <v>10.98</v>
      </c>
      <c r="R47" s="2986">
        <v>11.7</v>
      </c>
      <c r="S47" s="2986">
        <v>12.24</v>
      </c>
      <c r="T47" s="2986">
        <v>13.86</v>
      </c>
      <c r="U47" s="2986">
        <v>9</v>
      </c>
      <c r="V47" s="2986">
        <v>10.98</v>
      </c>
      <c r="W47" s="2986">
        <v>12.24</v>
      </c>
      <c r="X47" s="2986" t="s">
        <v>2817</v>
      </c>
      <c r="Y47" s="2986" t="s">
        <v>2817</v>
      </c>
      <c r="Z47" s="2986" t="s">
        <v>2817</v>
      </c>
    </row>
    <row r="48" spans="2:26">
      <c r="B48" s="2986"/>
      <c r="C48" s="2987">
        <v>35300</v>
      </c>
      <c r="D48" s="2986">
        <v>9.18</v>
      </c>
      <c r="E48" s="2986">
        <v>10.08</v>
      </c>
      <c r="F48" s="2986">
        <v>10.98</v>
      </c>
      <c r="G48" s="2986">
        <v>11.7</v>
      </c>
      <c r="H48" s="2986">
        <v>12.42</v>
      </c>
      <c r="I48" s="2986">
        <v>0</v>
      </c>
      <c r="J48" s="2986">
        <v>0</v>
      </c>
      <c r="L48" s="2986"/>
      <c r="M48" s="2987">
        <v>34104</v>
      </c>
      <c r="N48" s="2986">
        <v>2.16</v>
      </c>
      <c r="O48" s="2986">
        <v>4.8600000000000003</v>
      </c>
      <c r="P48" s="2986">
        <v>7.2</v>
      </c>
      <c r="Q48" s="2986">
        <v>9.18</v>
      </c>
      <c r="R48" s="2986">
        <v>9.9</v>
      </c>
      <c r="S48" s="2986">
        <v>10.8</v>
      </c>
      <c r="T48" s="2986">
        <v>12.06</v>
      </c>
      <c r="U48" s="2986">
        <v>7.2</v>
      </c>
      <c r="V48" s="2986">
        <v>9.18</v>
      </c>
      <c r="W48" s="2986">
        <v>10.8</v>
      </c>
      <c r="X48" s="2986" t="s">
        <v>2817</v>
      </c>
      <c r="Y48" s="2986" t="s">
        <v>2817</v>
      </c>
      <c r="Z48" s="2986" t="s">
        <v>2817</v>
      </c>
    </row>
    <row r="49" spans="2:26">
      <c r="B49" s="2986"/>
      <c r="C49" s="2987">
        <v>35186</v>
      </c>
      <c r="D49" s="2986">
        <v>9.7200000000000006</v>
      </c>
      <c r="E49" s="2986">
        <v>10.98</v>
      </c>
      <c r="F49" s="2986">
        <v>13.14</v>
      </c>
      <c r="G49" s="2986">
        <v>14.94</v>
      </c>
      <c r="H49" s="2986">
        <v>15.12</v>
      </c>
      <c r="I49" s="2986">
        <v>0</v>
      </c>
      <c r="J49" s="2986">
        <v>0</v>
      </c>
      <c r="L49" s="2986"/>
      <c r="M49" s="2987">
        <v>33349</v>
      </c>
      <c r="N49" s="2986">
        <v>1.8</v>
      </c>
      <c r="O49" s="2986">
        <v>3.24</v>
      </c>
      <c r="P49" s="2986">
        <v>5.4</v>
      </c>
      <c r="Q49" s="2986">
        <v>7.56</v>
      </c>
      <c r="R49" s="2986">
        <v>7.92</v>
      </c>
      <c r="S49" s="2986">
        <v>8.2799999999999994</v>
      </c>
      <c r="T49" s="2986">
        <v>9</v>
      </c>
      <c r="U49" s="2986">
        <v>6.12</v>
      </c>
      <c r="V49" s="2986">
        <v>6.84</v>
      </c>
      <c r="W49" s="2986">
        <v>7.56</v>
      </c>
      <c r="X49" s="2986" t="s">
        <v>2817</v>
      </c>
      <c r="Y49" s="2986" t="s">
        <v>2817</v>
      </c>
      <c r="Z49" s="2986" t="s">
        <v>2817</v>
      </c>
    </row>
    <row r="50" spans="2:26">
      <c r="B50" s="2986"/>
      <c r="C50" s="2987">
        <v>34881</v>
      </c>
      <c r="D50" s="2986">
        <v>10.08</v>
      </c>
      <c r="E50" s="2986">
        <v>12.06</v>
      </c>
      <c r="F50" s="2986">
        <v>13.5</v>
      </c>
      <c r="G50" s="2986">
        <v>15.12</v>
      </c>
      <c r="H50" s="2986">
        <v>15.3</v>
      </c>
      <c r="I50" s="2986">
        <v>0</v>
      </c>
      <c r="J50" s="2986">
        <v>0</v>
      </c>
      <c r="L50" s="2986"/>
      <c r="M50" s="2987">
        <v>33106</v>
      </c>
      <c r="N50" s="2986">
        <v>2.16</v>
      </c>
      <c r="O50" s="2986">
        <v>4.32</v>
      </c>
      <c r="P50" s="2986">
        <v>6.48</v>
      </c>
      <c r="Q50" s="2986">
        <v>8.64</v>
      </c>
      <c r="R50" s="2986">
        <v>9.36</v>
      </c>
      <c r="S50" s="2986">
        <v>10.08</v>
      </c>
      <c r="T50" s="2986">
        <v>11.52</v>
      </c>
      <c r="U50" s="2986">
        <v>7.2</v>
      </c>
      <c r="V50" s="2986">
        <v>8.64</v>
      </c>
      <c r="W50" s="2986">
        <v>10.08</v>
      </c>
      <c r="X50" s="2986" t="s">
        <v>2817</v>
      </c>
      <c r="Y50" s="2986" t="s">
        <v>2817</v>
      </c>
      <c r="Z50" s="2986" t="s">
        <v>2817</v>
      </c>
    </row>
    <row r="51" spans="2:26">
      <c r="B51" s="2986"/>
      <c r="C51" s="2987">
        <v>34700</v>
      </c>
      <c r="D51" s="2986">
        <v>9</v>
      </c>
      <c r="E51" s="2986">
        <v>10.98</v>
      </c>
      <c r="F51" s="2986">
        <v>12.96</v>
      </c>
      <c r="G51" s="2986">
        <v>14.58</v>
      </c>
      <c r="H51" s="2986">
        <v>14.76</v>
      </c>
      <c r="I51" s="2986">
        <v>0</v>
      </c>
      <c r="J51" s="2986">
        <v>0</v>
      </c>
      <c r="L51" s="2986"/>
      <c r="M51" s="2987">
        <v>32978</v>
      </c>
      <c r="N51" s="2986">
        <v>2.88</v>
      </c>
      <c r="O51" s="2986">
        <v>6.3</v>
      </c>
      <c r="P51" s="2986">
        <v>7.74</v>
      </c>
      <c r="Q51" s="2986">
        <v>10.08</v>
      </c>
      <c r="R51" s="2986">
        <v>10.98</v>
      </c>
      <c r="S51" s="2986">
        <v>11.88</v>
      </c>
      <c r="T51" s="2986">
        <v>13.68</v>
      </c>
      <c r="U51" s="2986" t="s">
        <v>2817</v>
      </c>
      <c r="V51" s="2986" t="s">
        <v>2817</v>
      </c>
      <c r="W51" s="2986" t="s">
        <v>2817</v>
      </c>
      <c r="X51" s="2986" t="s">
        <v>2817</v>
      </c>
      <c r="Y51" s="2986" t="s">
        <v>2817</v>
      </c>
      <c r="Z51" s="2986" t="s">
        <v>2817</v>
      </c>
    </row>
    <row r="52" spans="2:26">
      <c r="B52" s="2986"/>
      <c r="C52" s="2987">
        <v>34161</v>
      </c>
      <c r="D52" s="2986">
        <v>9</v>
      </c>
      <c r="E52" s="2986">
        <v>10.98</v>
      </c>
      <c r="F52" s="2986">
        <v>12.24</v>
      </c>
      <c r="G52" s="2986">
        <v>13.86</v>
      </c>
      <c r="H52" s="2986">
        <v>14.04</v>
      </c>
      <c r="I52" s="2986">
        <v>0</v>
      </c>
      <c r="J52" s="2986">
        <v>0</v>
      </c>
      <c r="L52" s="2986"/>
      <c r="M52" s="2987"/>
      <c r="N52" s="2986"/>
      <c r="O52" s="2986"/>
      <c r="P52" s="2986"/>
      <c r="Q52" s="2986"/>
      <c r="R52" s="2986"/>
      <c r="S52" s="2986"/>
      <c r="T52" s="2986"/>
      <c r="U52" s="2986"/>
      <c r="V52" s="2986"/>
      <c r="W52" s="2986"/>
      <c r="X52" s="2986"/>
      <c r="Y52" s="2986"/>
      <c r="Z52" s="2986"/>
    </row>
    <row r="53" spans="2:26">
      <c r="B53" s="2986"/>
      <c r="C53" s="2987">
        <v>34104</v>
      </c>
      <c r="D53" s="2986">
        <v>8.82</v>
      </c>
      <c r="E53" s="2986">
        <v>9.36</v>
      </c>
      <c r="F53" s="2986">
        <v>10.8</v>
      </c>
      <c r="G53" s="2986">
        <v>12.06</v>
      </c>
      <c r="H53" s="2986">
        <v>12.24</v>
      </c>
      <c r="I53" s="2986">
        <v>0</v>
      </c>
      <c r="J53" s="2986">
        <v>0</v>
      </c>
      <c r="L53" s="2986"/>
      <c r="M53" s="2987"/>
      <c r="N53" s="2986"/>
      <c r="O53" s="2986"/>
      <c r="P53" s="2986"/>
      <c r="Q53" s="2986"/>
      <c r="R53" s="2986"/>
      <c r="S53" s="2986"/>
      <c r="T53" s="2986"/>
      <c r="U53" s="2986"/>
      <c r="V53" s="2986"/>
      <c r="W53" s="2986"/>
      <c r="X53" s="2986"/>
      <c r="Y53" s="2986"/>
      <c r="Z53" s="2986"/>
    </row>
    <row r="54" spans="2:26">
      <c r="B54" s="2986"/>
      <c r="C54" s="2987">
        <v>33349</v>
      </c>
      <c r="D54" s="2986">
        <v>8.1</v>
      </c>
      <c r="E54" s="2986">
        <v>8.64</v>
      </c>
      <c r="F54" s="2986">
        <v>9</v>
      </c>
      <c r="G54" s="2986">
        <v>9.5399999999999991</v>
      </c>
      <c r="H54" s="2986">
        <v>9.7200000000000006</v>
      </c>
      <c r="I54" s="2986">
        <v>0</v>
      </c>
      <c r="J54" s="2986">
        <v>0</v>
      </c>
      <c r="L54" s="2986"/>
      <c r="M54" s="2987"/>
      <c r="N54" s="2986"/>
      <c r="O54" s="2986"/>
      <c r="P54" s="2986"/>
      <c r="Q54" s="2986"/>
      <c r="R54" s="2986"/>
      <c r="S54" s="2986"/>
      <c r="T54" s="2986"/>
      <c r="U54" s="2986"/>
      <c r="V54" s="2986"/>
      <c r="W54" s="2986"/>
      <c r="X54" s="2986"/>
      <c r="Y54" s="2986"/>
      <c r="Z54" s="2986"/>
    </row>
    <row r="55" spans="2:26">
      <c r="B55" s="2986"/>
      <c r="C55" s="2987">
        <v>33318</v>
      </c>
      <c r="D55" s="2986">
        <v>9</v>
      </c>
      <c r="E55" s="2986">
        <v>10.08</v>
      </c>
      <c r="F55" s="2986">
        <v>10.8</v>
      </c>
      <c r="G55" s="2986">
        <v>11.52</v>
      </c>
      <c r="H55" s="2986">
        <v>11.88</v>
      </c>
      <c r="I55" s="2986" t="s">
        <v>2817</v>
      </c>
      <c r="J55" s="2986" t="s">
        <v>2817</v>
      </c>
      <c r="L55" s="2986"/>
      <c r="M55" s="2987"/>
      <c r="N55" s="2986"/>
      <c r="O55" s="2986"/>
      <c r="P55" s="2986"/>
      <c r="Q55" s="2986"/>
      <c r="R55" s="2986"/>
      <c r="S55" s="2986"/>
      <c r="T55" s="2986"/>
      <c r="U55" s="2986"/>
      <c r="V55" s="2986"/>
      <c r="W55" s="2986"/>
      <c r="X55" s="2986"/>
      <c r="Y55" s="2986"/>
      <c r="Z55" s="2986"/>
    </row>
    <row r="56" spans="2:26">
      <c r="B56" s="2986"/>
      <c r="C56" s="2987">
        <v>33106</v>
      </c>
      <c r="D56" s="2986">
        <v>8.64</v>
      </c>
      <c r="E56" s="2986">
        <v>9.36</v>
      </c>
      <c r="F56" s="2986">
        <v>10.08</v>
      </c>
      <c r="G56" s="2986">
        <v>10.8</v>
      </c>
      <c r="H56" s="2986">
        <v>11.16</v>
      </c>
      <c r="I56" s="2986">
        <v>0</v>
      </c>
      <c r="J56" s="2986">
        <v>0</v>
      </c>
      <c r="L56" s="2986"/>
      <c r="M56" s="2987"/>
      <c r="N56" s="2986"/>
      <c r="O56" s="2986"/>
      <c r="P56" s="2986"/>
      <c r="Q56" s="2986"/>
      <c r="R56" s="2986"/>
      <c r="S56" s="2986"/>
      <c r="T56" s="2986"/>
      <c r="U56" s="2986"/>
      <c r="V56" s="2986"/>
      <c r="W56" s="2986"/>
      <c r="X56" s="2986"/>
      <c r="Y56" s="2986"/>
      <c r="Z56" s="2986"/>
    </row>
    <row r="57" spans="2:26">
      <c r="B57" s="2986"/>
      <c r="C57" s="2987">
        <v>32540</v>
      </c>
      <c r="D57" s="2986">
        <v>11.34</v>
      </c>
      <c r="E57" s="2986">
        <v>11.34</v>
      </c>
      <c r="F57" s="2986">
        <v>12.78</v>
      </c>
      <c r="G57" s="2986">
        <v>14.4</v>
      </c>
      <c r="H57" s="2986">
        <v>19.260000000000002</v>
      </c>
      <c r="I57" s="2986">
        <v>0</v>
      </c>
      <c r="J57" s="2986">
        <v>0</v>
      </c>
      <c r="L57" s="2986"/>
      <c r="M57" s="2987"/>
      <c r="N57" s="2986"/>
      <c r="O57" s="2986"/>
      <c r="P57" s="2986"/>
      <c r="Q57" s="2986"/>
      <c r="R57" s="2986"/>
      <c r="S57" s="2986"/>
      <c r="T57" s="2986"/>
      <c r="U57" s="2986"/>
      <c r="V57" s="2986"/>
      <c r="W57" s="2986"/>
      <c r="X57" s="2986"/>
      <c r="Y57" s="2986"/>
      <c r="Z57" s="2986"/>
    </row>
    <row r="58" spans="2:26">
      <c r="B58" s="2986"/>
      <c r="C58" s="2987"/>
      <c r="D58" s="2986"/>
      <c r="E58" s="2986"/>
      <c r="F58" s="2986"/>
      <c r="G58" s="2986"/>
      <c r="H58" s="2986"/>
      <c r="I58" s="2986"/>
      <c r="J58" s="2986"/>
    </row>
    <row r="59" spans="2:26">
      <c r="B59" s="2990"/>
      <c r="C59" s="2991"/>
      <c r="D59" s="2990"/>
      <c r="E59" s="2990"/>
      <c r="F59" s="2990"/>
      <c r="G59" s="2990"/>
      <c r="H59" s="2990"/>
      <c r="I59" s="2990"/>
      <c r="J59" s="2990"/>
    </row>
    <row r="60" spans="2:26">
      <c r="B60" s="2990"/>
      <c r="C60" s="2991"/>
      <c r="D60" s="2990"/>
      <c r="E60" s="2990"/>
      <c r="F60" s="2990"/>
      <c r="G60" s="2990"/>
      <c r="H60" s="2990"/>
      <c r="I60" s="2990"/>
      <c r="J60" s="2990"/>
    </row>
    <row r="61" spans="2:26">
      <c r="B61" s="2990"/>
      <c r="C61" s="2991"/>
      <c r="D61" s="2990"/>
      <c r="E61" s="2990"/>
      <c r="F61" s="2990"/>
      <c r="G61" s="2990"/>
      <c r="H61" s="2990"/>
      <c r="I61" s="2990"/>
      <c r="J61" s="2990"/>
    </row>
    <row r="62" spans="2:26">
      <c r="B62" s="2937"/>
      <c r="C62" s="2937"/>
      <c r="D62" s="2937"/>
      <c r="E62" s="2937"/>
      <c r="F62" s="2937"/>
      <c r="G62" s="2937"/>
      <c r="H62" s="2937"/>
      <c r="I62" s="2937"/>
      <c r="J62" s="2937"/>
    </row>
    <row r="63" spans="2:26">
      <c r="B63" s="2937"/>
      <c r="C63" s="2937"/>
      <c r="D63" s="2937"/>
      <c r="E63" s="2937"/>
      <c r="F63" s="2937"/>
      <c r="G63" s="2937"/>
      <c r="H63" s="2937"/>
      <c r="I63" s="2937"/>
      <c r="J63" s="2937"/>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83" t="s">
        <v>2038</v>
      </c>
      <c r="B1" s="3483"/>
      <c r="C1" s="3483"/>
      <c r="D1" s="3483"/>
      <c r="E1" s="3483"/>
      <c r="F1" s="3483"/>
      <c r="G1" s="3483"/>
      <c r="H1" s="3483"/>
      <c r="I1" s="3483"/>
      <c r="J1" s="3483"/>
      <c r="K1" s="3483"/>
      <c r="L1" s="3483"/>
      <c r="M1" s="3483"/>
      <c r="N1" s="3483"/>
      <c r="O1" s="3483"/>
      <c r="P1" s="3483"/>
      <c r="Q1" s="3483"/>
      <c r="R1" s="3483"/>
    </row>
    <row r="2" spans="1:18">
      <c r="A2" s="1803" t="s">
        <v>2040</v>
      </c>
      <c r="B2" s="1803"/>
      <c r="C2" s="1803"/>
      <c r="D2" s="1803"/>
      <c r="E2" s="1803"/>
      <c r="F2" s="1803"/>
      <c r="G2" s="1803"/>
      <c r="H2" s="1803"/>
      <c r="I2" s="1804"/>
      <c r="J2" s="1804"/>
      <c r="K2" s="1805" t="str">
        <f>"估价期日："&amp;TEXT(项目基本情况!D3,"yyyy年m月d日;;")</f>
        <v>估价期日：2018年9月3日</v>
      </c>
      <c r="L2" s="1803"/>
      <c r="M2" s="1803"/>
      <c r="N2" s="1803"/>
      <c r="O2" s="1803"/>
      <c r="P2" s="1803"/>
      <c r="Q2" s="1803"/>
      <c r="R2" s="1805" t="str">
        <f>"估价期日的国有建设用地使用权性质："&amp;项目基本情况!B16</f>
        <v>估价期日的国有建设用地使用权性质：出让</v>
      </c>
    </row>
    <row r="3" spans="1:18" ht="23.25" customHeight="1">
      <c r="A3" s="3484" t="s">
        <v>2029</v>
      </c>
      <c r="B3" s="3484" t="s">
        <v>2730</v>
      </c>
      <c r="C3" s="3485" t="s">
        <v>2030</v>
      </c>
      <c r="D3" s="3484" t="s">
        <v>2734</v>
      </c>
      <c r="E3" s="3487" t="s">
        <v>2031</v>
      </c>
      <c r="F3" s="3487"/>
      <c r="G3" s="3487"/>
      <c r="H3" s="3487" t="s">
        <v>2032</v>
      </c>
      <c r="I3" s="3487"/>
      <c r="J3" s="3487"/>
      <c r="K3" s="3485" t="s">
        <v>2033</v>
      </c>
      <c r="L3" s="3485" t="s">
        <v>2034</v>
      </c>
      <c r="M3" s="3484" t="s">
        <v>2731</v>
      </c>
      <c r="N3" s="3486" t="str">
        <f>"（分摊）"&amp;项目基本情况!B16&amp;"国有建设用地使用权面积/㎡"</f>
        <v>（分摊）出让国有建设用地使用权面积/㎡</v>
      </c>
      <c r="O3" s="3484" t="s">
        <v>2063</v>
      </c>
      <c r="P3" s="3485" t="s">
        <v>2043</v>
      </c>
      <c r="Q3" s="3485" t="s">
        <v>2064</v>
      </c>
      <c r="R3" s="3485" t="s">
        <v>2035</v>
      </c>
    </row>
    <row r="4" spans="1:18" ht="36.75" customHeight="1">
      <c r="A4" s="3484"/>
      <c r="B4" s="3484"/>
      <c r="C4" s="3485"/>
      <c r="D4" s="3484"/>
      <c r="E4" s="2645" t="s">
        <v>2042</v>
      </c>
      <c r="F4" s="2645" t="s">
        <v>2743</v>
      </c>
      <c r="G4" s="2645" t="s">
        <v>2036</v>
      </c>
      <c r="H4" s="2645" t="s">
        <v>2037</v>
      </c>
      <c r="I4" s="2645" t="s">
        <v>2744</v>
      </c>
      <c r="J4" s="2645" t="s">
        <v>2036</v>
      </c>
      <c r="K4" s="3485"/>
      <c r="L4" s="3485"/>
      <c r="M4" s="3484"/>
      <c r="N4" s="3486"/>
      <c r="O4" s="3484"/>
      <c r="P4" s="3485"/>
      <c r="Q4" s="3485"/>
      <c r="R4" s="3485"/>
    </row>
    <row r="5" spans="1:18" ht="135" customHeight="1">
      <c r="A5" s="1939" t="s">
        <v>2654</v>
      </c>
      <c r="B5" s="2863" t="s">
        <v>2652</v>
      </c>
      <c r="C5" s="2644">
        <v>22</v>
      </c>
      <c r="D5" s="2643" t="s">
        <v>2653</v>
      </c>
      <c r="E5" s="1806" t="str">
        <f>项目基本情况!B12</f>
        <v>其他普通商品住房、批发零售</v>
      </c>
      <c r="F5" s="2643">
        <v>258</v>
      </c>
      <c r="G5" s="1806" t="str">
        <f>项目基本情况!B13</f>
        <v>其他普通商品住房、批发零售</v>
      </c>
      <c r="H5" s="2643">
        <v>1.5</v>
      </c>
      <c r="I5" s="2643">
        <v>1.5</v>
      </c>
      <c r="J5" s="2643">
        <v>1.5</v>
      </c>
      <c r="K5" s="1806" t="str">
        <f>"红线外"&amp;项目基本情况!T40&amp;"、宗地红线内"&amp;项目基本情况!B35</f>
        <v>红线外七通、宗地红线内场地平整</v>
      </c>
      <c r="L5" s="1806" t="str">
        <f>"红线外"&amp;项目基本情况!T40&amp;"、宗地红线内场地"&amp;项目基本情况!D36</f>
        <v>红线外七通、宗地红线内场地平整</v>
      </c>
      <c r="M5" s="1806">
        <f>IF(项目基本情况!B16="出让",项目基本情况!D20,"——")</f>
        <v>0</v>
      </c>
      <c r="N5" s="1806">
        <f>项目基本情况!C22</f>
        <v>72846.2</v>
      </c>
      <c r="O5" s="1806">
        <f>项目基本情况!C21</f>
        <v>180792</v>
      </c>
      <c r="P5" s="1806">
        <f ca="1">结果表!E42</f>
        <v>10988</v>
      </c>
      <c r="Q5" s="1806">
        <f ca="1">结果表!D42</f>
        <v>4427</v>
      </c>
      <c r="R5" s="1807">
        <f ca="1">结果表!C42</f>
        <v>80044</v>
      </c>
    </row>
    <row r="6" spans="1:18">
      <c r="A6" s="3488" t="str">
        <f>IF(项目基本情况!B9="市场价格","——","抵押价格")</f>
        <v>抵押价格</v>
      </c>
      <c r="B6" s="3489"/>
      <c r="C6" s="3489"/>
      <c r="D6" s="3489"/>
      <c r="E6" s="3489"/>
      <c r="F6" s="3489"/>
      <c r="G6" s="3489"/>
      <c r="H6" s="3489"/>
      <c r="I6" s="3489"/>
      <c r="J6" s="3489"/>
      <c r="K6" s="3489"/>
      <c r="L6" s="3489"/>
      <c r="M6" s="3489"/>
      <c r="N6" s="3489"/>
      <c r="O6" s="3489"/>
      <c r="P6" s="3489"/>
      <c r="Q6" s="3490"/>
      <c r="R6" s="1808">
        <f ca="1">结果表!O39</f>
        <v>80044</v>
      </c>
    </row>
    <row r="7" spans="1:18">
      <c r="A7" s="3488" t="str">
        <f>IF(项目基本情况!B9="市场价格","——",IF(项目基本情况!E8="已注销及未注销","抵押担保权已注销时的抵押价格","——"))</f>
        <v>——</v>
      </c>
      <c r="B7" s="3489"/>
      <c r="C7" s="3489"/>
      <c r="D7" s="3489"/>
      <c r="E7" s="3489"/>
      <c r="F7" s="3489"/>
      <c r="G7" s="3489"/>
      <c r="H7" s="3489"/>
      <c r="I7" s="3489"/>
      <c r="J7" s="3489"/>
      <c r="K7" s="3489"/>
      <c r="L7" s="3489"/>
      <c r="M7" s="3489"/>
      <c r="N7" s="3489"/>
      <c r="O7" s="3489"/>
      <c r="P7" s="3489"/>
      <c r="Q7" s="3490"/>
      <c r="R7" s="1808" t="str">
        <f>结果表!O40</f>
        <v>——</v>
      </c>
    </row>
    <row r="8" spans="1:18">
      <c r="A8" s="3488">
        <f>IF(项目基本情况!B9="市场价格","——",项目基本情况!E9)</f>
        <v>0</v>
      </c>
      <c r="B8" s="3489"/>
      <c r="C8" s="3489"/>
      <c r="D8" s="3489"/>
      <c r="E8" s="3489"/>
      <c r="F8" s="3489"/>
      <c r="G8" s="3489"/>
      <c r="H8" s="3489"/>
      <c r="I8" s="3489"/>
      <c r="J8" s="3489"/>
      <c r="K8" s="3489"/>
      <c r="L8" s="3489"/>
      <c r="M8" s="3489"/>
      <c r="N8" s="3489"/>
      <c r="O8" s="3489"/>
      <c r="P8" s="3489"/>
      <c r="Q8" s="3490"/>
      <c r="R8" s="1808" t="str">
        <f>结果表!O41</f>
        <v>——</v>
      </c>
    </row>
    <row r="9" spans="1:18">
      <c r="A9" s="1809" t="s">
        <v>2041</v>
      </c>
      <c r="B9" s="1803"/>
      <c r="C9" s="1803"/>
      <c r="D9" s="1803"/>
      <c r="E9" s="1803"/>
      <c r="F9" s="1803"/>
      <c r="G9" s="1803"/>
      <c r="H9" s="1803"/>
      <c r="I9" s="1803"/>
      <c r="J9" s="1803"/>
      <c r="K9" s="1803"/>
      <c r="L9" s="1803"/>
      <c r="M9" s="1803"/>
      <c r="N9" s="1803"/>
      <c r="O9" s="1803"/>
      <c r="P9" s="1803"/>
      <c r="Q9" s="1803"/>
      <c r="R9" s="1803"/>
    </row>
    <row r="10" spans="1:18">
      <c r="A10" s="1810"/>
      <c r="B10" s="1803"/>
      <c r="C10" s="1803"/>
      <c r="D10" s="1803"/>
      <c r="E10" s="1803"/>
      <c r="F10" s="1803"/>
      <c r="G10" s="1803"/>
      <c r="H10" s="1803"/>
      <c r="I10" s="1803"/>
      <c r="J10" s="1803"/>
      <c r="K10" s="1803"/>
      <c r="L10" s="1803"/>
      <c r="M10" s="1803"/>
      <c r="N10" s="1803"/>
      <c r="O10" s="1803"/>
      <c r="P10" s="1803"/>
      <c r="Q10" s="1803"/>
      <c r="R10" s="1803"/>
    </row>
    <row r="11" spans="1:18">
      <c r="A11" s="1810" t="s">
        <v>2028</v>
      </c>
      <c r="B11" s="1811"/>
      <c r="C11" s="1811"/>
      <c r="D11" s="1811"/>
      <c r="E11" s="1811"/>
      <c r="F11" s="1811"/>
      <c r="G11" s="1811"/>
      <c r="H11" s="1811"/>
      <c r="I11" s="1811"/>
      <c r="J11" s="1811"/>
      <c r="K11" s="1811"/>
      <c r="L11" s="1811"/>
      <c r="M11" s="1811"/>
      <c r="N11" s="1811"/>
      <c r="O11" s="1811"/>
      <c r="P11" s="1811"/>
      <c r="Q11" s="1811"/>
      <c r="R11" s="181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7"/>
      <c r="B14" s="2"/>
      <c r="C14" s="2"/>
      <c r="D14" s="2"/>
      <c r="E14" s="2"/>
      <c r="F14" s="2"/>
      <c r="G14" s="2"/>
      <c r="H14" s="2"/>
      <c r="I14" s="2"/>
      <c r="J14" s="2"/>
      <c r="K14" s="2"/>
      <c r="L14" s="2"/>
      <c r="M14" s="2"/>
      <c r="N14" s="2"/>
      <c r="O14" s="2"/>
      <c r="P14" s="2"/>
      <c r="Q14" s="2"/>
      <c r="R14" s="2"/>
    </row>
    <row r="15" spans="1:18">
      <c r="A15" s="1789"/>
    </row>
    <row r="16" spans="1:18">
      <c r="A16" s="1789"/>
    </row>
    <row r="17" spans="1:1">
      <c r="A17" s="1789"/>
    </row>
    <row r="18" spans="1:1">
      <c r="A18" s="1789"/>
    </row>
    <row r="19" spans="1:1">
      <c r="A19" s="1789"/>
    </row>
    <row r="20" spans="1:1">
      <c r="A20" s="1788"/>
    </row>
    <row r="21" spans="1:1">
      <c r="A21" s="1788"/>
    </row>
    <row r="22" spans="1:1">
      <c r="A22" s="1789"/>
    </row>
    <row r="23" spans="1:1">
      <c r="A23" s="1789"/>
    </row>
    <row r="24" spans="1:1">
      <c r="A24" s="1789"/>
    </row>
    <row r="25" spans="1:1">
      <c r="A25" s="1789"/>
    </row>
    <row r="26" spans="1:1">
      <c r="A26" s="1789"/>
    </row>
    <row r="27" spans="1:1">
      <c r="A27" s="1789"/>
    </row>
    <row r="28" spans="1:1">
      <c r="A28" s="1789"/>
    </row>
    <row r="29" spans="1:1">
      <c r="A29" s="1789"/>
    </row>
    <row r="30" spans="1:1">
      <c r="A30" s="1789"/>
    </row>
    <row r="31" spans="1:1">
      <c r="A31" s="1789"/>
    </row>
    <row r="32" spans="1:1">
      <c r="A32" s="1789"/>
    </row>
    <row r="33" spans="1:1">
      <c r="A33" s="1789"/>
    </row>
    <row r="34" spans="1:1">
      <c r="A34" s="1789"/>
    </row>
    <row r="35" spans="1:1">
      <c r="A35" s="1789"/>
    </row>
    <row r="36" spans="1:1">
      <c r="A36" s="1789"/>
    </row>
    <row r="37" spans="1:1">
      <c r="A37" s="178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8" customWidth="1"/>
    <col min="2" max="3" width="21.375" style="1798" customWidth="1"/>
    <col min="4" max="4" width="19.875" style="1798" customWidth="1"/>
    <col min="5" max="16384" width="9" style="1798"/>
  </cols>
  <sheetData>
    <row r="1" spans="1:4">
      <c r="A1" s="3491" t="s">
        <v>2065</v>
      </c>
      <c r="B1" s="3491"/>
      <c r="C1" s="3491"/>
      <c r="D1" s="3491"/>
    </row>
    <row r="2" spans="1:4" ht="47.25" customHeight="1">
      <c r="A2" s="3495" t="str">
        <f>"1.权利限制："&amp;项目基本情况!L24&amp;"未设定租赁等其他他项权利。"</f>
        <v>1.权利限制：根据估价对象《不动产权证书》复印件、，截至估价期日，估价对象抵押权未见登记。未设定租赁等其他他项权利。</v>
      </c>
      <c r="B2" s="3495"/>
      <c r="C2" s="3495"/>
      <c r="D2" s="3495"/>
    </row>
    <row r="3" spans="1:4" ht="48" customHeight="1">
      <c r="A3" s="349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491"/>
      <c r="C3" s="3491"/>
      <c r="D3" s="3491"/>
    </row>
    <row r="4" spans="1:4" ht="36.75" customHeight="1">
      <c r="A4" s="3491" t="str">
        <f>"3.估价规划限制条件：详见"&amp;项目基本情况!E21&amp;"。"</f>
        <v>3.估价规划限制条件：详见《国有建设用地使用权出让合同》[]及附件、《北京市规划委员会关于同意XX项目的规划设计方案的规划意见复函》[]以及《建设工程规划许可证》[]。</v>
      </c>
      <c r="B4" s="3491"/>
      <c r="C4" s="3491"/>
      <c r="D4" s="3491"/>
    </row>
    <row r="5" spans="1:4">
      <c r="A5" s="3494" t="s">
        <v>2066</v>
      </c>
      <c r="B5" s="3494"/>
      <c r="C5" s="3494"/>
      <c r="D5" s="3494"/>
    </row>
    <row r="6" spans="1:4">
      <c r="A6" s="3491" t="s">
        <v>2044</v>
      </c>
      <c r="B6" s="3491"/>
      <c r="C6" s="3491"/>
      <c r="D6" s="3491"/>
    </row>
    <row r="7" spans="1:4" ht="33" customHeight="1">
      <c r="A7" s="3491" t="s">
        <v>2575</v>
      </c>
      <c r="B7" s="3491"/>
      <c r="C7" s="3491"/>
      <c r="D7" s="3491"/>
    </row>
    <row r="8" spans="1:4" ht="32.25" customHeight="1">
      <c r="A8" s="349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91"/>
      <c r="C8" s="3491"/>
      <c r="D8" s="3491"/>
    </row>
    <row r="9" spans="1:4" ht="33.75" customHeight="1">
      <c r="A9" s="349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91"/>
      <c r="C9" s="3491"/>
      <c r="D9" s="3491"/>
    </row>
    <row r="10" spans="1:4">
      <c r="A10" s="3491" t="str">
        <f>IF(项目基本情况!B8="抵押","4.估价师所知悉的法定优先受偿款情况为：","——")</f>
        <v>4.估价师所知悉的法定优先受偿款情况为：</v>
      </c>
      <c r="B10" s="3491"/>
      <c r="C10" s="3491"/>
      <c r="D10" s="3491"/>
    </row>
    <row r="11" spans="1:4" ht="37.5" customHeight="1">
      <c r="A11" s="3493" t="str">
        <f>IF(项目基本情况!B8="抵押","（1）"&amp;CONCATENATE(项目基本情况!L24,项目基本情况!L25,项目基本情况!L26),"——")</f>
        <v>（1）根据估价对象《不动产权证书》复印件、，截至估价期日，估价对象抵押权未见登记。</v>
      </c>
      <c r="B11" s="3493"/>
      <c r="C11" s="3493"/>
      <c r="D11" s="3493"/>
    </row>
    <row r="12" spans="1:4" ht="168" customHeight="1">
      <c r="A12" s="3494" t="s">
        <v>2068</v>
      </c>
      <c r="B12" s="3494"/>
      <c r="C12" s="3494"/>
      <c r="D12" s="3494"/>
    </row>
    <row r="13" spans="1:4">
      <c r="A13" s="3492" t="s">
        <v>2745</v>
      </c>
      <c r="B13" s="3492"/>
      <c r="C13" s="3492"/>
      <c r="D13" s="3492"/>
    </row>
    <row r="14" spans="1:4">
      <c r="A14" s="3493" t="str">
        <f>IF(项目基本情况!B8="抵押","综上，"&amp;结果表!K47,"——")</f>
        <v>综上，本次评估不存在估价师知悉的法定优先受偿款</v>
      </c>
      <c r="B14" s="3493"/>
      <c r="C14" s="3493"/>
      <c r="D14" s="3493"/>
    </row>
    <row r="15" spans="1:4" ht="58.5" customHeight="1">
      <c r="A15" s="349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91"/>
      <c r="C15" s="3491"/>
      <c r="D15" s="3491"/>
    </row>
    <row r="16" spans="1:4" ht="70.5" customHeight="1">
      <c r="A16" s="349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91"/>
      <c r="C16" s="3491"/>
      <c r="D16" s="3491"/>
    </row>
    <row r="17" spans="1:4">
      <c r="A17" s="3491" t="s">
        <v>2701</v>
      </c>
      <c r="B17" s="3491"/>
      <c r="C17" s="3491"/>
      <c r="D17" s="3491"/>
    </row>
    <row r="18" spans="1:4">
      <c r="A18" s="3491" t="s">
        <v>2693</v>
      </c>
      <c r="B18" s="3491"/>
      <c r="C18" s="3491"/>
      <c r="D18" s="3491"/>
    </row>
    <row r="19" spans="1:4">
      <c r="A19" s="2864" t="s">
        <v>2694</v>
      </c>
      <c r="B19" s="2864" t="s">
        <v>2695</v>
      </c>
      <c r="C19" s="2864" t="s">
        <v>2696</v>
      </c>
      <c r="D19" s="2864" t="s">
        <v>2697</v>
      </c>
    </row>
    <row r="20" spans="1:4">
      <c r="A20" s="2864" t="str">
        <f>项目基本情况!B4</f>
        <v>王鹏</v>
      </c>
      <c r="B20" s="2864">
        <f ca="1">项目基本情况!C4</f>
        <v>2002110030</v>
      </c>
      <c r="C20" s="2866"/>
      <c r="D20" s="1796" t="s">
        <v>2702</v>
      </c>
    </row>
    <row r="21" spans="1:4">
      <c r="A21" s="2864" t="str">
        <f>项目基本情况!D4</f>
        <v>崔锴</v>
      </c>
      <c r="B21" s="2864">
        <f ca="1">项目基本情况!E4</f>
        <v>2010110070</v>
      </c>
      <c r="C21" s="2866"/>
      <c r="D21" s="1796" t="s">
        <v>2703</v>
      </c>
    </row>
    <row r="23" spans="1:4">
      <c r="A23" s="3491" t="s">
        <v>2698</v>
      </c>
      <c r="B23" s="3491"/>
      <c r="C23" s="3491"/>
      <c r="D23" s="3491"/>
    </row>
    <row r="24" spans="1:4">
      <c r="A24" s="2864" t="s">
        <v>2694</v>
      </c>
      <c r="B24" s="2864" t="s">
        <v>2699</v>
      </c>
      <c r="C24" s="2864" t="s">
        <v>2696</v>
      </c>
      <c r="D24" s="2864" t="s">
        <v>2697</v>
      </c>
    </row>
    <row r="25" spans="1:4">
      <c r="A25" s="2867" t="s">
        <v>2700</v>
      </c>
      <c r="B25" s="2864" t="s">
        <v>952</v>
      </c>
      <c r="C25" s="2866"/>
      <c r="D25" s="1796" t="s">
        <v>2703</v>
      </c>
    </row>
    <row r="29" spans="1:4">
      <c r="D29" s="2865" t="s">
        <v>2039</v>
      </c>
    </row>
    <row r="30" spans="1:4">
      <c r="D30" s="286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872</v>
      </c>
    </row>
    <row r="13" spans="1:7">
      <c r="A13" s="1168" t="s">
        <v>52</v>
      </c>
    </row>
    <row r="15" spans="1:7" ht="14.25">
      <c r="A15" s="3503" t="s">
        <v>53</v>
      </c>
      <c r="B15" s="3504" t="s">
        <v>846</v>
      </c>
      <c r="C15" s="3500"/>
    </row>
    <row r="16" spans="1:7" ht="14.25">
      <c r="A16" s="3503"/>
      <c r="B16" s="3501" t="s">
        <v>54</v>
      </c>
      <c r="C16" s="1169" t="s">
        <v>53</v>
      </c>
    </row>
    <row r="17" spans="1:3" ht="14.25">
      <c r="A17" s="3503"/>
      <c r="B17" s="3501"/>
      <c r="C17" s="1169" t="s">
        <v>55</v>
      </c>
    </row>
    <row r="18" spans="1:3" ht="14.25">
      <c r="A18" s="3503"/>
      <c r="B18" s="3501"/>
      <c r="C18" s="1169" t="s">
        <v>56</v>
      </c>
    </row>
    <row r="19" spans="1:3" ht="14.25">
      <c r="A19" s="3503"/>
      <c r="B19" s="3499" t="s">
        <v>57</v>
      </c>
      <c r="C19" s="3500"/>
    </row>
    <row r="20" spans="1:3" ht="14.25">
      <c r="A20" s="1170" t="s">
        <v>58</v>
      </c>
      <c r="B20" s="1171"/>
      <c r="C20" s="1172"/>
    </row>
    <row r="21" spans="1:3" ht="14.25">
      <c r="A21" s="3502" t="s">
        <v>59</v>
      </c>
      <c r="B21" s="3499" t="s">
        <v>60</v>
      </c>
      <c r="C21" s="3500"/>
    </row>
    <row r="22" spans="1:3" ht="14.25">
      <c r="A22" s="3502"/>
      <c r="B22" s="3499" t="s">
        <v>61</v>
      </c>
      <c r="C22" s="3500"/>
    </row>
    <row r="23" spans="1:3" ht="14.25">
      <c r="A23" s="3502"/>
      <c r="B23" s="3499" t="s">
        <v>62</v>
      </c>
      <c r="C23" s="3500"/>
    </row>
    <row r="24" spans="1:3" ht="14.25">
      <c r="A24" s="3502"/>
      <c r="B24" s="3505" t="s">
        <v>63</v>
      </c>
      <c r="C24" s="1173" t="s">
        <v>837</v>
      </c>
    </row>
    <row r="25" spans="1:3" ht="14.25">
      <c r="A25" s="3502"/>
      <c r="B25" s="3506"/>
      <c r="C25" s="1173" t="s">
        <v>838</v>
      </c>
    </row>
    <row r="26" spans="1:3" ht="14.25">
      <c r="A26" s="3502"/>
      <c r="B26" s="3506"/>
      <c r="C26" s="1173" t="s">
        <v>839</v>
      </c>
    </row>
    <row r="27" spans="1:3" ht="14.25">
      <c r="A27" s="3502"/>
      <c r="B27" s="3506"/>
      <c r="C27" s="1173" t="s">
        <v>840</v>
      </c>
    </row>
    <row r="28" spans="1:3" ht="14.25">
      <c r="A28" s="3502"/>
      <c r="B28" s="3506"/>
      <c r="C28" s="1173" t="s">
        <v>841</v>
      </c>
    </row>
    <row r="29" spans="1:3" ht="14.25">
      <c r="A29" s="3502"/>
      <c r="B29" s="3506"/>
      <c r="C29" s="1173" t="s">
        <v>842</v>
      </c>
    </row>
    <row r="30" spans="1:3" ht="14.25">
      <c r="A30" s="3502"/>
      <c r="B30" s="3506"/>
      <c r="C30" s="1173" t="s">
        <v>843</v>
      </c>
    </row>
    <row r="31" spans="1:3" ht="14.25">
      <c r="A31" s="3502"/>
      <c r="B31" s="3506"/>
      <c r="C31" s="1173" t="s">
        <v>844</v>
      </c>
    </row>
    <row r="32" spans="1:3" ht="14.25">
      <c r="A32" s="3502"/>
      <c r="B32" s="3506"/>
      <c r="C32" s="1173" t="s">
        <v>1647</v>
      </c>
    </row>
    <row r="33" spans="1:3" ht="14.25">
      <c r="A33" s="3502"/>
      <c r="B33" s="3496" t="s">
        <v>1653</v>
      </c>
      <c r="C33" s="1173" t="s">
        <v>1648</v>
      </c>
    </row>
    <row r="34" spans="1:3" ht="14.25">
      <c r="A34" s="3502"/>
      <c r="B34" s="3497"/>
      <c r="C34" s="1178" t="s">
        <v>1649</v>
      </c>
    </row>
    <row r="35" spans="1:3" ht="14.25">
      <c r="A35" s="3502"/>
      <c r="B35" s="3497"/>
      <c r="C35" s="1179" t="s">
        <v>1650</v>
      </c>
    </row>
    <row r="36" spans="1:3" ht="14.25">
      <c r="A36" s="3502"/>
      <c r="B36" s="3497"/>
      <c r="C36" s="1179" t="s">
        <v>1651</v>
      </c>
    </row>
    <row r="37" spans="1:3" ht="14.25">
      <c r="A37" s="3502"/>
      <c r="B37" s="3498"/>
      <c r="C37" s="1180" t="s">
        <v>1652</v>
      </c>
    </row>
    <row r="38" spans="1:3">
      <c r="A38" s="1174" t="s">
        <v>845</v>
      </c>
    </row>
    <row r="41" spans="1:3">
      <c r="A41" s="1174" t="s">
        <v>68</v>
      </c>
    </row>
    <row r="42" spans="1:3" ht="14.25">
      <c r="A42" s="1175" t="s">
        <v>853</v>
      </c>
    </row>
    <row r="43" spans="1:3" ht="14.25">
      <c r="A43" s="1176" t="s">
        <v>69</v>
      </c>
    </row>
    <row r="44" spans="1:3" ht="14.25">
      <c r="A44" s="1175" t="s">
        <v>852</v>
      </c>
    </row>
    <row r="45" spans="1:3" ht="14.25">
      <c r="A45" s="1177" t="s">
        <v>854</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7" customWidth="1"/>
    <col min="2" max="5" width="22.625" style="2337"/>
    <col min="6" max="6" width="25.625" style="2337" customWidth="1"/>
    <col min="7" max="16384" width="22.625" style="2337"/>
  </cols>
  <sheetData>
    <row r="2" spans="1:6" ht="20.25" customHeight="1">
      <c r="A2" s="2334" t="s">
        <v>1908</v>
      </c>
      <c r="B2" s="1652">
        <f ca="1">TODAY()</f>
        <v>43350</v>
      </c>
      <c r="C2" s="2335" t="s">
        <v>1909</v>
      </c>
      <c r="D2" s="2336"/>
    </row>
    <row r="3" spans="1:6" ht="20.25" customHeight="1">
      <c r="A3" s="2338" t="s">
        <v>1910</v>
      </c>
      <c r="B3" s="2339" t="s">
        <v>1911</v>
      </c>
      <c r="C3" s="2339" t="s">
        <v>1912</v>
      </c>
      <c r="D3" s="2340" t="s">
        <v>1913</v>
      </c>
      <c r="E3" s="2339" t="s">
        <v>1914</v>
      </c>
      <c r="F3" s="2339" t="s">
        <v>1912</v>
      </c>
    </row>
    <row r="4" spans="1:6" ht="20.25" customHeight="1">
      <c r="A4" s="2339" t="s">
        <v>1915</v>
      </c>
      <c r="B4" s="2339">
        <f ca="1">IF(C4&lt;B2,"已过期",1119970066)</f>
        <v>1119970066</v>
      </c>
      <c r="C4" s="3002">
        <v>43849</v>
      </c>
      <c r="D4" s="2339" t="s">
        <v>1915</v>
      </c>
      <c r="E4" s="2339">
        <f ca="1">IF(F4&lt;B2,"已过期",96010014)</f>
        <v>96010014</v>
      </c>
      <c r="F4" s="3003">
        <v>47118</v>
      </c>
    </row>
    <row r="5" spans="1:6" ht="20.25" customHeight="1">
      <c r="A5" s="2339" t="s">
        <v>1916</v>
      </c>
      <c r="B5" s="2339">
        <f ca="1">IF(C5&lt;B2,"已过期",1119970074)</f>
        <v>1119970074</v>
      </c>
      <c r="C5" s="3002">
        <v>43849</v>
      </c>
      <c r="D5" s="2339" t="s">
        <v>1916</v>
      </c>
      <c r="E5" s="2339">
        <f ca="1">IF(F5&lt;B2,"已过期",2002110027)</f>
        <v>2002110027</v>
      </c>
      <c r="F5" s="3003">
        <v>46752</v>
      </c>
    </row>
    <row r="6" spans="1:6" ht="20.25" customHeight="1">
      <c r="A6" s="2339" t="s">
        <v>1917</v>
      </c>
      <c r="B6" s="2339">
        <f ca="1">IF(C6&lt;B2,"已过期",1119970111)</f>
        <v>1119970111</v>
      </c>
      <c r="C6" s="3002">
        <v>43849</v>
      </c>
      <c r="D6" s="2339" t="s">
        <v>1917</v>
      </c>
      <c r="E6" s="2339">
        <f ca="1">IF(F6&lt;B2,"已过期",94010078)</f>
        <v>94010078</v>
      </c>
      <c r="F6" s="3003">
        <v>46387</v>
      </c>
    </row>
    <row r="7" spans="1:6" ht="20.25" customHeight="1">
      <c r="A7" s="2339" t="s">
        <v>1918</v>
      </c>
      <c r="B7" s="2339">
        <f ca="1">IF(C7&lt;B2,"已过期",1120050019)</f>
        <v>1120050019</v>
      </c>
      <c r="C7" s="3002">
        <v>44395</v>
      </c>
      <c r="D7" s="2339" t="s">
        <v>1918</v>
      </c>
      <c r="E7" s="2339">
        <f ca="1">IF(F7&lt;B2,"已过期",2002110030)</f>
        <v>2002110030</v>
      </c>
      <c r="F7" s="3003">
        <v>46387</v>
      </c>
    </row>
    <row r="8" spans="1:6" ht="20.25" customHeight="1">
      <c r="A8" s="2339" t="s">
        <v>1919</v>
      </c>
      <c r="B8" s="2339">
        <f ca="1">IF(C8&lt;B2,"已过期",1120000080)</f>
        <v>1120000080</v>
      </c>
      <c r="C8" s="3002">
        <v>43849</v>
      </c>
      <c r="D8" s="2339" t="s">
        <v>1919</v>
      </c>
      <c r="E8" s="2339">
        <f ca="1">IF(F8&lt;B2,"已过期",2000110082)</f>
        <v>2000110082</v>
      </c>
      <c r="F8" s="3003">
        <v>46387</v>
      </c>
    </row>
    <row r="9" spans="1:6" ht="20.25" customHeight="1">
      <c r="A9" s="2339" t="s">
        <v>1920</v>
      </c>
      <c r="B9" s="2339">
        <f ca="1">IF(C9&lt;B2,"已过期",1419970001)</f>
        <v>1419970001</v>
      </c>
      <c r="C9" s="3002">
        <v>43867</v>
      </c>
      <c r="D9" s="2339" t="s">
        <v>1920</v>
      </c>
      <c r="E9" s="2339">
        <f ca="1">IF(F9&lt;B2,"已过期",2002110125)</f>
        <v>2002110125</v>
      </c>
      <c r="F9" s="3003">
        <v>47118</v>
      </c>
    </row>
    <row r="10" spans="1:6" ht="20.25" customHeight="1">
      <c r="A10" s="2339" t="s">
        <v>1921</v>
      </c>
      <c r="B10" s="2339">
        <f ca="1">IF(C10&lt;B2,"已过期",1120060040)</f>
        <v>1120060040</v>
      </c>
      <c r="C10" s="3002">
        <v>43483</v>
      </c>
      <c r="D10" s="2339" t="s">
        <v>1921</v>
      </c>
      <c r="E10" s="2339">
        <f ca="1">IF(F10&lt;B2,"已过期",2004110096)</f>
        <v>2004110096</v>
      </c>
      <c r="F10" s="3003">
        <v>47118</v>
      </c>
    </row>
    <row r="11" spans="1:6" ht="20.25" customHeight="1">
      <c r="A11" s="2339" t="s">
        <v>1922</v>
      </c>
      <c r="B11" s="2339">
        <f ca="1">IF(C11&lt;B2,"已过期",1120100036)</f>
        <v>1120100036</v>
      </c>
      <c r="C11" s="3002">
        <v>43622</v>
      </c>
      <c r="D11" s="2339" t="s">
        <v>1922</v>
      </c>
      <c r="E11" s="2339">
        <f ca="1">IF(F11&lt;B2,"已过期",2010110070)</f>
        <v>2010110070</v>
      </c>
      <c r="F11" s="3003">
        <v>47907</v>
      </c>
    </row>
    <row r="12" spans="1:6" ht="20.25" customHeight="1">
      <c r="A12" s="2339" t="s">
        <v>2978</v>
      </c>
      <c r="B12" s="2339">
        <v>1120110054</v>
      </c>
      <c r="C12" s="3002">
        <v>43937</v>
      </c>
      <c r="D12" s="2339" t="s">
        <v>2978</v>
      </c>
      <c r="E12" s="2339">
        <v>2008110060</v>
      </c>
      <c r="F12" s="3003">
        <v>47177</v>
      </c>
    </row>
    <row r="13" spans="1:6" ht="20.25" customHeight="1">
      <c r="A13" s="2339" t="s">
        <v>1923</v>
      </c>
      <c r="B13" s="2339">
        <f ca="1">IF(C13&lt;B2,"已过期",1120070131)</f>
        <v>1120070131</v>
      </c>
      <c r="C13" s="3002">
        <v>43814</v>
      </c>
      <c r="D13" s="2339" t="s">
        <v>1923</v>
      </c>
      <c r="E13" s="2339">
        <v>2014110011</v>
      </c>
      <c r="F13" s="3003">
        <v>49302</v>
      </c>
    </row>
    <row r="14" spans="1:6" ht="20.25" customHeight="1">
      <c r="A14" s="2339" t="s">
        <v>1924</v>
      </c>
      <c r="B14" s="2339">
        <f ca="1">IF(C14&lt;B2,"已过期",1120130020)</f>
        <v>1120130020</v>
      </c>
      <c r="C14" s="3002">
        <v>43622</v>
      </c>
      <c r="D14" s="2339"/>
      <c r="E14" s="2339"/>
      <c r="F14" s="2339"/>
    </row>
    <row r="15" spans="1:6" ht="20.25" customHeight="1">
      <c r="A15" s="2339" t="s">
        <v>2574</v>
      </c>
      <c r="B15" s="2339">
        <v>1120070085</v>
      </c>
      <c r="C15" s="3002">
        <v>43814</v>
      </c>
      <c r="D15" s="2339" t="s">
        <v>2574</v>
      </c>
      <c r="E15" s="2339">
        <v>2004110128</v>
      </c>
      <c r="F15" s="3003">
        <v>47118</v>
      </c>
    </row>
    <row r="16" spans="1:6" ht="20.25" customHeight="1">
      <c r="A16" s="2339" t="s">
        <v>1925</v>
      </c>
      <c r="B16" s="2339">
        <f ca="1">IF(C16&lt;B2,"已过期",1120140022)</f>
        <v>1120140022</v>
      </c>
      <c r="C16" s="3002">
        <v>44029</v>
      </c>
      <c r="D16" s="2339" t="s">
        <v>1925</v>
      </c>
      <c r="E16" s="2339">
        <f ca="1">IF(F16&lt;B2,"已过期",2008110059)</f>
        <v>2008110059</v>
      </c>
      <c r="F16" s="3003">
        <v>47177</v>
      </c>
    </row>
    <row r="17" spans="1:7" ht="20.25" customHeight="1">
      <c r="A17" s="2339"/>
      <c r="B17" s="2339"/>
      <c r="C17" s="3002"/>
      <c r="D17" s="2339"/>
      <c r="E17" s="2339"/>
      <c r="F17" s="3003"/>
    </row>
    <row r="18" spans="1:7" ht="20.25" customHeight="1">
      <c r="A18" s="2339"/>
      <c r="B18" s="2339"/>
      <c r="C18" s="3002"/>
      <c r="D18" s="2339"/>
      <c r="E18" s="2339"/>
      <c r="F18" s="3003"/>
    </row>
    <row r="19" spans="1:7" ht="20.25" customHeight="1">
      <c r="A19" s="2339"/>
      <c r="B19" s="2339"/>
      <c r="C19" s="3002"/>
      <c r="D19" s="2339"/>
      <c r="E19" s="2339"/>
      <c r="F19" s="2339"/>
    </row>
    <row r="20" spans="1:7" ht="20.25" customHeight="1">
      <c r="A20" s="2339"/>
      <c r="B20" s="2339"/>
      <c r="C20" s="3002"/>
      <c r="D20" s="2339"/>
      <c r="E20" s="2339"/>
      <c r="F20" s="2339"/>
    </row>
    <row r="21" spans="1:7" ht="20.25" customHeight="1">
      <c r="A21" s="2339"/>
      <c r="B21" s="2339"/>
      <c r="C21" s="3002"/>
      <c r="D21" s="2339" t="s">
        <v>1926</v>
      </c>
      <c r="E21" s="2339">
        <f ca="1">IF(F21&lt;B2,"已过期",2011110090)</f>
        <v>2011110090</v>
      </c>
      <c r="F21" s="3003">
        <v>48302</v>
      </c>
    </row>
    <row r="22" spans="1:7" ht="20.25" customHeight="1">
      <c r="A22" s="2339" t="s">
        <v>1927</v>
      </c>
      <c r="B22" s="2339">
        <f ca="1">IF(C22&lt;B2,"已过期",1120020033)</f>
        <v>1120020033</v>
      </c>
      <c r="C22" s="3002">
        <v>44339</v>
      </c>
      <c r="D22" s="2339" t="s">
        <v>1927</v>
      </c>
      <c r="E22" s="2339">
        <f ca="1">IF(F22&lt;B2,"已过期",2000110137)</f>
        <v>2000110137</v>
      </c>
      <c r="F22" s="3003">
        <v>46387</v>
      </c>
    </row>
    <row r="23" spans="1:7" ht="20.25" customHeight="1">
      <c r="A23" s="2339" t="s">
        <v>1928</v>
      </c>
      <c r="B23" s="2339">
        <f ca="1">IF(C23&lt;B2,"已过期",1120130048)</f>
        <v>1120130048</v>
      </c>
      <c r="C23" s="3002">
        <v>43686</v>
      </c>
      <c r="D23" s="2339"/>
      <c r="E23" s="2339"/>
      <c r="F23" s="2339"/>
    </row>
    <row r="24" spans="1:7" s="2343" customFormat="1" ht="20.25" customHeight="1">
      <c r="A24" s="2341" t="s">
        <v>2053</v>
      </c>
      <c r="B24" s="2341" t="s">
        <v>2053</v>
      </c>
      <c r="C24" s="3002"/>
      <c r="D24" s="3004" t="s">
        <v>2053</v>
      </c>
      <c r="E24" s="2341" t="s">
        <v>2053</v>
      </c>
      <c r="F24" s="2342"/>
    </row>
    <row r="25" spans="1:7" ht="20.25" customHeight="1">
      <c r="A25" s="3507" t="s">
        <v>1929</v>
      </c>
      <c r="B25" s="3507"/>
      <c r="C25" s="3507"/>
      <c r="D25" s="3507"/>
      <c r="E25" s="3507"/>
      <c r="F25" s="3507"/>
      <c r="G25" s="3507"/>
    </row>
    <row r="26" spans="1:7" ht="20.25" customHeight="1">
      <c r="A26" s="3508" t="s">
        <v>1930</v>
      </c>
      <c r="B26" s="3508"/>
      <c r="C26" s="3508"/>
      <c r="D26" s="3508" t="s">
        <v>1931</v>
      </c>
      <c r="E26" s="3508"/>
      <c r="F26" s="3508"/>
    </row>
    <row r="27" spans="1:7" s="2347" customFormat="1" ht="20.25" customHeight="1">
      <c r="A27" s="2344" t="s">
        <v>1932</v>
      </c>
      <c r="B27" s="2345" t="s">
        <v>1933</v>
      </c>
      <c r="C27" s="2345" t="s">
        <v>1934</v>
      </c>
      <c r="D27" s="2346" t="s">
        <v>1932</v>
      </c>
      <c r="E27" s="2345" t="s">
        <v>1933</v>
      </c>
      <c r="F27" s="2345" t="s">
        <v>1934</v>
      </c>
    </row>
    <row r="28" spans="1:7" s="2347" customFormat="1" ht="20.25" customHeight="1">
      <c r="A28" s="2348" t="s">
        <v>1935</v>
      </c>
      <c r="B28" s="2348" t="s">
        <v>1936</v>
      </c>
      <c r="C28" s="2349">
        <v>43725</v>
      </c>
      <c r="D28" s="2348" t="s">
        <v>1937</v>
      </c>
      <c r="E28" s="2348" t="s">
        <v>1938</v>
      </c>
      <c r="F28" s="2350">
        <v>44377</v>
      </c>
    </row>
    <row r="29" spans="1:7" s="2347" customFormat="1" ht="20.25" customHeight="1">
      <c r="A29" s="2348"/>
      <c r="B29" s="2348"/>
      <c r="C29" s="2351"/>
      <c r="D29" s="2348" t="s">
        <v>1939</v>
      </c>
      <c r="E29" s="2352" t="s">
        <v>2944</v>
      </c>
      <c r="F29" s="2353">
        <v>43281</v>
      </c>
    </row>
    <row r="30" spans="1:7" ht="20.25" customHeight="1">
      <c r="C30" s="2354"/>
      <c r="D30" s="2354"/>
    </row>
  </sheetData>
  <sheetProtection sheet="1" objects="1" scenarios="1"/>
  <mergeCells count="3">
    <mergeCell ref="A25:G25"/>
    <mergeCell ref="A26:C26"/>
    <mergeCell ref="D26:F26"/>
  </mergeCells>
  <phoneticPr fontId="3" type="noConversion"/>
  <conditionalFormatting sqref="C24:D24">
    <cfRule type="expression" dxfId="214" priority="90">
      <formula>AND($C24-TODAY()&lt;30,TODAY()&lt;$C24)</formula>
    </cfRule>
  </conditionalFormatting>
  <conditionalFormatting sqref="C28">
    <cfRule type="expression" dxfId="213" priority="89">
      <formula>AND($C28-TODAY()&lt;30,TODAY()&lt;$C28)</formula>
    </cfRule>
  </conditionalFormatting>
  <conditionalFormatting sqref="C28 F4">
    <cfRule type="cellIs" dxfId="212" priority="91" stopIfTrue="1" operator="lessThan">
      <formula>$B$2</formula>
    </cfRule>
  </conditionalFormatting>
  <conditionalFormatting sqref="F5">
    <cfRule type="cellIs" dxfId="211" priority="87" stopIfTrue="1" operator="lessThan">
      <formula>$B$2</formula>
    </cfRule>
  </conditionalFormatting>
  <conditionalFormatting sqref="F6 F8 F10">
    <cfRule type="cellIs" dxfId="210" priority="85" stopIfTrue="1" operator="lessThan">
      <formula>$B$2</formula>
    </cfRule>
  </conditionalFormatting>
  <conditionalFormatting sqref="C24:D24">
    <cfRule type="expression" dxfId="209" priority="83">
      <formula>AND($C24-TODAY()&lt;30,TODAY()&lt;$C24)</formula>
    </cfRule>
  </conditionalFormatting>
  <conditionalFormatting sqref="F7 F9 F11 C24:D24">
    <cfRule type="cellIs" dxfId="208" priority="84" stopIfTrue="1" operator="lessThan">
      <formula>$B$2</formula>
    </cfRule>
  </conditionalFormatting>
  <conditionalFormatting sqref="F16">
    <cfRule type="cellIs" dxfId="207" priority="57" stopIfTrue="1" operator="lessThan">
      <formula>$B$2</formula>
    </cfRule>
  </conditionalFormatting>
  <conditionalFormatting sqref="F18">
    <cfRule type="cellIs" dxfId="206" priority="56" stopIfTrue="1" operator="lessThan">
      <formula>$B$2</formula>
    </cfRule>
  </conditionalFormatting>
  <conditionalFormatting sqref="F22">
    <cfRule type="cellIs" dxfId="205" priority="55" stopIfTrue="1" operator="lessThan">
      <formula>$B$2</formula>
    </cfRule>
  </conditionalFormatting>
  <conditionalFormatting sqref="F21">
    <cfRule type="cellIs" dxfId="204" priority="54" stopIfTrue="1" operator="lessThan">
      <formula>$B$2</formula>
    </cfRule>
  </conditionalFormatting>
  <conditionalFormatting sqref="F17">
    <cfRule type="cellIs" dxfId="203" priority="53" stopIfTrue="1" operator="lessThan">
      <formula>$B$2</formula>
    </cfRule>
  </conditionalFormatting>
  <conditionalFormatting sqref="B4:B11 E4:E11 E16:E23 B16:B23 B13:B14 E13:E14">
    <cfRule type="cellIs" dxfId="202" priority="52" stopIfTrue="1" operator="equal">
      <formula>"已过期"</formula>
    </cfRule>
  </conditionalFormatting>
  <conditionalFormatting sqref="F28">
    <cfRule type="cellIs" dxfId="201" priority="49" stopIfTrue="1" operator="lessThan">
      <formula>$B$2</formula>
    </cfRule>
  </conditionalFormatting>
  <conditionalFormatting sqref="F29">
    <cfRule type="cellIs" dxfId="200" priority="47" stopIfTrue="1" operator="lessThan">
      <formula>$B$2</formula>
    </cfRule>
  </conditionalFormatting>
  <conditionalFormatting sqref="F28">
    <cfRule type="expression" dxfId="199" priority="93">
      <formula>AND($E28-TODAY()&lt;30,TODAY()&lt;$E28)</formula>
    </cfRule>
  </conditionalFormatting>
  <conditionalFormatting sqref="F29">
    <cfRule type="expression" dxfId="198" priority="94" stopIfTrue="1">
      <formula>AND($E29-TODAY()&lt;30,TODAY()&lt;$E29)</formula>
    </cfRule>
  </conditionalFormatting>
  <conditionalFormatting sqref="C5">
    <cfRule type="expression" dxfId="197" priority="44">
      <formula>AND($C5-TODAY()&lt;30,TODAY()&lt;$C5)</formula>
    </cfRule>
  </conditionalFormatting>
  <conditionalFormatting sqref="C5">
    <cfRule type="cellIs" dxfId="196" priority="45" stopIfTrue="1" operator="lessThan">
      <formula>$B$2</formula>
    </cfRule>
  </conditionalFormatting>
  <conditionalFormatting sqref="C4:C6">
    <cfRule type="expression" dxfId="195" priority="42">
      <formula>AND($C4-TODAY()&lt;30,TODAY()&lt;$C4)</formula>
    </cfRule>
  </conditionalFormatting>
  <conditionalFormatting sqref="C4:C6">
    <cfRule type="cellIs" dxfId="194" priority="43" stopIfTrue="1" operator="lessThan">
      <formula>$B$2</formula>
    </cfRule>
  </conditionalFormatting>
  <conditionalFormatting sqref="C8:C9">
    <cfRule type="expression" dxfId="193" priority="40">
      <formula>AND($C8-TODAY()&lt;30,TODAY()&lt;$C8)</formula>
    </cfRule>
  </conditionalFormatting>
  <conditionalFormatting sqref="C8:C9">
    <cfRule type="cellIs" dxfId="192" priority="41" stopIfTrue="1" operator="lessThan">
      <formula>$B$2</formula>
    </cfRule>
  </conditionalFormatting>
  <conditionalFormatting sqref="B15 E15">
    <cfRule type="cellIs" dxfId="191" priority="28" stopIfTrue="1" operator="equal">
      <formula>"已过期"</formula>
    </cfRule>
  </conditionalFormatting>
  <conditionalFormatting sqref="F15">
    <cfRule type="cellIs" dxfId="190" priority="25" stopIfTrue="1" operator="lessThan">
      <formula>$B$2</formula>
    </cfRule>
  </conditionalFormatting>
  <conditionalFormatting sqref="C7">
    <cfRule type="expression" dxfId="189" priority="23">
      <formula>AND($C7-TODAY()&lt;30,TODAY()&lt;$C7)</formula>
    </cfRule>
  </conditionalFormatting>
  <conditionalFormatting sqref="C7">
    <cfRule type="cellIs" dxfId="188" priority="24" stopIfTrue="1" operator="lessThan">
      <formula>$B$2</formula>
    </cfRule>
  </conditionalFormatting>
  <conditionalFormatting sqref="C10:C11 C13:C21 C23">
    <cfRule type="expression" dxfId="187" priority="21">
      <formula>AND($C10-TODAY()&lt;30,TODAY()&lt;$C10)</formula>
    </cfRule>
  </conditionalFormatting>
  <conditionalFormatting sqref="C10:C11 C13:C21 C23">
    <cfRule type="cellIs" dxfId="186" priority="22" stopIfTrue="1" operator="lessThan">
      <formula>$B$2</formula>
    </cfRule>
  </conditionalFormatting>
  <conditionalFormatting sqref="F13">
    <cfRule type="cellIs" dxfId="185" priority="20" stopIfTrue="1" operator="lessThan">
      <formula>$B$2</formula>
    </cfRule>
  </conditionalFormatting>
  <conditionalFormatting sqref="F12">
    <cfRule type="cellIs" dxfId="184" priority="12" stopIfTrue="1" operator="lessThan">
      <formula>$B$2</formula>
    </cfRule>
  </conditionalFormatting>
  <conditionalFormatting sqref="B12 E12">
    <cfRule type="cellIs" dxfId="183" priority="11" stopIfTrue="1" operator="equal">
      <formula>"已过期"</formula>
    </cfRule>
  </conditionalFormatting>
  <conditionalFormatting sqref="C12">
    <cfRule type="expression" dxfId="182" priority="9">
      <formula>AND($C12-TODAY()&lt;30,TODAY()&lt;$C12)</formula>
    </cfRule>
  </conditionalFormatting>
  <conditionalFormatting sqref="C12">
    <cfRule type="cellIs" dxfId="181" priority="10" stopIfTrue="1" operator="lessThan">
      <formula>$B$2</formula>
    </cfRule>
  </conditionalFormatting>
  <conditionalFormatting sqref="C22">
    <cfRule type="expression" dxfId="180" priority="1">
      <formula>AND($C22-TODAY()&lt;30,TODAY()&lt;$C22)</formula>
    </cfRule>
  </conditionalFormatting>
  <conditionalFormatting sqref="C2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9" sqref="X29"/>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856</v>
      </c>
      <c r="B1" s="5" t="s">
        <v>132</v>
      </c>
      <c r="C1" s="1545"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79" t="s">
        <v>2545</v>
      </c>
      <c r="R1" s="2578" t="s">
        <v>2539</v>
      </c>
      <c r="S1" s="6" t="s">
        <v>146</v>
      </c>
      <c r="T1" s="7" t="s">
        <v>147</v>
      </c>
      <c r="U1" s="6" t="s">
        <v>148</v>
      </c>
      <c r="V1" s="6" t="s">
        <v>149</v>
      </c>
      <c r="W1" s="1001" t="s">
        <v>874</v>
      </c>
    </row>
    <row r="2" spans="1:23">
      <c r="A2" s="8" t="s">
        <v>73</v>
      </c>
      <c r="B2" s="8" t="s">
        <v>150</v>
      </c>
      <c r="C2" s="1546" t="s">
        <v>1710</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2540</v>
      </c>
      <c r="S2" s="9" t="s">
        <v>75</v>
      </c>
      <c r="T2" s="9" t="s">
        <v>76</v>
      </c>
      <c r="U2" s="9" t="s">
        <v>75</v>
      </c>
      <c r="V2" s="9" t="s">
        <v>77</v>
      </c>
      <c r="W2" s="9" t="s">
        <v>875</v>
      </c>
    </row>
    <row r="3" spans="1:23">
      <c r="A3" s="8" t="s">
        <v>78</v>
      </c>
      <c r="B3" s="10" t="s">
        <v>151</v>
      </c>
      <c r="C3" s="1547" t="s">
        <v>1711</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2541</v>
      </c>
      <c r="S3" s="9" t="s">
        <v>84</v>
      </c>
      <c r="T3" s="9" t="s">
        <v>85</v>
      </c>
      <c r="U3" s="9" t="s">
        <v>84</v>
      </c>
      <c r="V3" s="9" t="s">
        <v>86</v>
      </c>
      <c r="W3" s="9" t="s">
        <v>876</v>
      </c>
    </row>
    <row r="4" spans="1:23">
      <c r="A4" s="8" t="s">
        <v>87</v>
      </c>
      <c r="B4" s="8" t="s">
        <v>152</v>
      </c>
      <c r="C4" s="1546" t="s">
        <v>1712</v>
      </c>
      <c r="D4" s="9" t="s">
        <v>1995</v>
      </c>
      <c r="E4" s="9" t="s">
        <v>88</v>
      </c>
      <c r="F4" s="9" t="s">
        <v>89</v>
      </c>
      <c r="G4" s="9">
        <v>70</v>
      </c>
      <c r="H4" s="9" t="s">
        <v>90</v>
      </c>
      <c r="I4" s="9" t="s">
        <v>91</v>
      </c>
      <c r="K4" s="9" t="s">
        <v>92</v>
      </c>
      <c r="L4" s="9" t="s">
        <v>92</v>
      </c>
      <c r="M4" s="9" t="s">
        <v>92</v>
      </c>
      <c r="N4" s="9" t="s">
        <v>92</v>
      </c>
      <c r="O4" s="9" t="s">
        <v>92</v>
      </c>
      <c r="P4" s="1003" t="s">
        <v>760</v>
      </c>
      <c r="Q4" s="9" t="s">
        <v>92</v>
      </c>
      <c r="R4" s="1003" t="s">
        <v>2542</v>
      </c>
      <c r="S4" s="9" t="s">
        <v>92</v>
      </c>
      <c r="T4" s="9" t="s">
        <v>93</v>
      </c>
      <c r="U4" s="9" t="s">
        <v>92</v>
      </c>
      <c r="W4" s="9" t="s">
        <v>877</v>
      </c>
    </row>
    <row r="5" spans="1:23">
      <c r="A5" s="8" t="s">
        <v>94</v>
      </c>
      <c r="B5" s="8" t="s">
        <v>153</v>
      </c>
      <c r="C5" s="1546" t="s">
        <v>1713</v>
      </c>
      <c r="F5" s="9" t="s">
        <v>95</v>
      </c>
      <c r="H5" s="9" t="s">
        <v>70</v>
      </c>
      <c r="I5" s="9" t="s">
        <v>96</v>
      </c>
      <c r="K5" s="9" t="s">
        <v>97</v>
      </c>
      <c r="L5" s="9" t="s">
        <v>97</v>
      </c>
      <c r="M5" s="9" t="s">
        <v>97</v>
      </c>
      <c r="N5" s="9" t="s">
        <v>97</v>
      </c>
      <c r="O5" s="9" t="s">
        <v>97</v>
      </c>
      <c r="P5" s="1003" t="s">
        <v>546</v>
      </c>
      <c r="Q5" s="9" t="s">
        <v>97</v>
      </c>
      <c r="R5" s="1003" t="s">
        <v>2543</v>
      </c>
      <c r="S5" s="9" t="s">
        <v>97</v>
      </c>
      <c r="T5" s="9" t="s">
        <v>98</v>
      </c>
      <c r="U5" s="9" t="s">
        <v>97</v>
      </c>
      <c r="W5" s="9" t="s">
        <v>878</v>
      </c>
    </row>
    <row r="6" spans="1:23">
      <c r="A6" s="8" t="s">
        <v>99</v>
      </c>
      <c r="B6" s="1146" t="s">
        <v>1641</v>
      </c>
      <c r="C6" s="1548" t="s">
        <v>1714</v>
      </c>
      <c r="F6" s="9" t="s">
        <v>71</v>
      </c>
      <c r="H6" s="9" t="s">
        <v>72</v>
      </c>
      <c r="I6" s="9" t="s">
        <v>100</v>
      </c>
      <c r="K6" s="9" t="s">
        <v>101</v>
      </c>
      <c r="L6" s="9" t="s">
        <v>101</v>
      </c>
      <c r="M6" s="9" t="s">
        <v>101</v>
      </c>
      <c r="N6" s="9" t="s">
        <v>101</v>
      </c>
      <c r="O6" s="9" t="s">
        <v>101</v>
      </c>
      <c r="P6" s="1003" t="s">
        <v>881</v>
      </c>
      <c r="Q6" s="9" t="s">
        <v>101</v>
      </c>
      <c r="R6" s="1003" t="s">
        <v>2544</v>
      </c>
      <c r="S6" s="9" t="s">
        <v>101</v>
      </c>
      <c r="T6" s="9"/>
      <c r="U6" s="9" t="s">
        <v>101</v>
      </c>
      <c r="W6" s="9" t="s">
        <v>879</v>
      </c>
    </row>
    <row r="7" spans="1:23">
      <c r="A7" s="8" t="s">
        <v>102</v>
      </c>
      <c r="B7" s="8" t="s">
        <v>103</v>
      </c>
      <c r="C7" s="1546" t="s">
        <v>1715</v>
      </c>
      <c r="F7" s="9" t="s">
        <v>154</v>
      </c>
      <c r="H7" s="9" t="s">
        <v>104</v>
      </c>
      <c r="I7" s="9" t="s">
        <v>105</v>
      </c>
    </row>
    <row r="8" spans="1:23">
      <c r="A8" s="8" t="s">
        <v>106</v>
      </c>
      <c r="B8" s="8" t="s">
        <v>107</v>
      </c>
      <c r="C8" s="1546" t="s">
        <v>1716</v>
      </c>
      <c r="F8" s="9" t="s">
        <v>155</v>
      </c>
      <c r="H8" s="9"/>
      <c r="I8" s="9" t="s">
        <v>108</v>
      </c>
    </row>
    <row r="9" spans="1:23">
      <c r="A9" s="8" t="s">
        <v>109</v>
      </c>
      <c r="B9" s="8" t="s">
        <v>156</v>
      </c>
      <c r="C9" s="1546" t="s">
        <v>1717</v>
      </c>
      <c r="F9" s="9" t="s">
        <v>110</v>
      </c>
      <c r="H9" s="9"/>
    </row>
    <row r="10" spans="1:23">
      <c r="A10" s="8" t="s">
        <v>111</v>
      </c>
      <c r="B10" s="8" t="s">
        <v>157</v>
      </c>
      <c r="C10" s="1546" t="s">
        <v>1718</v>
      </c>
      <c r="F10" s="9" t="s">
        <v>6</v>
      </c>
    </row>
    <row r="11" spans="1:23">
      <c r="A11" s="8" t="s">
        <v>112</v>
      </c>
      <c r="B11" s="8" t="s">
        <v>158</v>
      </c>
      <c r="C11" s="1546" t="s">
        <v>1719</v>
      </c>
    </row>
    <row r="12" spans="1:23">
      <c r="A12" s="8" t="s">
        <v>113</v>
      </c>
      <c r="B12" s="8" t="s">
        <v>159</v>
      </c>
      <c r="C12" s="1546" t="s">
        <v>1720</v>
      </c>
    </row>
    <row r="13" spans="1:23">
      <c r="A13" s="8" t="s">
        <v>114</v>
      </c>
      <c r="B13" s="8" t="s">
        <v>160</v>
      </c>
      <c r="C13" s="1546" t="s">
        <v>1721</v>
      </c>
    </row>
    <row r="14" spans="1:23">
      <c r="A14" s="8" t="s">
        <v>115</v>
      </c>
      <c r="B14" s="8" t="s">
        <v>161</v>
      </c>
      <c r="C14" s="1549" t="s">
        <v>1897</v>
      </c>
    </row>
    <row r="15" spans="1:23">
      <c r="A15" s="8" t="s">
        <v>116</v>
      </c>
      <c r="B15" s="8" t="s">
        <v>1682</v>
      </c>
      <c r="C15" s="1549"/>
    </row>
    <row r="16" spans="1:23">
      <c r="A16" s="8" t="s">
        <v>117</v>
      </c>
      <c r="B16" s="8" t="s">
        <v>1683</v>
      </c>
      <c r="C16" s="1549"/>
    </row>
    <row r="17" spans="1:3">
      <c r="A17" s="8" t="s">
        <v>118</v>
      </c>
      <c r="B17" s="8" t="s">
        <v>1684</v>
      </c>
      <c r="C17" s="1549"/>
    </row>
    <row r="18" spans="1:3">
      <c r="A18" s="8" t="s">
        <v>119</v>
      </c>
      <c r="B18" s="3108" t="s">
        <v>2956</v>
      </c>
      <c r="C18" s="1549"/>
    </row>
    <row r="19" spans="1:3">
      <c r="A19" s="8" t="s">
        <v>120</v>
      </c>
      <c r="B19" s="3108" t="s">
        <v>2964</v>
      </c>
      <c r="C19" s="1549"/>
    </row>
    <row r="20" spans="1:3">
      <c r="A20" s="8" t="s">
        <v>121</v>
      </c>
      <c r="B20" s="8" t="s">
        <v>1642</v>
      </c>
      <c r="C20" s="1549"/>
    </row>
    <row r="21" spans="1:3">
      <c r="A21" s="8" t="s">
        <v>122</v>
      </c>
      <c r="B21" s="3108" t="s">
        <v>3190</v>
      </c>
      <c r="C21" s="1549"/>
    </row>
    <row r="22" spans="1:3">
      <c r="A22" s="8" t="s">
        <v>123</v>
      </c>
      <c r="B22" s="3108" t="s">
        <v>3191</v>
      </c>
      <c r="C22" s="1549"/>
    </row>
    <row r="23" spans="1:3">
      <c r="A23" s="8" t="s">
        <v>124</v>
      </c>
      <c r="B23" s="8" t="s">
        <v>1642</v>
      </c>
      <c r="C23" s="1549"/>
    </row>
    <row r="24" spans="1:3">
      <c r="A24" s="8" t="s">
        <v>12</v>
      </c>
      <c r="B24" s="8" t="s">
        <v>1642</v>
      </c>
      <c r="C24" s="1549"/>
    </row>
    <row r="25" spans="1:3">
      <c r="A25" s="8" t="s">
        <v>125</v>
      </c>
      <c r="B25" s="8" t="s">
        <v>1642</v>
      </c>
      <c r="C25" s="1549"/>
    </row>
    <row r="26" spans="1:3">
      <c r="A26" s="8" t="s">
        <v>126</v>
      </c>
      <c r="B26" s="8" t="s">
        <v>1642</v>
      </c>
      <c r="C26" s="1549"/>
    </row>
    <row r="27" spans="1:3">
      <c r="A27" s="8" t="s">
        <v>1642</v>
      </c>
      <c r="B27" s="8" t="s">
        <v>1642</v>
      </c>
      <c r="C27" s="1549"/>
    </row>
    <row r="28" spans="1:3">
      <c r="A28" s="8" t="s">
        <v>1642</v>
      </c>
      <c r="B28" s="8" t="s">
        <v>1642</v>
      </c>
      <c r="C28" s="1549"/>
    </row>
    <row r="29" spans="1:3">
      <c r="A29" s="8" t="s">
        <v>1642</v>
      </c>
      <c r="B29" s="8" t="s">
        <v>1642</v>
      </c>
      <c r="C29" s="1549"/>
    </row>
    <row r="30" spans="1:3">
      <c r="A30" s="8" t="s">
        <v>1642</v>
      </c>
      <c r="B30" s="8" t="s">
        <v>1642</v>
      </c>
      <c r="C30" s="1549"/>
    </row>
    <row r="31" spans="1:3">
      <c r="A31" s="8" t="s">
        <v>1642</v>
      </c>
      <c r="B31" s="8" t="s">
        <v>1642</v>
      </c>
      <c r="C31" s="1549"/>
    </row>
    <row r="32" spans="1:3">
      <c r="A32" s="8" t="s">
        <v>1642</v>
      </c>
      <c r="B32" s="8" t="s">
        <v>1642</v>
      </c>
      <c r="C32" s="1549"/>
    </row>
    <row r="33" spans="1:3">
      <c r="A33" s="8" t="s">
        <v>1642</v>
      </c>
      <c r="B33" s="8" t="s">
        <v>1642</v>
      </c>
      <c r="C33" s="1549"/>
    </row>
    <row r="34" spans="1:3">
      <c r="A34" s="8" t="s">
        <v>1642</v>
      </c>
      <c r="B34" s="8" t="s">
        <v>1642</v>
      </c>
      <c r="C34" s="1549"/>
    </row>
    <row r="35" spans="1:3">
      <c r="A35" s="8" t="s">
        <v>1642</v>
      </c>
      <c r="B35" s="8" t="s">
        <v>1642</v>
      </c>
      <c r="C35" s="1549"/>
    </row>
    <row r="36" spans="1:3">
      <c r="A36" s="8" t="s">
        <v>1642</v>
      </c>
      <c r="B36" s="8" t="s">
        <v>1642</v>
      </c>
      <c r="C36" s="1549"/>
    </row>
    <row r="37" spans="1:3">
      <c r="A37" s="8" t="s">
        <v>1642</v>
      </c>
      <c r="B37" s="8" t="s">
        <v>1642</v>
      </c>
      <c r="C37" s="1549"/>
    </row>
    <row r="38" spans="1:3">
      <c r="A38" s="8" t="s">
        <v>1642</v>
      </c>
      <c r="B38" s="8" t="s">
        <v>1642</v>
      </c>
      <c r="C38" s="1549"/>
    </row>
    <row r="39" spans="1:3">
      <c r="A39" s="8" t="s">
        <v>1642</v>
      </c>
      <c r="B39" s="8" t="s">
        <v>1642</v>
      </c>
      <c r="C39" s="1549"/>
    </row>
    <row r="40" spans="1:3">
      <c r="A40" s="8" t="s">
        <v>1642</v>
      </c>
      <c r="B40" s="8" t="s">
        <v>1642</v>
      </c>
      <c r="C40" s="1549"/>
    </row>
    <row r="41" spans="1:3">
      <c r="A41" s="8" t="s">
        <v>1642</v>
      </c>
      <c r="B41" s="8" t="s">
        <v>1642</v>
      </c>
      <c r="C41" s="1549"/>
    </row>
    <row r="42" spans="1:3">
      <c r="A42" s="8" t="s">
        <v>1642</v>
      </c>
      <c r="B42" s="8" t="s">
        <v>1642</v>
      </c>
      <c r="C42" s="1549"/>
    </row>
    <row r="43" spans="1:3">
      <c r="A43" s="8" t="s">
        <v>1642</v>
      </c>
      <c r="B43" s="8" t="s">
        <v>1642</v>
      </c>
      <c r="C43" s="1549"/>
    </row>
    <row r="44" spans="1:3">
      <c r="A44" s="8" t="s">
        <v>1642</v>
      </c>
      <c r="B44" s="8" t="s">
        <v>1642</v>
      </c>
      <c r="C44" s="1549"/>
    </row>
    <row r="45" spans="1:3">
      <c r="A45" s="8" t="s">
        <v>1642</v>
      </c>
      <c r="B45" s="8" t="s">
        <v>1642</v>
      </c>
      <c r="C45" s="1549"/>
    </row>
    <row r="46" spans="1:3">
      <c r="A46" s="8" t="s">
        <v>1642</v>
      </c>
      <c r="B46" s="8" t="s">
        <v>1642</v>
      </c>
      <c r="C46" s="1549"/>
    </row>
    <row r="47" spans="1:3">
      <c r="A47" s="8" t="s">
        <v>1642</v>
      </c>
      <c r="B47" s="8" t="s">
        <v>1642</v>
      </c>
      <c r="C47" s="1549"/>
    </row>
    <row r="48" spans="1:3">
      <c r="A48" s="8" t="s">
        <v>1642</v>
      </c>
      <c r="B48" s="8" t="s">
        <v>1642</v>
      </c>
      <c r="C48" s="1549"/>
    </row>
    <row r="49" spans="1:5">
      <c r="A49" s="8" t="s">
        <v>1642</v>
      </c>
      <c r="B49" s="8" t="s">
        <v>1642</v>
      </c>
      <c r="C49" s="1549"/>
    </row>
    <row r="50" spans="1:5">
      <c r="A50" s="8" t="s">
        <v>1642</v>
      </c>
      <c r="B50" s="8" t="s">
        <v>1642</v>
      </c>
      <c r="C50" s="1549"/>
    </row>
    <row r="51" spans="1:5">
      <c r="A51" s="1761" t="s">
        <v>1945</v>
      </c>
      <c r="B51" s="17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有限责任公司）办理贷款手续过程中，特委托北京康正宏基房地产评估有限公司对估价对象进行评估。本次评估为确定标的物之抵押贷款额度提供参考依据而评估出让国有建设用地使用权抵押价格。</v>
      </c>
      <c r="C51" s="1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青岛世茂世悦置业有限公司拟使用山东省青岛市高新区火炬路以北、规划中32号线以西370214005030GB00261号一宗住宅、商业用地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c r="D51" s="17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3"/>
    </row>
    <row r="52" spans="1:5">
      <c r="A52" s="1761" t="s">
        <v>1987</v>
      </c>
      <c r="B52" s="1764" t="s">
        <v>1988</v>
      </c>
      <c r="C52" s="1762" t="s">
        <v>1989</v>
      </c>
      <c r="D52" s="1762" t="s">
        <v>1990</v>
      </c>
      <c r="E52" s="1763"/>
    </row>
    <row r="53" spans="1:5">
      <c r="A53" s="3509" t="s">
        <v>1991</v>
      </c>
      <c r="B53" s="1762" t="s">
        <v>1997</v>
      </c>
      <c r="C53" s="17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3日，在规划利用条件下、设定土地开发程度为红线外“七通”、宗地内场地平整，设定用途为其他普通商品住房、批发零售，剩余土地使用年限为的出让国有建设用地使用权价格。</v>
      </c>
      <c r="D53" s="1763"/>
      <c r="E53" s="1763"/>
    </row>
    <row r="54" spans="1:5">
      <c r="A54" s="3509"/>
      <c r="B54" s="1762" t="s">
        <v>1998</v>
      </c>
      <c r="C54" s="17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3"/>
      <c r="E54" s="1763"/>
    </row>
    <row r="55" spans="1:5">
      <c r="A55" s="3509"/>
      <c r="B55" s="1762" t="s">
        <v>1992</v>
      </c>
      <c r="C55" s="17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3"/>
      <c r="E55" s="1763"/>
    </row>
    <row r="56" spans="1:5">
      <c r="A56" s="3509"/>
      <c r="B56" s="1762" t="s">
        <v>1993</v>
      </c>
      <c r="C56" s="17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3"/>
      <c r="E56" s="1763"/>
    </row>
    <row r="57" spans="1:5">
      <c r="A57" s="3509"/>
      <c r="B57" s="1762" t="s">
        <v>1994</v>
      </c>
      <c r="C57" s="1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3"/>
      <c r="E57" s="1763"/>
    </row>
    <row r="58" spans="1:5">
      <c r="A58" s="1765" t="s">
        <v>2049</v>
      </c>
      <c r="B58" s="1762" t="s">
        <v>2050</v>
      </c>
      <c r="C58" s="11" t="s">
        <v>2051</v>
      </c>
      <c r="D58" s="1316"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147</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经济指标</vt:lpstr>
      <vt:lpstr>数据-汇总表</vt:lpstr>
      <vt:lpstr>数据-取费表</vt:lpstr>
      <vt:lpstr>建设投资估算</vt:lpstr>
      <vt:lpstr>估价对象房地状况</vt:lpstr>
      <vt:lpstr>系统读取表</vt:lpstr>
      <vt:lpstr>结果表</vt:lpstr>
      <vt:lpstr>剩余法-现房</vt:lpstr>
      <vt:lpstr>比较法-住宅、综合</vt:lpstr>
      <vt:lpstr>土地案例1</vt:lpstr>
      <vt:lpstr>土地案例2</vt:lpstr>
      <vt:lpstr>案例位置</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经营收入及税金</vt:lpstr>
      <vt:lpstr>不动产比较法-住宅（高层）</vt:lpstr>
      <vt:lpstr>不动产比较法-住宅（联排）</vt:lpstr>
      <vt:lpstr>世茂公园美地已成交数据</vt:lpstr>
      <vt:lpstr>不动产收益法（商业）</vt:lpstr>
      <vt:lpstr>酒店收入计算</vt:lpstr>
      <vt:lpstr>成本逼近法</vt:lpstr>
      <vt:lpstr>不动产收益法（车位）</vt:lpstr>
      <vt:lpstr>不动产比较法-商业</vt:lpstr>
      <vt:lpstr>不动产比较法-办公</vt:lpstr>
      <vt:lpstr>不动产比较法-工业</vt:lpstr>
      <vt:lpstr>不动产比较法-车位</vt:lpstr>
      <vt:lpstr>不动产比较法-仓储</vt:lpstr>
      <vt:lpstr>典型户型修正</vt:lpstr>
      <vt:lpstr>存贷款利率</vt:lpstr>
      <vt:lpstr>建设投资估算!Print_Area</vt:lpstr>
      <vt:lpstr>经营收入及税金!Print_Area</vt:lpstr>
      <vt:lpstr>经营收入及税金!Print_Titles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'不动产比较法-住宅（联排）'!住宅朝向</vt:lpstr>
      <vt:lpstr>住宅朝向</vt:lpstr>
      <vt:lpstr>'不动产比较法-住宅（联排）'!住宅房型</vt:lpstr>
      <vt:lpstr>住宅房型</vt:lpstr>
      <vt:lpstr>'不动产比较法-住宅（联排）'!住宅公共部分装修</vt:lpstr>
      <vt:lpstr>住宅公共部分装修</vt:lpstr>
      <vt:lpstr>'不动产比较法-住宅（联排）'!住宅基础设施水平</vt:lpstr>
      <vt:lpstr>住宅基础设施水平</vt:lpstr>
      <vt:lpstr>'不动产比较法-住宅（联排）'!住宅建筑结构</vt:lpstr>
      <vt:lpstr>住宅建筑结构</vt:lpstr>
      <vt:lpstr>'不动产比较法-住宅（联排）'!住宅建筑类型</vt:lpstr>
      <vt:lpstr>住宅建筑类型</vt:lpstr>
      <vt:lpstr>'不动产比较法-住宅（联排）'!住宅建筑品质</vt:lpstr>
      <vt:lpstr>住宅建筑品质</vt:lpstr>
      <vt:lpstr>'不动产比较法-住宅（联排）'!住宅交易情况</vt:lpstr>
      <vt:lpstr>住宅交易情况</vt:lpstr>
      <vt:lpstr>'不动产比较法-住宅（联排）'!住宅楼层</vt:lpstr>
      <vt:lpstr>住宅楼层</vt:lpstr>
      <vt:lpstr>'不动产比较法-住宅（联排）'!住宅内部装修</vt:lpstr>
      <vt:lpstr>住宅内部装修</vt:lpstr>
      <vt:lpstr>'不动产比较法-住宅（联排）'!住宅物业管理</vt:lpstr>
      <vt:lpstr>住宅物业管理</vt:lpstr>
      <vt:lpstr>'不动产比较法-住宅（联排）'!住宅用途</vt:lpstr>
      <vt:lpstr>住宅用途</vt:lpstr>
      <vt:lpstr>'不动产比较法-住宅（联排）'!住宅主力户型面积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2018-09-07T05:49:19Z</dcterms:modified>
</cp:coreProperties>
</file>