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指标" sheetId="68" r:id="rId13"/>
    <sheet name="数据-汇总表" sheetId="6" r:id="rId14"/>
    <sheet name="数据-取费表" sheetId="1" r:id="rId15"/>
    <sheet name="建设投资估算" sheetId="69" r:id="rId16"/>
    <sheet name="估价对象房地状况" sheetId="20" state="hidden" r:id="rId17"/>
    <sheet name="系统读取表" sheetId="66" state="hidden" r:id="rId18"/>
    <sheet name="结果表" sheetId="9" r:id="rId19"/>
    <sheet name="剩余法-现房" sheetId="43" state="hidden" r:id="rId20"/>
    <sheet name="比较法-住宅、综合" sheetId="39" r:id="rId21"/>
    <sheet name="土地案例1" sheetId="71" r:id="rId22"/>
    <sheet name="土地案例2" sheetId="72" r:id="rId23"/>
    <sheet name="案例位置" sheetId="73"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剩余法-待开发" sheetId="12" r:id="rId34"/>
    <sheet name="经营收入及税金" sheetId="75" r:id="rId35"/>
    <sheet name="不动产比较法-住宅（高层）" sheetId="21" r:id="rId36"/>
    <sheet name="不动产比较法-住宅（联排）" sheetId="74" r:id="rId37"/>
    <sheet name="世茂公园美地已成交数据" sheetId="76" r:id="rId38"/>
    <sheet name="不动产收益法（商业）" sheetId="15" r:id="rId39"/>
    <sheet name="酒店收入计算" sheetId="57" state="hidden" r:id="rId40"/>
    <sheet name="成本逼近法" sheetId="11" state="hidden" r:id="rId41"/>
    <sheet name="不动产收益法（车位）" sheetId="70"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'不动产比较法-住宅（高层）'!$A$1:$L$49</definedName>
    <definedName name="_xlnm._FilterDatabase" localSheetId="36" hidden="1">'不动产比较法-住宅（联排）'!$A$1:$L$49</definedName>
    <definedName name="_xlnm._FilterDatabase" localSheetId="10" hidden="1">'数据-基础表'!$A$12:$AT$572</definedName>
    <definedName name="_xlnm._FilterDatabase" localSheetId="9" hidden="1">项目基本情况!$A$48:$N$48</definedName>
    <definedName name="_xlnm.Print_Area" localSheetId="15">建设投资估算!$A$1:$H$119</definedName>
    <definedName name="_xlnm.Print_Area" localSheetId="34">经营收入及税金!$B$3:$AA$55</definedName>
    <definedName name="_xlnm.Print_Titles" localSheetId="34">经营收入及税金!$B:$C</definedName>
    <definedName name="八级">区片价!$P$1:$P$40</definedName>
    <definedName name="办公层高" localSheetId="34">'[1]不动产比较法-办公'!$B$119:$M$119</definedName>
    <definedName name="办公层高">'不动产比较法-办公'!$B$119:$M$119</definedName>
    <definedName name="办公朝向" localSheetId="34">'[1]不动产比较法-办公'!$B$91:$M$91</definedName>
    <definedName name="办公朝向">'不动产比较法-办公'!$B$91:$M$91</definedName>
    <definedName name="办公道路级别" localSheetId="34">'[1]不动产比较法-办公'!$B$87:$M$87</definedName>
    <definedName name="办公道路级别">'不动产比较法-办公'!$B$87:$M$87</definedName>
    <definedName name="办公公共部分装修" localSheetId="34">'[1]不动产比较法-办公'!$B$108:$M$108</definedName>
    <definedName name="办公公共部分装修">'不动产比较法-办公'!$B$108:$M$108</definedName>
    <definedName name="办公基础设施水平" localSheetId="34">'[1]不动产比较法-办公'!$B$117:$M$117</definedName>
    <definedName name="办公基础设施水平">'不动产比较法-办公'!$B$117:$M$117</definedName>
    <definedName name="办公集聚程度" localSheetId="34">[1]定义!$M$1:$M$6</definedName>
    <definedName name="办公集聚程度">定义!$M$1:$M$6</definedName>
    <definedName name="办公建筑结构" localSheetId="34">'[1]不动产比较法-办公'!$B$106:$M$106</definedName>
    <definedName name="办公建筑结构">'不动产比较法-办公'!$B$106:$M$106</definedName>
    <definedName name="办公建筑类型" localSheetId="34">'[1]不动产比较法-办公'!$B$101:$M$101</definedName>
    <definedName name="办公建筑类型">'不动产比较法-办公'!$B$101:$M$101</definedName>
    <definedName name="办公交易情况" localSheetId="34">'[1]不动产比较法-办公'!$A$62:$M$62</definedName>
    <definedName name="办公交易情况">'不动产比较法-办公'!$A$62:$M$62</definedName>
    <definedName name="办公楼层" localSheetId="34">'[1]不动产比较法-办公'!$B$89:$M$89</definedName>
    <definedName name="办公楼层">'不动产比较法-办公'!$B$89:$M$89</definedName>
    <definedName name="办公内部装修" localSheetId="34">'[1]不动产比较法-办公'!$B$123:$M$123</definedName>
    <definedName name="办公内部装修">'不动产比较法-办公'!$B$123:$M$123</definedName>
    <definedName name="办公物业管理" localSheetId="34">'[1]不动产比较法-办公'!$B$115:$M$115</definedName>
    <definedName name="办公物业管理">'不动产比较法-办公'!$B$115:$M$115</definedName>
    <definedName name="办公用途" localSheetId="34">'[1]不动产比较法-办公'!$B$64:$M$64</definedName>
    <definedName name="办公用途">'不动产比较法-办公'!$B$64:$M$64</definedName>
    <definedName name="仓储公共部分装修" localSheetId="34">'[1]不动产比较法-仓储'!$B$77:$M$77</definedName>
    <definedName name="仓储公共部分装修">'不动产比较法-仓储'!$B$77:$M$77</definedName>
    <definedName name="仓储交易情况" localSheetId="34">'[1]不动产比较法-仓储'!$A$49:$M$49</definedName>
    <definedName name="仓储交易情况">'不动产比较法-仓储'!$A$49:$M$49</definedName>
    <definedName name="仓储楼层" localSheetId="34">'[1]不动产比较法-仓储'!$B$69:$M$69</definedName>
    <definedName name="仓储楼层">'不动产比较法-仓储'!$B$69:$M$69</definedName>
    <definedName name="仓储物业等级" localSheetId="34">'[1]不动产比较法-仓储'!$B$82:$M$82</definedName>
    <definedName name="仓储物业等级">'不动产比较法-仓储'!$B$82:$M$82</definedName>
    <definedName name="仓储用途" localSheetId="34">'[1]不动产比较法-仓储'!$B$51:$M$51</definedName>
    <definedName name="仓储用途">'不动产比较法-仓储'!$B$51:$M$51</definedName>
    <definedName name="产业集聚程度" localSheetId="34">[1]定义!$N$1:$N$6</definedName>
    <definedName name="产业集聚程度">定义!$N$1:$N$6</definedName>
    <definedName name="车位公共部分装修" localSheetId="34">'[1]不动产比较法-车位'!$B$83:$M$83</definedName>
    <definedName name="车位公共部分装修">'不动产比较法-车位'!$B$83:$M$83</definedName>
    <definedName name="车位交易情况" localSheetId="34">'[1]不动产比较法-车位'!$A$51:$M$51</definedName>
    <definedName name="车位交易情况">'不动产比较法-车位'!$A$51:$M$51</definedName>
    <definedName name="车位类型" localSheetId="34">'[1]不动产比较法-车位'!$B$93:$M$93</definedName>
    <definedName name="车位类型">'不动产比较法-车位'!$B$93:$M$93</definedName>
    <definedName name="车位楼层" localSheetId="34">'[1]不动产比较法-车位'!$B$71:$M$71</definedName>
    <definedName name="车位楼层">'不动产比较法-车位'!$B$71:$M$71</definedName>
    <definedName name="车位配套类型" localSheetId="34">'[1]不动产比较法-车位'!$B$79:$M$79</definedName>
    <definedName name="车位配套类型">'不动产比较法-车位'!$B$79:$M$79</definedName>
    <definedName name="车位物业等级" localSheetId="34">'[1]不动产比较法-车位'!$B$88:$M$88</definedName>
    <definedName name="车位物业等级">'不动产比较法-车位'!$B$88:$M$88</definedName>
    <definedName name="车位用途" localSheetId="34">'[1]不动产比较法-车位'!$B$53:$M$53</definedName>
    <definedName name="车位用途">'不动产比较法-车位'!$B$53:$M$53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区片价!$J$1:$J$20</definedName>
    <definedName name="二级分类" localSheetId="34">[1]修正!$C$17:$C$39</definedName>
    <definedName name="二级分类">修正!$C$17:$C$39</definedName>
    <definedName name="法定最高年限" localSheetId="34">[1]定义!$G$2:$G$4</definedName>
    <definedName name="法定最高年限">定义!$G$2:$G$4</definedName>
    <definedName name="工业公共部分装修" localSheetId="34">'[1]不动产比较法-工业'!$B$95:$M$95</definedName>
    <definedName name="工业公共部分装修">'不动产比较法-工业'!$B$95:$M$95</definedName>
    <definedName name="工业基础设施水平" localSheetId="34">'[1]不动产比较法-工业'!$B$102:$M$102</definedName>
    <definedName name="工业基础设施水平">'不动产比较法-工业'!$B$102:$M$102</definedName>
    <definedName name="工业建筑结构" localSheetId="34">'[1]不动产比较法-工业'!$B$93:$M$93</definedName>
    <definedName name="工业建筑结构">'不动产比较法-工业'!$B$93:$M$93</definedName>
    <definedName name="工业建筑类型" localSheetId="34">'[1]不动产比较法-工业'!$B$88:$M$88</definedName>
    <definedName name="工业建筑类型">'不动产比较法-工业'!$B$88:$M$88</definedName>
    <definedName name="工业交易情况" localSheetId="34">'[1]不动产比较法-工业'!$A$55:$M$55</definedName>
    <definedName name="工业交易情况">'不动产比较法-工业'!$A$55:$M$55</definedName>
    <definedName name="工业内部装修" localSheetId="34">'[1]不动产比较法-工业'!$B$104:$M$104</definedName>
    <definedName name="工业内部装修">'不动产比较法-工业'!$B$104:$M$104</definedName>
    <definedName name="工业物业管理" localSheetId="34">'[1]不动产比较法-工业'!$B$100:$M$100</definedName>
    <definedName name="工业物业管理">'不动产比较法-工业'!$B$100:$M$100</definedName>
    <definedName name="工业用途" localSheetId="34">'[1]不动产比较法-工业'!$B$57:$M$57</definedName>
    <definedName name="工业用途">'不动产比较法-工业'!$B$57:$M$57</definedName>
    <definedName name="公共配套设施" localSheetId="34">[1]定义!$Q$1:$Q$6</definedName>
    <definedName name="公共配套设施">定义!$Q$1:$Q$6</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基准地价!$N$19:$AG$19</definedName>
    <definedName name="季度2014">地价!$A$2:$A$23</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区片价!$Q$1:$Q$46</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区片价!$N$1:$N$49</definedName>
    <definedName name="内部装修维护情况" localSheetId="34">[1]定义!$U$1:$U$6</definedName>
    <definedName name="内部装修维护情况">定义!$U$1:$U$6</definedName>
    <definedName name="判定" localSheetId="34">[1]定义!$D$1:$D$4</definedName>
    <definedName name="判定">定义!$D$1:$D$4</definedName>
    <definedName name="七级">区片价!$O$1:$O$49</definedName>
    <definedName name="七通一平" localSheetId="34">[1]修正!$A$6:$A$14</definedName>
    <definedName name="七通一平">修正!$A$6:$A$14</definedName>
    <definedName name="区域土地利用方向" localSheetId="34">[1]定义!$P$1:$P$6</definedName>
    <definedName name="区域土地利用方向">定义!$P$1:$P$6</definedName>
    <definedName name="三级">区片价!$K$1:$K$21</definedName>
    <definedName name="商业层高" localSheetId="34">'[1]不动产比较法-商业'!$B$116:$M$116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定义!$L$1:$L$6</definedName>
    <definedName name="商业公共部分装修" localSheetId="34">'[1]不动产比较法-商业'!$B$107:$M$107</definedName>
    <definedName name="商业公共部分装修">'不动产比较法-商业'!$B$107:$M$107</definedName>
    <definedName name="商业基础设施水平" localSheetId="34">'[1]不动产比较法-商业'!$B$112:$M$112</definedName>
    <definedName name="商业基础设施水平">'不动产比较法-商业'!$B$112:$M$112</definedName>
    <definedName name="商业建筑结构" localSheetId="34">'[1]不动产比较法-商业'!$B$105:$M$105</definedName>
    <definedName name="商业建筑结构">'不动产比较法-商业'!$B$105:$M$105</definedName>
    <definedName name="商业交易情况" localSheetId="34">'[1]不动产比较法-商业'!$A$61:$M$61</definedName>
    <definedName name="商业交易情况">'不动产比较法-商业'!$A$61:$M$61</definedName>
    <definedName name="商业街名称" localSheetId="34">[1]修正!$C$59:$C$119</definedName>
    <definedName name="商业街名称">修正!$C$59:$C$119</definedName>
    <definedName name="商业进深比" localSheetId="34">'[1]不动产比较法-商业'!$B$120:$M$120</definedName>
    <definedName name="商业进深比">'不动产比较法-商业'!$B$120:$M$120</definedName>
    <definedName name="商业类型" localSheetId="34">'[1]不动产比较法-商业'!$B$100:$M$100</definedName>
    <definedName name="商业类型">'不动产比较法-商业'!$B$100:$M$100</definedName>
    <definedName name="商业临街状况" localSheetId="34">'[1]不动产比较法-商业'!$B$86:$M$86</definedName>
    <definedName name="商业临街状况">'不动产比较法-商业'!$B$86:$M$86</definedName>
    <definedName name="商业楼层" localSheetId="34">'[1]不动产比较法-商业'!$B$92:$M$92</definedName>
    <definedName name="商业楼层">'不动产比较法-商业'!$B$92:$M$92</definedName>
    <definedName name="商业内部装修" localSheetId="34">'[1]不动产比较法-商业'!$B$122:$M$122</definedName>
    <definedName name="商业内部装修">'不动产比较法-商业'!$B$122:$M$122</definedName>
    <definedName name="商业人流量" localSheetId="34">'[1]不动产比较法-商业'!$B$90:$M$90</definedName>
    <definedName name="商业人流量">'不动产比较法-商业'!$B$90:$M$90</definedName>
    <definedName name="商业业态" localSheetId="34">'[1]不动产比较法-商业'!$B$114:$M$114</definedName>
    <definedName name="商业业态">'不动产比较法-商业'!$B$114:$M$114</definedName>
    <definedName name="商业用途" localSheetId="3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'不动产比较法-仓储'!$B$89:$M$89</definedName>
    <definedName name="是否直接入户" localSheetId="34">'[1]不动产比较法-车位'!$B$95:$M$95</definedName>
    <definedName name="是否直接入户">'不动产比较法-车位'!$B$95:$M$95</definedName>
    <definedName name="四级">区片价!$L$1:$L$28</definedName>
    <definedName name="套工工程地质条件" localSheetId="34">'[1]比较法-工业'!$B$116:$M$116</definedName>
    <definedName name="套工工程地质条件">'比较法-工业'!$B$116:$M$116</definedName>
    <definedName name="套工交易情况" localSheetId="34">'[1]比较法-住宅、综合'!$A$75:$M$75</definedName>
    <definedName name="套工交易情况">'比较法-住宅、综合'!$A$75:$M$75</definedName>
    <definedName name="套工开发程度" localSheetId="34">'[1]比较法-工业'!$B$114:$M$114</definedName>
    <definedName name="套工开发程度">'比较法-工业'!$B$114:$M$114</definedName>
    <definedName name="套工临街等级" localSheetId="34">'[1]比较法-工业'!$B$99:$M$99</definedName>
    <definedName name="套工临街等级">'比较法-工业'!$B$99:$M$99</definedName>
    <definedName name="套工土地级别" localSheetId="34">'[1]比较法-工业'!$B$101:$M$101</definedName>
    <definedName name="套工土地级别">'比较法-工业'!$B$101:$M$101</definedName>
    <definedName name="套工用途" localSheetId="34">'[1]比较法-工业'!$B$72:$M$72</definedName>
    <definedName name="套工用途">'比较法-工业'!$B$72:$M$72</definedName>
    <definedName name="套工宗地形状" localSheetId="34">'[1]比较法-工业'!$B$112:$M$112</definedName>
    <definedName name="套工宗地形状">'比较法-工业'!$B$112:$M$112</definedName>
    <definedName name="套综道路等级" localSheetId="34">'[1]比较法-住宅、综合'!$B$108:$M$108</definedName>
    <definedName name="套综道路等级">'比较法-住宅、综合'!$B$108:$M$108</definedName>
    <definedName name="套综工程地质条件" localSheetId="34">'[1]比较法-住宅、综合'!$B$127:$M$127</definedName>
    <definedName name="套综工程地质条件">'比较法-住宅、综合'!$B$127:$M$127</definedName>
    <definedName name="套综交易情况" localSheetId="34">'[1]比较法-住宅、综合'!$A$75:$M$75</definedName>
    <definedName name="套综交易情况">'比较法-住宅、综合'!$A$75:$M$75</definedName>
    <definedName name="套综临街宽度及深度" localSheetId="34">'[1]比较法-住宅、综合'!$B$123:$M$123</definedName>
    <definedName name="套综临街宽度及深度">'比较法-住宅、综合'!$B$123:$M$123</definedName>
    <definedName name="套综土地级别" localSheetId="34">'[1]比较法-住宅、综合'!$B$110:$M$110</definedName>
    <definedName name="套综土地级别">'比较法-住宅、综合'!$B$110:$M$110</definedName>
    <definedName name="套综用途" localSheetId="34">'[1]比较法-住宅、综合'!$B$77:$M$77</definedName>
    <definedName name="套综用途">'比较法-住宅、综合'!$B$77:$M$77</definedName>
    <definedName name="套综宗地内开发程度" localSheetId="34">'[1]比较法-住宅、综合'!$B$125:$M$125</definedName>
    <definedName name="套综宗地内开发程度">'比较法-住宅、综合'!$B$125:$M$125</definedName>
    <definedName name="套综宗地形状" localSheetId="34">'[1]比较法-住宅、综合'!$B$121:$M$121</definedName>
    <definedName name="套综宗地形状">'比较法-住宅、综合'!$B$121:$M$121</definedName>
    <definedName name="土地估价师" localSheetId="34">[1]估价师及机构信息!$D$3:$D$24</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定义!$I$1:$I$8</definedName>
    <definedName name="位置" localSheetId="34">[1]定义!$E$2:$E$4</definedName>
    <definedName name="位置">定义!$E$2:$E$4</definedName>
    <definedName name="五等判定" localSheetId="34">[1]定义!$W$1:$W$6</definedName>
    <definedName name="五等判定">定义!$W$1:$W$6</definedName>
    <definedName name="五级">区片价!$M$1:$M$35</definedName>
    <definedName name="项目类型" localSheetId="34">'[1]数据-汇总表'!$C$17:$C$26</definedName>
    <definedName name="项目类型">'数据-汇总表'!$C$17:$C$26</definedName>
    <definedName name="写字楼等级" localSheetId="34">'[1]不动产比较法-办公'!$B$113:$M$113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类型" localSheetId="34">[1]定义!$A$1:$A$50</definedName>
    <definedName name="用途类型">定义!$A$1:$A$50</definedName>
    <definedName name="有无电梯" localSheetId="34">'[1]不动产比较法-仓储'!$B$84:$M$84</definedName>
    <definedName name="有无电梯">'不动产比较法-仓储'!$B$84:$M$84</definedName>
    <definedName name="主用途" localSheetId="34">[1]定义!$F$1:$F$10</definedName>
    <definedName name="主用途">定义!$F$1:$F$10</definedName>
    <definedName name="住宅朝向" localSheetId="36">'不动产比较法-住宅（联排）'!$B$88:$M$88</definedName>
    <definedName name="住宅朝向" localSheetId="34">'[1]不动产比较法-住宅（高层）'!$B$88:$M$88</definedName>
    <definedName name="住宅朝向">'不动产比较法-住宅（高层）'!$B$88:$M$88</definedName>
    <definedName name="住宅房型" localSheetId="36">'不动产比较法-住宅（联排）'!$B$118:$M$118</definedName>
    <definedName name="住宅房型" localSheetId="34">'[1]不动产比较法-住宅（高层）'!$B$118:$M$118</definedName>
    <definedName name="住宅房型">'不动产比较法-住宅（高层）'!$B$118:$M$118</definedName>
    <definedName name="住宅公共部分装修" localSheetId="36">'不动产比较法-住宅（联排）'!$B$109:$M$109</definedName>
    <definedName name="住宅公共部分装修" localSheetId="34">'[1]不动产比较法-住宅（高层）'!$B$109:$M$109</definedName>
    <definedName name="住宅公共部分装修">'不动产比较法-住宅（高层）'!$B$109:$M$109</definedName>
    <definedName name="住宅基础设施水平" localSheetId="36">'不动产比较法-住宅（联排）'!$B$116:$M$116</definedName>
    <definedName name="住宅基础设施水平" localSheetId="34">'[1]不动产比较法-住宅（高层）'!$B$116:$M$116</definedName>
    <definedName name="住宅基础设施水平">'不动产比较法-住宅（高层）'!$B$116:$M$116</definedName>
    <definedName name="住宅建筑结构" localSheetId="36">'不动产比较法-住宅（联排）'!$B$105:$M$105</definedName>
    <definedName name="住宅建筑结构" localSheetId="34">'[1]不动产比较法-住宅（高层）'!$B$105:$M$105</definedName>
    <definedName name="住宅建筑结构">'不动产比较法-住宅（高层）'!$B$105:$M$105</definedName>
    <definedName name="住宅建筑类型" localSheetId="36">'不动产比较法-住宅（联排）'!$B$100:$M$100</definedName>
    <definedName name="住宅建筑类型" localSheetId="34">'[1]不动产比较法-住宅（高层）'!$B$100:$M$100</definedName>
    <definedName name="住宅建筑类型">'不动产比较法-住宅（高层）'!$B$100:$M$100</definedName>
    <definedName name="住宅建筑品质" localSheetId="36">'不动产比较法-住宅（联排）'!$B$107:$M$107</definedName>
    <definedName name="住宅建筑品质" localSheetId="34">'[1]不动产比较法-住宅（高层）'!$B$107:$M$107</definedName>
    <definedName name="住宅建筑品质">'不动产比较法-住宅（高层）'!$B$107:$M$107</definedName>
    <definedName name="住宅交易情况" localSheetId="36">'不动产比较法-住宅（联排）'!$A$61:$M$61</definedName>
    <definedName name="住宅交易情况" localSheetId="34">'[1]不动产比较法-住宅（高层）'!$A$61:$M$61</definedName>
    <definedName name="住宅交易情况">'不动产比较法-住宅（高层）'!$A$61:$M$61</definedName>
    <definedName name="住宅楼层" localSheetId="36">'不动产比较法-住宅（联排）'!$B$86:$M$86</definedName>
    <definedName name="住宅楼层" localSheetId="34">'[1]不动产比较法-住宅（高层）'!$B$86:$M$86</definedName>
    <definedName name="住宅楼层">'不动产比较法-住宅（高层）'!$B$86:$M$86</definedName>
    <definedName name="住宅内部装修" localSheetId="36">'不动产比较法-住宅（联排）'!$B$122:$M$122</definedName>
    <definedName name="住宅内部装修" localSheetId="34">'[1]不动产比较法-住宅（高层）'!$B$122:$M$122</definedName>
    <definedName name="住宅内部装修">'不动产比较法-住宅（高层）'!$B$122:$M$122</definedName>
    <definedName name="住宅物业管理" localSheetId="36">'不动产比较法-住宅（联排）'!$B$114:$M$114</definedName>
    <definedName name="住宅物业管理" localSheetId="34">'[1]不动产比较法-住宅（高层）'!$B$114:$M$114</definedName>
    <definedName name="住宅物业管理">'不动产比较法-住宅（高层）'!$B$114:$M$114</definedName>
    <definedName name="住宅用途" localSheetId="36">'不动产比较法-住宅（联排）'!$B$63:$M$63</definedName>
    <definedName name="住宅用途" localSheetId="34">'[1]不动产比较法-住宅（高层）'!$B$63:$M$63</definedName>
    <definedName name="住宅用途">'不动产比较法-住宅（高层）'!$B$63:$M$63</definedName>
    <definedName name="住宅主力户型面积" localSheetId="36">'不动产比较法-住宅（联排）'!$B$120:$M$120</definedName>
    <definedName name="住宅主力户型面积">'不动产比较法-住宅（高层）'!$B$120:$M$120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33" i="74" l="1"/>
  <c r="I11" i="74"/>
  <c r="E33" i="74"/>
  <c r="G11" i="74"/>
  <c r="E11" i="74"/>
  <c r="G33" i="74"/>
  <c r="C33" i="21"/>
  <c r="Y67" i="76"/>
  <c r="L64" i="76"/>
  <c r="G47" i="74"/>
  <c r="E47" i="74"/>
  <c r="Q67" i="76"/>
  <c r="R67" i="76"/>
  <c r="D64" i="76"/>
  <c r="E64" i="76"/>
  <c r="E6" i="75"/>
  <c r="H6" i="75"/>
  <c r="E8" i="75"/>
  <c r="H8" i="75"/>
  <c r="E10" i="75"/>
  <c r="H10" i="75"/>
  <c r="E12" i="75"/>
  <c r="H12" i="75"/>
  <c r="E14" i="75"/>
  <c r="H14" i="75"/>
  <c r="E16" i="75"/>
  <c r="H16" i="75"/>
  <c r="E18" i="75"/>
  <c r="H18" i="75"/>
  <c r="E20" i="75"/>
  <c r="H20" i="75"/>
  <c r="E22" i="75"/>
  <c r="H22" i="75"/>
  <c r="H24" i="75"/>
  <c r="E26" i="75"/>
  <c r="H26" i="75"/>
  <c r="AC5" i="75"/>
  <c r="G28" i="75"/>
  <c r="H28" i="75"/>
  <c r="H5" i="75"/>
  <c r="H57" i="75"/>
  <c r="H49" i="75"/>
  <c r="AB31" i="75"/>
  <c r="AC30" i="75"/>
  <c r="G31" i="75"/>
  <c r="H31" i="75"/>
  <c r="G33" i="75"/>
  <c r="E33" i="75"/>
  <c r="H33" i="75"/>
  <c r="G35" i="75"/>
  <c r="H35" i="75"/>
  <c r="G37" i="75"/>
  <c r="H37" i="75"/>
  <c r="H30" i="75"/>
  <c r="H50" i="75"/>
  <c r="H39" i="75"/>
  <c r="H51" i="75"/>
  <c r="H48" i="75"/>
  <c r="I6" i="75"/>
  <c r="I8" i="75"/>
  <c r="I10" i="75"/>
  <c r="I12" i="75"/>
  <c r="I14" i="75"/>
  <c r="I16" i="75"/>
  <c r="I18" i="75"/>
  <c r="I20" i="75"/>
  <c r="I22" i="75"/>
  <c r="I24" i="75"/>
  <c r="I26" i="75"/>
  <c r="I28" i="75"/>
  <c r="I5" i="75"/>
  <c r="I57" i="75"/>
  <c r="I49" i="75"/>
  <c r="I31" i="75"/>
  <c r="I33" i="75"/>
  <c r="I35" i="75"/>
  <c r="I37" i="75"/>
  <c r="I30" i="75"/>
  <c r="I50" i="75"/>
  <c r="I39" i="75"/>
  <c r="I51" i="75"/>
  <c r="I48" i="75"/>
  <c r="J6" i="75"/>
  <c r="J8" i="75"/>
  <c r="J10" i="75"/>
  <c r="J12" i="75"/>
  <c r="J14" i="75"/>
  <c r="J16" i="75"/>
  <c r="J18" i="75"/>
  <c r="J20" i="75"/>
  <c r="J22" i="75"/>
  <c r="J24" i="75"/>
  <c r="J26" i="75"/>
  <c r="J28" i="75"/>
  <c r="J5" i="75"/>
  <c r="J57" i="75"/>
  <c r="J49" i="75"/>
  <c r="J31" i="75"/>
  <c r="J33" i="75"/>
  <c r="J35" i="75"/>
  <c r="J37" i="75"/>
  <c r="J30" i="75"/>
  <c r="J50" i="75"/>
  <c r="J39" i="75"/>
  <c r="J51" i="75"/>
  <c r="J48" i="75"/>
  <c r="K6" i="75"/>
  <c r="K8" i="75"/>
  <c r="K10" i="75"/>
  <c r="K12" i="75"/>
  <c r="K14" i="75"/>
  <c r="K16" i="75"/>
  <c r="K18" i="75"/>
  <c r="K20" i="75"/>
  <c r="K22" i="75"/>
  <c r="K24" i="75"/>
  <c r="K26" i="75"/>
  <c r="K28" i="75"/>
  <c r="K5" i="75"/>
  <c r="K49" i="75"/>
  <c r="K31" i="75"/>
  <c r="K33" i="75"/>
  <c r="K35" i="75"/>
  <c r="K37" i="75"/>
  <c r="K30" i="75"/>
  <c r="K50" i="75"/>
  <c r="K39" i="75"/>
  <c r="K51" i="75"/>
  <c r="K48" i="75"/>
  <c r="L31" i="75"/>
  <c r="L34" i="75"/>
  <c r="L33" i="75"/>
  <c r="L35" i="75"/>
  <c r="L37" i="75"/>
  <c r="L30" i="75"/>
  <c r="L50" i="75"/>
  <c r="L39" i="75"/>
  <c r="L51" i="75"/>
  <c r="L48" i="75"/>
  <c r="M31" i="75"/>
  <c r="M33" i="75"/>
  <c r="M35" i="75"/>
  <c r="M37" i="75"/>
  <c r="M30" i="75"/>
  <c r="M50" i="75"/>
  <c r="M39" i="75"/>
  <c r="M51" i="75"/>
  <c r="M48" i="75"/>
  <c r="N31" i="75"/>
  <c r="N33" i="75"/>
  <c r="N35" i="75"/>
  <c r="N37" i="75"/>
  <c r="N30" i="75"/>
  <c r="N50" i="75"/>
  <c r="N39" i="75"/>
  <c r="N51" i="75"/>
  <c r="N48" i="75"/>
  <c r="O31" i="75"/>
  <c r="O33" i="75"/>
  <c r="O35" i="75"/>
  <c r="O37" i="75"/>
  <c r="O30" i="75"/>
  <c r="O50" i="75"/>
  <c r="O39" i="75"/>
  <c r="O51" i="75"/>
  <c r="O48" i="75"/>
  <c r="P31" i="75"/>
  <c r="P33" i="75"/>
  <c r="P35" i="75"/>
  <c r="P37" i="75"/>
  <c r="P30" i="75"/>
  <c r="P50" i="75"/>
  <c r="P39" i="75"/>
  <c r="P51" i="75"/>
  <c r="P48" i="75"/>
  <c r="Q31" i="75"/>
  <c r="Q33" i="75"/>
  <c r="Q35" i="75"/>
  <c r="Q37" i="75"/>
  <c r="Q30" i="75"/>
  <c r="Q50" i="75"/>
  <c r="Q39" i="75"/>
  <c r="Q51" i="75"/>
  <c r="Q48" i="75"/>
  <c r="R31" i="75"/>
  <c r="R33" i="75"/>
  <c r="R35" i="75"/>
  <c r="R37" i="75"/>
  <c r="R30" i="75"/>
  <c r="R50" i="75"/>
  <c r="R39" i="75"/>
  <c r="R51" i="75"/>
  <c r="R48" i="75"/>
  <c r="S31" i="75"/>
  <c r="S33" i="75"/>
  <c r="S35" i="75"/>
  <c r="S37" i="75"/>
  <c r="S30" i="75"/>
  <c r="S50" i="75"/>
  <c r="S39" i="75"/>
  <c r="S51" i="75"/>
  <c r="S48" i="75"/>
  <c r="T31" i="75"/>
  <c r="T33" i="75"/>
  <c r="T35" i="75"/>
  <c r="T37" i="75"/>
  <c r="T30" i="75"/>
  <c r="T50" i="75"/>
  <c r="T39" i="75"/>
  <c r="T51" i="75"/>
  <c r="T48" i="75"/>
  <c r="U31" i="75"/>
  <c r="U33" i="75"/>
  <c r="U35" i="75"/>
  <c r="U37" i="75"/>
  <c r="U30" i="75"/>
  <c r="U50" i="75"/>
  <c r="U39" i="75"/>
  <c r="U51" i="75"/>
  <c r="U48" i="75"/>
  <c r="V31" i="75"/>
  <c r="V33" i="75"/>
  <c r="V35" i="75"/>
  <c r="V37" i="75"/>
  <c r="V30" i="75"/>
  <c r="V50" i="75"/>
  <c r="V39" i="75"/>
  <c r="V51" i="75"/>
  <c r="V48" i="75"/>
  <c r="W31" i="75"/>
  <c r="W33" i="75"/>
  <c r="W35" i="75"/>
  <c r="W37" i="75"/>
  <c r="W30" i="75"/>
  <c r="W50" i="75"/>
  <c r="W39" i="75"/>
  <c r="W51" i="75"/>
  <c r="W48" i="75"/>
  <c r="X31" i="75"/>
  <c r="X33" i="75"/>
  <c r="X35" i="75"/>
  <c r="X37" i="75"/>
  <c r="X30" i="75"/>
  <c r="X50" i="75"/>
  <c r="X39" i="75"/>
  <c r="X51" i="75"/>
  <c r="X48" i="75"/>
  <c r="Y31" i="75"/>
  <c r="Y33" i="75"/>
  <c r="Y35" i="75"/>
  <c r="Y37" i="75"/>
  <c r="Y30" i="75"/>
  <c r="Y50" i="75"/>
  <c r="Y39" i="75"/>
  <c r="Y51" i="75"/>
  <c r="Y48" i="75"/>
  <c r="Z31" i="75"/>
  <c r="Z33" i="75"/>
  <c r="Z35" i="75"/>
  <c r="Z37" i="75"/>
  <c r="Z30" i="75"/>
  <c r="Z50" i="75"/>
  <c r="Z39" i="75"/>
  <c r="Z51" i="75"/>
  <c r="Z48" i="75"/>
  <c r="AA31" i="75"/>
  <c r="AA33" i="75"/>
  <c r="AA35" i="75"/>
  <c r="AA37" i="75"/>
  <c r="AA30" i="75"/>
  <c r="AA50" i="75"/>
  <c r="AA39" i="75"/>
  <c r="AA51" i="75"/>
  <c r="AA48" i="75"/>
  <c r="D48" i="75"/>
  <c r="H45" i="75"/>
  <c r="H46" i="75"/>
  <c r="H47" i="75"/>
  <c r="H44" i="75"/>
  <c r="I45" i="75"/>
  <c r="I47" i="75"/>
  <c r="I44" i="75"/>
  <c r="J45" i="75"/>
  <c r="J47" i="75"/>
  <c r="J44" i="75"/>
  <c r="K47" i="75"/>
  <c r="K44" i="75"/>
  <c r="L47" i="75"/>
  <c r="L44" i="75"/>
  <c r="M47" i="75"/>
  <c r="M44" i="75"/>
  <c r="N47" i="75"/>
  <c r="N44" i="75"/>
  <c r="O47" i="75"/>
  <c r="O44" i="75"/>
  <c r="P47" i="75"/>
  <c r="P44" i="75"/>
  <c r="Q47" i="75"/>
  <c r="Q44" i="75"/>
  <c r="R47" i="75"/>
  <c r="R44" i="75"/>
  <c r="S47" i="75"/>
  <c r="S44" i="75"/>
  <c r="T47" i="75"/>
  <c r="T44" i="75"/>
  <c r="U47" i="75"/>
  <c r="U44" i="75"/>
  <c r="V47" i="75"/>
  <c r="V44" i="75"/>
  <c r="W47" i="75"/>
  <c r="W44" i="75"/>
  <c r="X47" i="75"/>
  <c r="X44" i="75"/>
  <c r="Y47" i="75"/>
  <c r="Y44" i="75"/>
  <c r="Z47" i="75"/>
  <c r="Z44" i="75"/>
  <c r="AA47" i="75"/>
  <c r="AA44" i="75"/>
  <c r="D44" i="75"/>
  <c r="D43" i="75"/>
  <c r="D53" i="75"/>
  <c r="H54" i="75"/>
  <c r="I43" i="75"/>
  <c r="I54" i="75"/>
  <c r="J43" i="75"/>
  <c r="J54" i="75"/>
  <c r="K43" i="75"/>
  <c r="K54" i="75"/>
  <c r="L43" i="75"/>
  <c r="L54" i="75"/>
  <c r="M43" i="75"/>
  <c r="M54" i="75"/>
  <c r="N43" i="75"/>
  <c r="N54" i="75"/>
  <c r="O43" i="75"/>
  <c r="O54" i="75"/>
  <c r="P43" i="75"/>
  <c r="P54" i="75"/>
  <c r="Q43" i="75"/>
  <c r="Q54" i="75"/>
  <c r="R43" i="75"/>
  <c r="R54" i="75"/>
  <c r="S43" i="75"/>
  <c r="S54" i="75"/>
  <c r="T43" i="75"/>
  <c r="T54" i="75"/>
  <c r="U43" i="75"/>
  <c r="U54" i="75"/>
  <c r="V43" i="75"/>
  <c r="V54" i="75"/>
  <c r="W43" i="75"/>
  <c r="W54" i="75"/>
  <c r="X43" i="75"/>
  <c r="X54" i="75"/>
  <c r="Y43" i="75"/>
  <c r="Y54" i="75"/>
  <c r="Z43" i="75"/>
  <c r="Z54" i="75"/>
  <c r="AA43" i="75"/>
  <c r="AA54" i="75"/>
  <c r="D54" i="75"/>
  <c r="H55" i="75"/>
  <c r="I55" i="75"/>
  <c r="J55" i="75"/>
  <c r="K55" i="75"/>
  <c r="L55" i="75"/>
  <c r="M55" i="75"/>
  <c r="N55" i="75"/>
  <c r="O55" i="75"/>
  <c r="P55" i="75"/>
  <c r="Q55" i="75"/>
  <c r="R55" i="75"/>
  <c r="S55" i="75"/>
  <c r="T55" i="75"/>
  <c r="U55" i="75"/>
  <c r="V55" i="75"/>
  <c r="W55" i="75"/>
  <c r="X55" i="75"/>
  <c r="Y55" i="75"/>
  <c r="Z55" i="75"/>
  <c r="AA55" i="75"/>
  <c r="D55" i="75"/>
  <c r="D52" i="75"/>
  <c r="D58" i="75"/>
  <c r="N57" i="75"/>
  <c r="M6" i="75"/>
  <c r="M8" i="75"/>
  <c r="M10" i="75"/>
  <c r="M12" i="75"/>
  <c r="M20" i="75"/>
  <c r="M22" i="75"/>
  <c r="M57" i="75"/>
  <c r="L6" i="75"/>
  <c r="L8" i="75"/>
  <c r="L10" i="75"/>
  <c r="L12" i="75"/>
  <c r="L20" i="75"/>
  <c r="L22" i="75"/>
  <c r="L57" i="75"/>
  <c r="K57" i="75"/>
  <c r="D57" i="75"/>
  <c r="AA56" i="75"/>
  <c r="Z56" i="75"/>
  <c r="Y56" i="75"/>
  <c r="X56" i="75"/>
  <c r="W56" i="75"/>
  <c r="V56" i="75"/>
  <c r="U56" i="75"/>
  <c r="T56" i="75"/>
  <c r="S56" i="75"/>
  <c r="R56" i="75"/>
  <c r="Q56" i="75"/>
  <c r="P56" i="75"/>
  <c r="O56" i="75"/>
  <c r="N56" i="75"/>
  <c r="M56" i="75"/>
  <c r="L56" i="75"/>
  <c r="K56" i="75"/>
  <c r="J56" i="75"/>
  <c r="I56" i="75"/>
  <c r="H56" i="75"/>
  <c r="AA52" i="75"/>
  <c r="Z52" i="75"/>
  <c r="Y52" i="75"/>
  <c r="X52" i="75"/>
  <c r="W52" i="75"/>
  <c r="V52" i="75"/>
  <c r="U52" i="75"/>
  <c r="T52" i="75"/>
  <c r="S52" i="75"/>
  <c r="R52" i="75"/>
  <c r="Q52" i="75"/>
  <c r="P52" i="75"/>
  <c r="O52" i="75"/>
  <c r="N52" i="75"/>
  <c r="M52" i="75"/>
  <c r="L52" i="75"/>
  <c r="K52" i="75"/>
  <c r="J52" i="75"/>
  <c r="I52" i="75"/>
  <c r="H52" i="75"/>
  <c r="AC44" i="75"/>
  <c r="H4" i="75"/>
  <c r="I4" i="75"/>
  <c r="J4" i="75"/>
  <c r="K4" i="75"/>
  <c r="L14" i="75"/>
  <c r="L16" i="75"/>
  <c r="L18" i="75"/>
  <c r="L24" i="75"/>
  <c r="L26" i="75"/>
  <c r="L28" i="75"/>
  <c r="L5" i="75"/>
  <c r="L4" i="75"/>
  <c r="M14" i="75"/>
  <c r="M16" i="75"/>
  <c r="M18" i="75"/>
  <c r="M24" i="75"/>
  <c r="M26" i="75"/>
  <c r="M28" i="75"/>
  <c r="M5" i="75"/>
  <c r="M4" i="75"/>
  <c r="N5" i="75"/>
  <c r="N4" i="75"/>
  <c r="O5" i="75"/>
  <c r="O4" i="75"/>
  <c r="P5" i="75"/>
  <c r="P4" i="75"/>
  <c r="Q5" i="75"/>
  <c r="Q4" i="75"/>
  <c r="R5" i="75"/>
  <c r="R4" i="75"/>
  <c r="S5" i="75"/>
  <c r="S4" i="75"/>
  <c r="T5" i="75"/>
  <c r="T4" i="75"/>
  <c r="U5" i="75"/>
  <c r="U4" i="75"/>
  <c r="V5" i="75"/>
  <c r="V4" i="75"/>
  <c r="W5" i="75"/>
  <c r="W4" i="75"/>
  <c r="X5" i="75"/>
  <c r="X4" i="75"/>
  <c r="Y5" i="75"/>
  <c r="Y4" i="75"/>
  <c r="Z5" i="75"/>
  <c r="Z4" i="75"/>
  <c r="AA5" i="75"/>
  <c r="AA4" i="75"/>
  <c r="D4" i="75"/>
  <c r="AD43" i="75"/>
  <c r="D39" i="75"/>
  <c r="D37" i="75"/>
  <c r="D35" i="75"/>
  <c r="D33" i="75"/>
  <c r="D31" i="75"/>
  <c r="C31" i="75"/>
  <c r="D30" i="75"/>
  <c r="D28" i="75"/>
  <c r="D26" i="75"/>
  <c r="C26" i="75"/>
  <c r="D24" i="75"/>
  <c r="C24" i="75"/>
  <c r="D22" i="75"/>
  <c r="C22" i="75"/>
  <c r="D20" i="75"/>
  <c r="C20" i="75"/>
  <c r="D18" i="75"/>
  <c r="C18" i="75"/>
  <c r="D16" i="75"/>
  <c r="C16" i="75"/>
  <c r="D14" i="75"/>
  <c r="C14" i="75"/>
  <c r="D12" i="75"/>
  <c r="C12" i="75"/>
  <c r="D10" i="75"/>
  <c r="C10" i="75"/>
  <c r="D8" i="75"/>
  <c r="C8" i="75"/>
  <c r="D6" i="75"/>
  <c r="C6" i="75"/>
  <c r="E5" i="75"/>
  <c r="D5" i="75"/>
  <c r="C33" i="74"/>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G10" i="12"/>
  <c r="F6" i="70"/>
  <c r="F8" i="70"/>
  <c r="F7" i="70"/>
  <c r="F9" i="70"/>
  <c r="C6" i="70"/>
  <c r="F11" i="70"/>
  <c r="C10" i="70"/>
  <c r="C5" i="70"/>
  <c r="C32" i="70"/>
  <c r="C33" i="70"/>
  <c r="F35" i="70"/>
  <c r="B52" i="1"/>
  <c r="F34"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9" i="1"/>
  <c r="F41" i="70"/>
  <c r="C40" i="70"/>
  <c r="M6" i="70"/>
  <c r="M8" i="70"/>
  <c r="M7" i="70"/>
  <c r="M9" i="70"/>
  <c r="J6" i="70"/>
  <c r="M11" i="70"/>
  <c r="J10" i="70"/>
  <c r="J5" i="70"/>
  <c r="J26" i="70"/>
  <c r="J29" i="70"/>
  <c r="B2" i="70"/>
  <c r="F10" i="12"/>
  <c r="B3" i="70"/>
  <c r="F8" i="12"/>
  <c r="D101" i="74"/>
  <c r="F32" i="74"/>
  <c r="AA32" i="74"/>
  <c r="D123" i="74"/>
  <c r="E123" i="74"/>
  <c r="F42" i="74"/>
  <c r="AA42" i="74"/>
  <c r="F36" i="74"/>
  <c r="AA36" i="74"/>
  <c r="F33" i="74"/>
  <c r="AA33" i="74"/>
  <c r="R47" i="74"/>
  <c r="F35" i="74"/>
  <c r="AA35" i="74"/>
  <c r="F11" i="74"/>
  <c r="AA11" i="74"/>
  <c r="R48" i="74"/>
  <c r="H32" i="74"/>
  <c r="AB32" i="74"/>
  <c r="H42" i="74"/>
  <c r="AB42" i="74"/>
  <c r="H36" i="74"/>
  <c r="AB36" i="74"/>
  <c r="H33" i="74"/>
  <c r="AB33" i="74"/>
  <c r="T47" i="74"/>
  <c r="H35" i="74"/>
  <c r="AB35" i="74"/>
  <c r="H11" i="74"/>
  <c r="AB11" i="74"/>
  <c r="T48" i="74"/>
  <c r="J32" i="74"/>
  <c r="AC32" i="74"/>
  <c r="J42" i="74"/>
  <c r="AC42" i="74"/>
  <c r="J36" i="74"/>
  <c r="AC36" i="74"/>
  <c r="J33" i="74"/>
  <c r="AC33" i="74"/>
  <c r="V47" i="74"/>
  <c r="D108" i="74"/>
  <c r="J35" i="74"/>
  <c r="AC35" i="74"/>
  <c r="J11" i="74"/>
  <c r="AC11" i="74"/>
  <c r="V48" i="74"/>
  <c r="R49" i="74"/>
  <c r="C49" i="74"/>
  <c r="B3" i="74"/>
  <c r="B2" i="74"/>
  <c r="D10" i="12"/>
  <c r="D8" i="12"/>
  <c r="F11" i="21"/>
  <c r="AA11" i="21"/>
  <c r="F33" i="21"/>
  <c r="AA33" i="21"/>
  <c r="D101" i="21"/>
  <c r="F32" i="21"/>
  <c r="AA32" i="21"/>
  <c r="R48" i="21"/>
  <c r="H33" i="21"/>
  <c r="AB33" i="21"/>
  <c r="H11" i="21"/>
  <c r="AB11" i="21"/>
  <c r="H32" i="21"/>
  <c r="AB32" i="21"/>
  <c r="T48" i="21"/>
  <c r="J33" i="21"/>
  <c r="AC33" i="21"/>
  <c r="J11" i="21"/>
  <c r="AC11" i="21"/>
  <c r="J32" i="21"/>
  <c r="AC32" i="21"/>
  <c r="V48" i="21"/>
  <c r="R49" i="21"/>
  <c r="C49" i="21"/>
  <c r="B3" i="21"/>
  <c r="B2" i="21"/>
  <c r="C10" i="12"/>
  <c r="C8" i="12"/>
  <c r="J140" i="74"/>
  <c r="C145" i="74"/>
  <c r="K139" i="74"/>
  <c r="K145" i="74"/>
  <c r="K144" i="74"/>
  <c r="K143" i="74"/>
  <c r="J142" i="74"/>
  <c r="K141" i="74"/>
  <c r="B130" i="74"/>
  <c r="B128" i="74"/>
  <c r="B126" i="74"/>
  <c r="D125" i="74"/>
  <c r="E125" i="74"/>
  <c r="F125" i="74"/>
  <c r="G125" i="74"/>
  <c r="F123" i="74"/>
  <c r="G123" i="74"/>
  <c r="H123" i="74"/>
  <c r="I123" i="74"/>
  <c r="J123" i="74"/>
  <c r="K123" i="74"/>
  <c r="L123" i="74"/>
  <c r="M123" i="74"/>
  <c r="D119" i="74"/>
  <c r="E119" i="74"/>
  <c r="F119" i="74"/>
  <c r="G119" i="74"/>
  <c r="H119" i="74"/>
  <c r="I119" i="74"/>
  <c r="J119" i="74"/>
  <c r="K119" i="74"/>
  <c r="L119" i="74"/>
  <c r="M119" i="74"/>
  <c r="D117" i="74"/>
  <c r="E117" i="74"/>
  <c r="F117" i="74"/>
  <c r="G117" i="74"/>
  <c r="D115" i="74"/>
  <c r="E115" i="74"/>
  <c r="F115" i="74"/>
  <c r="G115" i="74"/>
  <c r="H115" i="74"/>
  <c r="I115" i="74"/>
  <c r="J115" i="74"/>
  <c r="K115" i="74"/>
  <c r="L115" i="74"/>
  <c r="M115" i="74"/>
  <c r="D113" i="74"/>
  <c r="E113" i="74"/>
  <c r="F113" i="74"/>
  <c r="G113" i="74"/>
  <c r="H113" i="74"/>
  <c r="H111" i="74"/>
  <c r="G111" i="74"/>
  <c r="F111" i="74"/>
  <c r="E111" i="74"/>
  <c r="D111" i="74"/>
  <c r="C111" i="74"/>
  <c r="D110" i="74"/>
  <c r="E110" i="74"/>
  <c r="F110" i="74"/>
  <c r="G110" i="74"/>
  <c r="H110" i="74"/>
  <c r="I110" i="74"/>
  <c r="J110" i="74"/>
  <c r="K110" i="74"/>
  <c r="L110" i="74"/>
  <c r="M110" i="74"/>
  <c r="E108" i="74"/>
  <c r="F108" i="74"/>
  <c r="G108" i="74"/>
  <c r="H108" i="74"/>
  <c r="I108" i="74"/>
  <c r="J108" i="74"/>
  <c r="K108" i="74"/>
  <c r="L108" i="74"/>
  <c r="M108" i="74"/>
  <c r="D106" i="74"/>
  <c r="E106" i="74"/>
  <c r="F106" i="74"/>
  <c r="G106" i="74"/>
  <c r="H106" i="74"/>
  <c r="I106" i="74"/>
  <c r="J106" i="74"/>
  <c r="K106" i="74"/>
  <c r="L106" i="74"/>
  <c r="M106" i="74"/>
  <c r="M102" i="74"/>
  <c r="L102" i="74"/>
  <c r="K102" i="74"/>
  <c r="J102" i="74"/>
  <c r="I102" i="74"/>
  <c r="H102" i="74"/>
  <c r="G102" i="74"/>
  <c r="F102" i="74"/>
  <c r="E102" i="74"/>
  <c r="D102" i="74"/>
  <c r="C102" i="74"/>
  <c r="E101" i="74"/>
  <c r="F101" i="74"/>
  <c r="G101" i="74"/>
  <c r="H101" i="74"/>
  <c r="I101" i="74"/>
  <c r="J101" i="74"/>
  <c r="K101" i="74"/>
  <c r="L101" i="74"/>
  <c r="M101" i="74"/>
  <c r="B98" i="74"/>
  <c r="B96" i="74"/>
  <c r="B94" i="74"/>
  <c r="B92" i="74"/>
  <c r="B90" i="74"/>
  <c r="D89" i="74"/>
  <c r="E89" i="74"/>
  <c r="F89" i="74"/>
  <c r="G89" i="74"/>
  <c r="H89" i="74"/>
  <c r="I89" i="74"/>
  <c r="J89" i="74"/>
  <c r="K89" i="74"/>
  <c r="L89" i="74"/>
  <c r="M89" i="74"/>
  <c r="M87" i="74"/>
  <c r="L87" i="74"/>
  <c r="K87" i="74"/>
  <c r="J87" i="74"/>
  <c r="I87" i="74"/>
  <c r="H87" i="74"/>
  <c r="G87" i="74"/>
  <c r="F87" i="74"/>
  <c r="E87" i="74"/>
  <c r="D87" i="74"/>
  <c r="D85" i="74"/>
  <c r="E85" i="74"/>
  <c r="F85" i="74"/>
  <c r="G85" i="74"/>
  <c r="D83" i="74"/>
  <c r="E83" i="74"/>
  <c r="F83" i="74"/>
  <c r="G83" i="74"/>
  <c r="D81" i="74"/>
  <c r="E81" i="74"/>
  <c r="F81" i="74"/>
  <c r="G81" i="74"/>
  <c r="D79" i="74"/>
  <c r="E79" i="74"/>
  <c r="F79" i="74"/>
  <c r="G79" i="74"/>
  <c r="D77" i="74"/>
  <c r="E77" i="74"/>
  <c r="F77" i="74"/>
  <c r="G77" i="74"/>
  <c r="B74" i="74"/>
  <c r="B72" i="74"/>
  <c r="B70" i="74"/>
  <c r="D69" i="74"/>
  <c r="E69" i="74"/>
  <c r="F69" i="74"/>
  <c r="G69" i="74"/>
  <c r="H69" i="74"/>
  <c r="I69" i="74"/>
  <c r="J69" i="74"/>
  <c r="K69" i="74"/>
  <c r="L69" i="74"/>
  <c r="M69" i="74"/>
  <c r="M67" i="74"/>
  <c r="L67" i="74"/>
  <c r="K67" i="74"/>
  <c r="J67" i="74"/>
  <c r="I67" i="74"/>
  <c r="H67" i="74"/>
  <c r="G67" i="74"/>
  <c r="F67" i="74"/>
  <c r="E67" i="74"/>
  <c r="D67" i="74"/>
  <c r="C67" i="74"/>
  <c r="D66" i="74"/>
  <c r="E66" i="74"/>
  <c r="F66" i="74"/>
  <c r="G66" i="74"/>
  <c r="H66" i="74"/>
  <c r="I66" i="74"/>
  <c r="C63" i="74"/>
  <c r="C7" i="74"/>
  <c r="C58" i="74"/>
  <c r="D58" i="74"/>
  <c r="E58" i="74"/>
  <c r="F58" i="74"/>
  <c r="G58" i="74"/>
  <c r="H58" i="74"/>
  <c r="I58" i="74"/>
  <c r="J58" i="74"/>
  <c r="K58" i="74"/>
  <c r="L58" i="74"/>
  <c r="M58" i="74"/>
  <c r="N58" i="74"/>
  <c r="O58" i="74"/>
  <c r="I54" i="74"/>
  <c r="J54" i="74"/>
  <c r="G54" i="74"/>
  <c r="H54" i="74"/>
  <c r="E54" i="74"/>
  <c r="F54" i="74"/>
  <c r="J7" i="74"/>
  <c r="AC7" i="74"/>
  <c r="J8" i="74"/>
  <c r="AC8" i="74"/>
  <c r="J9" i="74"/>
  <c r="AC9" i="74"/>
  <c r="J10" i="74"/>
  <c r="AC10" i="74"/>
  <c r="C11" i="74"/>
  <c r="J12" i="74"/>
  <c r="AC12" i="74"/>
  <c r="J13" i="74"/>
  <c r="AC13" i="74"/>
  <c r="J14" i="74"/>
  <c r="AC14" i="74"/>
  <c r="J15" i="74"/>
  <c r="AC15" i="74"/>
  <c r="J17" i="74"/>
  <c r="AC17" i="74"/>
  <c r="J19" i="74"/>
  <c r="AC19" i="74"/>
  <c r="J21" i="74"/>
  <c r="AC21" i="74"/>
  <c r="J23" i="74"/>
  <c r="AC23" i="74"/>
  <c r="J25" i="74"/>
  <c r="AC25" i="74"/>
  <c r="J26" i="74"/>
  <c r="AC26" i="74"/>
  <c r="J27" i="74"/>
  <c r="AC27" i="74"/>
  <c r="J28" i="74"/>
  <c r="AC28" i="74"/>
  <c r="J29" i="74"/>
  <c r="AC29" i="74"/>
  <c r="J30" i="74"/>
  <c r="AC30" i="74"/>
  <c r="J31" i="74"/>
  <c r="AC31" i="74"/>
  <c r="J34" i="74"/>
  <c r="AC34" i="74"/>
  <c r="J37" i="74"/>
  <c r="AC37" i="74"/>
  <c r="J38" i="74"/>
  <c r="AC38" i="74"/>
  <c r="J39" i="74"/>
  <c r="AC39" i="74"/>
  <c r="J40" i="74"/>
  <c r="AC40" i="74"/>
  <c r="J41" i="74"/>
  <c r="AC41" i="74"/>
  <c r="J43" i="74"/>
  <c r="AC43" i="74"/>
  <c r="J44" i="74"/>
  <c r="AC44" i="74"/>
  <c r="J45" i="74"/>
  <c r="AC45" i="74"/>
  <c r="J46" i="74"/>
  <c r="AC46" i="74"/>
  <c r="I48" i="74"/>
  <c r="F7" i="74"/>
  <c r="AA7" i="74"/>
  <c r="F8" i="74"/>
  <c r="AA8" i="74"/>
  <c r="F9" i="74"/>
  <c r="AA9" i="74"/>
  <c r="F10" i="74"/>
  <c r="AA10" i="74"/>
  <c r="F12" i="74"/>
  <c r="AA12" i="74"/>
  <c r="F13" i="74"/>
  <c r="AA13" i="74"/>
  <c r="F14" i="74"/>
  <c r="AA14" i="74"/>
  <c r="F15" i="74"/>
  <c r="AA15" i="74"/>
  <c r="F17" i="74"/>
  <c r="AA17" i="74"/>
  <c r="F19" i="74"/>
  <c r="AA19" i="74"/>
  <c r="F21" i="74"/>
  <c r="AA21" i="74"/>
  <c r="F23" i="74"/>
  <c r="AA23" i="74"/>
  <c r="F25" i="74"/>
  <c r="AA25" i="74"/>
  <c r="F26" i="74"/>
  <c r="AA26" i="74"/>
  <c r="F27" i="74"/>
  <c r="AA27" i="74"/>
  <c r="F28" i="74"/>
  <c r="AA28" i="74"/>
  <c r="F29" i="74"/>
  <c r="AA29" i="74"/>
  <c r="F30" i="74"/>
  <c r="AA30" i="74"/>
  <c r="F31" i="74"/>
  <c r="AA31" i="74"/>
  <c r="F34" i="74"/>
  <c r="AA34" i="74"/>
  <c r="F37" i="74"/>
  <c r="AA37" i="74"/>
  <c r="F38" i="74"/>
  <c r="AA38" i="74"/>
  <c r="F39" i="74"/>
  <c r="AA39" i="74"/>
  <c r="F40" i="74"/>
  <c r="AA40" i="74"/>
  <c r="F41" i="74"/>
  <c r="AA41" i="74"/>
  <c r="F43" i="74"/>
  <c r="AA43" i="74"/>
  <c r="F44" i="74"/>
  <c r="AA44" i="74"/>
  <c r="F45" i="74"/>
  <c r="AA45" i="74"/>
  <c r="F46" i="74"/>
  <c r="AA46" i="74"/>
  <c r="E48" i="74"/>
  <c r="I53" i="74"/>
  <c r="J53" i="74"/>
  <c r="G7" i="74"/>
  <c r="H7" i="74"/>
  <c r="AB7" i="74"/>
  <c r="H8" i="74"/>
  <c r="AB8" i="74"/>
  <c r="H9" i="74"/>
  <c r="AB9" i="74"/>
  <c r="H10" i="74"/>
  <c r="AB10" i="74"/>
  <c r="H12" i="74"/>
  <c r="AB12" i="74"/>
  <c r="H13" i="74"/>
  <c r="AB13" i="74"/>
  <c r="H14" i="74"/>
  <c r="AB14" i="74"/>
  <c r="H15" i="74"/>
  <c r="AB15" i="74"/>
  <c r="H17" i="74"/>
  <c r="AB17" i="74"/>
  <c r="H19" i="74"/>
  <c r="AB19" i="74"/>
  <c r="H21" i="74"/>
  <c r="AB21" i="74"/>
  <c r="H23" i="74"/>
  <c r="AB23" i="74"/>
  <c r="H25" i="74"/>
  <c r="AB25" i="74"/>
  <c r="H26" i="74"/>
  <c r="AB26" i="74"/>
  <c r="H27" i="74"/>
  <c r="AB27" i="74"/>
  <c r="H28" i="74"/>
  <c r="AB28" i="74"/>
  <c r="H29" i="74"/>
  <c r="AB29" i="74"/>
  <c r="H30" i="74"/>
  <c r="AB30" i="74"/>
  <c r="H31" i="74"/>
  <c r="AB31" i="74"/>
  <c r="H34" i="74"/>
  <c r="AB34" i="74"/>
  <c r="H37" i="74"/>
  <c r="AB37" i="74"/>
  <c r="H38" i="74"/>
  <c r="AB38" i="74"/>
  <c r="H39" i="74"/>
  <c r="AB39" i="74"/>
  <c r="H40" i="74"/>
  <c r="AB40" i="74"/>
  <c r="H41" i="74"/>
  <c r="AB41" i="74"/>
  <c r="H43" i="74"/>
  <c r="AB43" i="74"/>
  <c r="H44" i="74"/>
  <c r="AB44" i="74"/>
  <c r="H45" i="74"/>
  <c r="AB45" i="74"/>
  <c r="H46" i="74"/>
  <c r="AB46" i="74"/>
  <c r="G48" i="74"/>
  <c r="G53" i="74"/>
  <c r="H53" i="74"/>
  <c r="E53" i="74"/>
  <c r="F53" i="74"/>
  <c r="I52" i="74"/>
  <c r="J52" i="74"/>
  <c r="G52" i="74"/>
  <c r="H52" i="74"/>
  <c r="E52" i="74"/>
  <c r="F52" i="74"/>
  <c r="P49" i="74"/>
  <c r="P48" i="74"/>
  <c r="C48" i="74"/>
  <c r="P47" i="74"/>
  <c r="Q46" i="74"/>
  <c r="Z46" i="74"/>
  <c r="W46" i="74"/>
  <c r="U46" i="74"/>
  <c r="S46" i="74"/>
  <c r="Q45" i="74"/>
  <c r="Z45" i="74"/>
  <c r="W45" i="74"/>
  <c r="U45" i="74"/>
  <c r="S45" i="74"/>
  <c r="Q44" i="74"/>
  <c r="Z44" i="74"/>
  <c r="W44" i="74"/>
  <c r="U44" i="74"/>
  <c r="S44" i="74"/>
  <c r="Q43" i="74"/>
  <c r="Z43" i="74"/>
  <c r="W43" i="74"/>
  <c r="U43" i="74"/>
  <c r="S43" i="74"/>
  <c r="Q42" i="74"/>
  <c r="Z42" i="74"/>
  <c r="W42" i="74"/>
  <c r="U42" i="74"/>
  <c r="S42" i="74"/>
  <c r="Q41" i="74"/>
  <c r="Z41" i="74"/>
  <c r="W41" i="74"/>
  <c r="U41" i="74"/>
  <c r="S41" i="74"/>
  <c r="Q40" i="74"/>
  <c r="Z40" i="74"/>
  <c r="W40" i="74"/>
  <c r="U40" i="74"/>
  <c r="S40" i="74"/>
  <c r="Q39" i="74"/>
  <c r="Z39" i="74"/>
  <c r="W39" i="74"/>
  <c r="U39" i="74"/>
  <c r="S39" i="74"/>
  <c r="Q38" i="74"/>
  <c r="Z38" i="74"/>
  <c r="W38" i="74"/>
  <c r="U38" i="74"/>
  <c r="S38" i="74"/>
  <c r="Q37" i="74"/>
  <c r="Z37" i="74"/>
  <c r="W37" i="74"/>
  <c r="U37" i="74"/>
  <c r="S37" i="74"/>
  <c r="Q36" i="74"/>
  <c r="Z36" i="74"/>
  <c r="W36" i="74"/>
  <c r="U36" i="74"/>
  <c r="S36" i="74"/>
  <c r="Q35" i="74"/>
  <c r="Z35" i="74"/>
  <c r="W35" i="74"/>
  <c r="U35" i="74"/>
  <c r="S35" i="74"/>
  <c r="Q34" i="74"/>
  <c r="Z34" i="74"/>
  <c r="W34" i="74"/>
  <c r="U34" i="74"/>
  <c r="S34" i="74"/>
  <c r="Q33" i="74"/>
  <c r="Z33" i="74"/>
  <c r="W33" i="74"/>
  <c r="U33" i="74"/>
  <c r="S33" i="74"/>
  <c r="Q32" i="74"/>
  <c r="Z32" i="74"/>
  <c r="W32" i="74"/>
  <c r="U32" i="74"/>
  <c r="S32" i="74"/>
  <c r="Q31" i="74"/>
  <c r="Z31" i="74"/>
  <c r="W31" i="74"/>
  <c r="U31" i="74"/>
  <c r="S31" i="74"/>
  <c r="Q30" i="74"/>
  <c r="Z30" i="74"/>
  <c r="W30" i="74"/>
  <c r="U30" i="74"/>
  <c r="S30" i="74"/>
  <c r="Q29" i="74"/>
  <c r="Z29" i="74"/>
  <c r="W29" i="74"/>
  <c r="U29" i="74"/>
  <c r="S29" i="74"/>
  <c r="Q28" i="74"/>
  <c r="Z28" i="74"/>
  <c r="W28" i="74"/>
  <c r="U28" i="74"/>
  <c r="S28" i="74"/>
  <c r="Q27" i="74"/>
  <c r="Z27" i="74"/>
  <c r="W27" i="74"/>
  <c r="U27" i="74"/>
  <c r="S27" i="74"/>
  <c r="Q26" i="74"/>
  <c r="Z26" i="74"/>
  <c r="W26" i="74"/>
  <c r="U26" i="74"/>
  <c r="S26" i="74"/>
  <c r="Q25" i="74"/>
  <c r="Z25" i="74"/>
  <c r="W25" i="74"/>
  <c r="U25" i="74"/>
  <c r="S25" i="74"/>
  <c r="Q23" i="74"/>
  <c r="Z23" i="74"/>
  <c r="W23" i="74"/>
  <c r="U23" i="74"/>
  <c r="S23" i="74"/>
  <c r="C23" i="74"/>
  <c r="Q21" i="74"/>
  <c r="Z21" i="74"/>
  <c r="W21" i="74"/>
  <c r="U21" i="74"/>
  <c r="S21" i="74"/>
  <c r="C21" i="74"/>
  <c r="Q19" i="74"/>
  <c r="Z19" i="74"/>
  <c r="W19" i="74"/>
  <c r="U19" i="74"/>
  <c r="S19" i="74"/>
  <c r="C19" i="74"/>
  <c r="Q17" i="74"/>
  <c r="Z17" i="74"/>
  <c r="W17" i="74"/>
  <c r="U17" i="74"/>
  <c r="S17" i="74"/>
  <c r="C17" i="74"/>
  <c r="Q15" i="74"/>
  <c r="Z15" i="74"/>
  <c r="W15" i="74"/>
  <c r="U15" i="74"/>
  <c r="S15" i="74"/>
  <c r="C15" i="74"/>
  <c r="Q14" i="74"/>
  <c r="Z14" i="74"/>
  <c r="W14" i="74"/>
  <c r="U14" i="74"/>
  <c r="S14" i="74"/>
  <c r="Q13" i="74"/>
  <c r="Z13" i="74"/>
  <c r="W13" i="74"/>
  <c r="U13" i="74"/>
  <c r="S13" i="74"/>
  <c r="Q12" i="74"/>
  <c r="Z12" i="74"/>
  <c r="W12" i="74"/>
  <c r="U12" i="74"/>
  <c r="S12" i="74"/>
  <c r="Q11" i="74"/>
  <c r="Z11" i="74"/>
  <c r="W11" i="74"/>
  <c r="U11" i="74"/>
  <c r="S11" i="74"/>
  <c r="Q10" i="74"/>
  <c r="Z10" i="74"/>
  <c r="W10" i="74"/>
  <c r="U10" i="74"/>
  <c r="S10" i="74"/>
  <c r="Q9" i="74"/>
  <c r="Z9" i="74"/>
  <c r="W9" i="74"/>
  <c r="U9" i="74"/>
  <c r="S9" i="74"/>
  <c r="W8" i="74"/>
  <c r="U8" i="74"/>
  <c r="S8" i="74"/>
  <c r="W7" i="74"/>
  <c r="U7" i="74"/>
  <c r="S7" i="74"/>
  <c r="D3" i="74"/>
  <c r="G7" i="21"/>
  <c r="C11" i="21"/>
  <c r="E73" i="39"/>
  <c r="F73" i="39"/>
  <c r="G73" i="39"/>
  <c r="H73" i="39"/>
  <c r="I73" i="39"/>
  <c r="J73" i="39"/>
  <c r="K73" i="39"/>
  <c r="L73" i="39"/>
  <c r="M73" i="39"/>
  <c r="N73" i="39"/>
  <c r="D73" i="39"/>
  <c r="I48" i="39"/>
  <c r="G48" i="39"/>
  <c r="E48" i="39"/>
  <c r="I40" i="39"/>
  <c r="G40" i="39"/>
  <c r="E40" i="39"/>
  <c r="C40" i="39"/>
  <c r="C13" i="39"/>
  <c r="C12" i="39"/>
  <c r="E77" i="39"/>
  <c r="D77" i="39"/>
  <c r="C77" i="39"/>
  <c r="I9" i="39"/>
  <c r="G9" i="39"/>
  <c r="E9" i="39"/>
  <c r="I8" i="39"/>
  <c r="G8" i="39"/>
  <c r="E8" i="39"/>
  <c r="I7" i="39"/>
  <c r="G7" i="39"/>
  <c r="E7" i="39"/>
  <c r="G1" i="70"/>
  <c r="B43" i="1"/>
  <c r="B41" i="1"/>
  <c r="F32" i="70"/>
  <c r="F33" i="70"/>
  <c r="F15" i="70"/>
  <c r="F17" i="70"/>
  <c r="F18" i="70"/>
  <c r="F20" i="70"/>
  <c r="I3" i="65"/>
  <c r="B22" i="1"/>
  <c r="C2" i="65"/>
  <c r="I1" i="65"/>
  <c r="F23" i="70"/>
  <c r="F21" i="70"/>
  <c r="F28" i="70"/>
  <c r="C42" i="1"/>
  <c r="C28" i="70"/>
  <c r="M47" i="70"/>
  <c r="Q66"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57" i="70"/>
  <c r="J55" i="70"/>
  <c r="J58" i="70"/>
  <c r="J59" i="70"/>
  <c r="J60" i="70"/>
  <c r="Q59" i="70"/>
  <c r="F58" i="70"/>
  <c r="L57"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F23" i="6"/>
  <c r="G22" i="6"/>
  <c r="F21" i="6"/>
  <c r="F20" i="6"/>
  <c r="F19" i="6"/>
  <c r="AN13" i="3"/>
  <c r="Q13" i="3"/>
  <c r="AD13" i="3"/>
  <c r="M13" i="3"/>
  <c r="K13" i="3"/>
  <c r="O13" i="3"/>
  <c r="I13" i="3"/>
  <c r="C7" i="69"/>
  <c r="E7" i="69"/>
  <c r="J7" i="69"/>
  <c r="C8" i="69"/>
  <c r="E8" i="69"/>
  <c r="J8" i="69"/>
  <c r="C9" i="69"/>
  <c r="E9" i="69"/>
  <c r="J9" i="69"/>
  <c r="C10" i="69"/>
  <c r="E10" i="69"/>
  <c r="J10" i="69"/>
  <c r="C11" i="69"/>
  <c r="E11" i="69"/>
  <c r="J11" i="69"/>
  <c r="C12" i="69"/>
  <c r="E12" i="69"/>
  <c r="J12" i="69"/>
  <c r="C13" i="69"/>
  <c r="E13" i="69"/>
  <c r="J13" i="69"/>
  <c r="C14" i="69"/>
  <c r="E14" i="69"/>
  <c r="J14" i="69"/>
  <c r="C17" i="69"/>
  <c r="E17" i="69"/>
  <c r="J17" i="69"/>
  <c r="C18" i="69"/>
  <c r="E18" i="69"/>
  <c r="J18" i="69"/>
  <c r="C19" i="69"/>
  <c r="E19" i="69"/>
  <c r="J19" i="69"/>
  <c r="J5" i="69"/>
  <c r="C61" i="69"/>
  <c r="C31" i="69"/>
  <c r="G31" i="69"/>
  <c r="J2" i="69"/>
  <c r="J31" i="69"/>
  <c r="C32" i="69"/>
  <c r="G32" i="69"/>
  <c r="J32" i="69"/>
  <c r="C33" i="69"/>
  <c r="G33" i="69"/>
  <c r="J33" i="69"/>
  <c r="C34" i="69"/>
  <c r="G34" i="69"/>
  <c r="J34" i="69"/>
  <c r="C35" i="69"/>
  <c r="G35" i="69"/>
  <c r="J35" i="69"/>
  <c r="C36" i="69"/>
  <c r="G36" i="69"/>
  <c r="J36" i="69"/>
  <c r="C37" i="69"/>
  <c r="G37" i="69"/>
  <c r="J37" i="69"/>
  <c r="J30" i="69"/>
  <c r="C39" i="69"/>
  <c r="G39" i="69"/>
  <c r="J39" i="69"/>
  <c r="C40" i="69"/>
  <c r="G40" i="69"/>
  <c r="J40" i="69"/>
  <c r="J38" i="69"/>
  <c r="J29" i="69"/>
  <c r="F47" i="69"/>
  <c r="F46" i="69"/>
  <c r="H46" i="69"/>
  <c r="J46" i="69"/>
  <c r="J4" i="69"/>
  <c r="G52" i="69"/>
  <c r="G53" i="69"/>
  <c r="G57" i="69"/>
  <c r="G51" i="69"/>
  <c r="H51" i="69"/>
  <c r="J51" i="69"/>
  <c r="C60" i="69"/>
  <c r="G60" i="69"/>
  <c r="J60" i="69"/>
  <c r="G61" i="69"/>
  <c r="J61" i="69"/>
  <c r="J62" i="69"/>
  <c r="C63" i="69"/>
  <c r="G63" i="69"/>
  <c r="J63" i="69"/>
  <c r="C64" i="69"/>
  <c r="G64" i="69"/>
  <c r="J64" i="69"/>
  <c r="C65" i="69"/>
  <c r="G65" i="69"/>
  <c r="J65" i="69"/>
  <c r="J66" i="69"/>
  <c r="J67" i="69"/>
  <c r="C15" i="69"/>
  <c r="E15" i="69"/>
  <c r="C16" i="69"/>
  <c r="E16" i="69"/>
  <c r="E6" i="69"/>
  <c r="E5" i="69"/>
  <c r="H5" i="69"/>
  <c r="E23" i="69"/>
  <c r="E24" i="69"/>
  <c r="E25" i="69"/>
  <c r="E26" i="69"/>
  <c r="E27" i="69"/>
  <c r="E22" i="69"/>
  <c r="H22" i="69"/>
  <c r="G30" i="69"/>
  <c r="G41" i="69"/>
  <c r="G42" i="69"/>
  <c r="G43" i="69"/>
  <c r="G44" i="69"/>
  <c r="G45" i="69"/>
  <c r="G38" i="69"/>
  <c r="G29" i="69"/>
  <c r="H29" i="69"/>
  <c r="H4" i="69"/>
  <c r="C68" i="69"/>
  <c r="G68" i="69"/>
  <c r="J68" i="69"/>
  <c r="C69" i="69"/>
  <c r="G69" i="69"/>
  <c r="J69" i="69"/>
  <c r="J70" i="69"/>
  <c r="J71" i="69"/>
  <c r="C72" i="69"/>
  <c r="G72" i="69"/>
  <c r="J72" i="69"/>
  <c r="J59" i="69"/>
  <c r="C79" i="69"/>
  <c r="G79" i="69"/>
  <c r="J79" i="69"/>
  <c r="C80" i="69"/>
  <c r="G80" i="69"/>
  <c r="J80" i="69"/>
  <c r="C81" i="69"/>
  <c r="G81" i="69"/>
  <c r="J81" i="69"/>
  <c r="C82" i="69"/>
  <c r="G82" i="69"/>
  <c r="J82" i="69"/>
  <c r="J78" i="69"/>
  <c r="C87" i="69"/>
  <c r="G87" i="69"/>
  <c r="J87" i="69"/>
  <c r="C88" i="69"/>
  <c r="G88" i="69"/>
  <c r="J88" i="69"/>
  <c r="C89" i="69"/>
  <c r="G89" i="69"/>
  <c r="J89" i="69"/>
  <c r="C90" i="69"/>
  <c r="G90" i="69"/>
  <c r="J90" i="69"/>
  <c r="C91" i="69"/>
  <c r="G91" i="69"/>
  <c r="J91" i="69"/>
  <c r="J86" i="69"/>
  <c r="J92" i="69"/>
  <c r="J50" i="69"/>
  <c r="J104" i="69"/>
  <c r="C105" i="69"/>
  <c r="D106" i="69"/>
  <c r="C106" i="69"/>
  <c r="G106" i="69"/>
  <c r="I15" i="69"/>
  <c r="I16" i="69"/>
  <c r="I5" i="69"/>
  <c r="I2" i="69"/>
  <c r="I31" i="69"/>
  <c r="I32" i="69"/>
  <c r="I33" i="69"/>
  <c r="I34" i="69"/>
  <c r="I35" i="69"/>
  <c r="I36" i="69"/>
  <c r="I37" i="69"/>
  <c r="I30" i="69"/>
  <c r="I39" i="69"/>
  <c r="I40" i="69"/>
  <c r="I38" i="69"/>
  <c r="I29" i="69"/>
  <c r="I4" i="69"/>
  <c r="I106" i="69"/>
  <c r="J106" i="69"/>
  <c r="D107" i="69"/>
  <c r="C107" i="69"/>
  <c r="G107" i="69"/>
  <c r="I107" i="69"/>
  <c r="J107" i="69"/>
  <c r="D108" i="69"/>
  <c r="C108" i="69"/>
  <c r="G108" i="69"/>
  <c r="I108" i="69"/>
  <c r="J108" i="69"/>
  <c r="J105" i="69"/>
  <c r="J103" i="69"/>
  <c r="J109" i="69"/>
  <c r="G111" i="69"/>
  <c r="I51" i="69"/>
  <c r="I60" i="69"/>
  <c r="I61" i="69"/>
  <c r="I62" i="69"/>
  <c r="I63" i="69"/>
  <c r="I64" i="69"/>
  <c r="I65" i="69"/>
  <c r="I66" i="69"/>
  <c r="I67" i="69"/>
  <c r="I68" i="69"/>
  <c r="I69" i="69"/>
  <c r="I70" i="69"/>
  <c r="I71" i="69"/>
  <c r="I72" i="69"/>
  <c r="I59" i="69"/>
  <c r="I79" i="69"/>
  <c r="I80" i="69"/>
  <c r="I81" i="69"/>
  <c r="I78" i="69"/>
  <c r="I87" i="69"/>
  <c r="I88" i="69"/>
  <c r="I89" i="69"/>
  <c r="I90" i="69"/>
  <c r="I91" i="69"/>
  <c r="I86" i="69"/>
  <c r="I92" i="69"/>
  <c r="I50" i="69"/>
  <c r="I104" i="69"/>
  <c r="I105" i="69"/>
  <c r="I103" i="69"/>
  <c r="I109" i="69"/>
  <c r="C73" i="69"/>
  <c r="G73" i="69"/>
  <c r="G76" i="69"/>
  <c r="G59" i="69"/>
  <c r="H59" i="69"/>
  <c r="G83" i="69"/>
  <c r="G84" i="69"/>
  <c r="G78" i="69"/>
  <c r="H78" i="69"/>
  <c r="G86" i="69"/>
  <c r="H86" i="69"/>
  <c r="C92" i="69"/>
  <c r="G92" i="69"/>
  <c r="H92" i="69"/>
  <c r="G96" i="69"/>
  <c r="G97" i="69"/>
  <c r="G93" i="69"/>
  <c r="H93" i="69"/>
  <c r="G101" i="69"/>
  <c r="G102" i="69"/>
  <c r="G98" i="69"/>
  <c r="H98" i="69"/>
  <c r="H50" i="69"/>
  <c r="C104" i="69"/>
  <c r="G104" i="69"/>
  <c r="G105" i="69"/>
  <c r="G103" i="69"/>
  <c r="H103" i="69"/>
  <c r="H109" i="69"/>
  <c r="I111" i="69"/>
  <c r="J111" i="69"/>
  <c r="J110" i="69"/>
  <c r="J113" i="69"/>
  <c r="J119" i="69"/>
  <c r="I110" i="69"/>
  <c r="I114" i="69"/>
  <c r="I113" i="69"/>
  <c r="I119" i="69"/>
  <c r="G110" i="69"/>
  <c r="H110" i="69"/>
  <c r="G113" i="69"/>
  <c r="H113" i="69"/>
  <c r="G115" i="69"/>
  <c r="H115" i="69"/>
  <c r="H119" i="69"/>
  <c r="I82" i="69"/>
  <c r="J77" i="69"/>
  <c r="I77" i="69"/>
  <c r="J76" i="69"/>
  <c r="I76" i="69"/>
  <c r="J75" i="69"/>
  <c r="I75" i="69"/>
  <c r="J74" i="69"/>
  <c r="I74" i="69"/>
  <c r="J73" i="69"/>
  <c r="I73" i="69"/>
  <c r="C52" i="69"/>
  <c r="D52" i="69"/>
  <c r="K51" i="69"/>
  <c r="L51" i="69"/>
  <c r="D51" i="69"/>
  <c r="B18" i="69"/>
  <c r="B17" i="69"/>
  <c r="B16" i="69"/>
  <c r="B15" i="69"/>
  <c r="B14" i="69"/>
  <c r="B13" i="69"/>
  <c r="B12" i="69"/>
  <c r="B11" i="69"/>
  <c r="B10" i="69"/>
  <c r="B9" i="69"/>
  <c r="B8" i="69"/>
  <c r="L2" i="69"/>
  <c r="M2" i="69"/>
  <c r="K2" i="69"/>
  <c r="G6" i="68"/>
  <c r="G7" i="68"/>
  <c r="G8" i="68"/>
  <c r="G9" i="68"/>
  <c r="G10" i="68"/>
  <c r="G5" i="68"/>
  <c r="D5" i="68"/>
  <c r="G30" i="68"/>
  <c r="F5" i="68"/>
  <c r="F30" i="68"/>
  <c r="D27" i="68"/>
  <c r="D26" i="68"/>
  <c r="F22" i="68"/>
  <c r="F21" i="68"/>
  <c r="G20" i="68"/>
  <c r="G19" i="68"/>
  <c r="G18" i="68"/>
  <c r="F18" i="68"/>
  <c r="D18" i="68"/>
  <c r="H6" i="68"/>
  <c r="D4" i="68"/>
  <c r="E21" i="4"/>
  <c r="E22" i="4"/>
  <c r="B13" i="4"/>
  <c r="B7" i="4"/>
  <c r="B5" i="4"/>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A9" i="1"/>
  <c r="A10" i="1"/>
  <c r="G1" i="15"/>
  <c r="F6" i="1"/>
  <c r="J50" i="15"/>
  <c r="J51" i="15"/>
  <c r="M47" i="15"/>
  <c r="G1" i="44"/>
  <c r="L49" i="44"/>
  <c r="M48" i="44"/>
  <c r="J51" i="44"/>
  <c r="J52" i="44"/>
  <c r="J54" i="44"/>
  <c r="C1" i="65"/>
  <c r="H1" i="65"/>
  <c r="I4" i="65"/>
  <c r="E20" i="46"/>
  <c r="C18" i="46"/>
  <c r="AD5" i="3"/>
  <c r="AH5" i="3"/>
  <c r="AL5" i="3"/>
  <c r="AP5" i="3"/>
  <c r="I5" i="3"/>
  <c r="O5" i="3"/>
  <c r="K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E19" i="6"/>
  <c r="F27" i="6"/>
  <c r="E20" i="6"/>
  <c r="E21" i="6"/>
  <c r="E22" i="6"/>
  <c r="E23" i="6"/>
  <c r="E27" i="6"/>
  <c r="K23" i="6"/>
  <c r="M23" i="6"/>
  <c r="I23" i="6"/>
  <c r="H23" i="6"/>
  <c r="D23" i="6"/>
  <c r="R23" i="6"/>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32" i="6"/>
  <c r="K8" i="1"/>
  <c r="M8" i="1"/>
  <c r="O8" i="1"/>
  <c r="P8" i="1"/>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P5" i="3"/>
  <c r="Q5" i="3"/>
  <c r="R5" i="3"/>
  <c r="S5" i="3"/>
  <c r="T5" i="3"/>
  <c r="U5" i="3"/>
  <c r="V5" i="3"/>
  <c r="W5" i="3"/>
  <c r="X5" i="3"/>
  <c r="Y5" i="3"/>
  <c r="Z5" i="3"/>
  <c r="AA5" i="3"/>
  <c r="AB5"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77" i="21"/>
  <c r="F15" i="21"/>
  <c r="S15"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BD5" i="3"/>
  <c r="E8" i="6"/>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5" i="6"/>
  <c r="D14" i="6"/>
  <c r="D29" i="6"/>
  <c r="D28" i="6"/>
  <c r="H22" i="6"/>
  <c r="R22" i="6"/>
  <c r="R9" i="1"/>
  <c r="D20" i="6"/>
  <c r="D15" i="6"/>
  <c r="D8" i="6"/>
  <c r="H26" i="6"/>
  <c r="B4" i="11"/>
  <c r="B5" i="11"/>
  <c r="E53" i="21"/>
  <c r="F53" i="21"/>
  <c r="E52" i="21"/>
  <c r="F52" i="21"/>
  <c r="C48" i="21"/>
  <c r="I53" i="21"/>
  <c r="J53" i="21"/>
  <c r="I70" i="39"/>
  <c r="H72" i="39"/>
  <c r="I65" i="40"/>
  <c r="H67" i="40"/>
  <c r="C16" i="44"/>
  <c r="C20" i="44"/>
  <c r="C17" i="44"/>
  <c r="B3" i="67"/>
  <c r="B4" i="67"/>
  <c r="T16" i="1"/>
  <c r="C17" i="12"/>
  <c r="C14" i="12"/>
  <c r="H27" i="6"/>
  <c r="R20" i="6"/>
  <c r="R19" i="6"/>
  <c r="R7" i="1"/>
  <c r="R24" i="6"/>
  <c r="D16" i="6"/>
  <c r="D30" i="6"/>
  <c r="R25" i="6"/>
  <c r="R21" i="6"/>
  <c r="R8" i="1"/>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微软用户</author>
  </authors>
  <commentList>
    <comment ref="B64" authorId="0">
      <text>
        <r>
          <rPr>
            <b/>
            <sz val="9"/>
            <rFont val="宋体"/>
            <family val="3"/>
            <charset val="134"/>
          </rPr>
          <t>微软用户:</t>
        </r>
        <r>
          <rPr>
            <sz val="9"/>
            <rFont val="宋体"/>
            <family val="3"/>
            <charset val="134"/>
          </rPr>
          <t xml:space="preserve">
包括：建筑设计、环境设计、精装修设计、管线综合设计、人防设计、室外管网设计等。</t>
        </r>
      </text>
    </comment>
    <comment ref="C92" authorId="0">
      <text>
        <r>
          <rPr>
            <b/>
            <sz val="9"/>
            <rFont val="宋体"/>
            <family val="3"/>
            <charset val="134"/>
          </rPr>
          <t>微软用户:</t>
        </r>
        <r>
          <rPr>
            <sz val="9"/>
            <rFont val="宋体"/>
            <family val="3"/>
            <charset val="134"/>
          </rPr>
          <t xml:space="preserve">
工程费用。</t>
        </r>
      </text>
    </comment>
    <comment ref="C104" authorId="0">
      <text>
        <r>
          <rPr>
            <b/>
            <sz val="9"/>
            <rFont val="宋体"/>
            <family val="3"/>
            <charset val="134"/>
          </rPr>
          <t>微软用户:</t>
        </r>
        <r>
          <rPr>
            <sz val="9"/>
            <rFont val="宋体"/>
            <family val="3"/>
            <charset val="134"/>
          </rPr>
          <t xml:space="preserve">
建设项目的工程费用和工程建设其他费用之和。
</t>
        </r>
      </text>
    </comment>
    <comment ref="B105" authorId="0">
      <text>
        <r>
          <rPr>
            <b/>
            <sz val="9"/>
            <rFont val="宋体"/>
            <family val="3"/>
            <charset val="134"/>
          </rPr>
          <t>微软用户:</t>
        </r>
        <r>
          <rPr>
            <sz val="9"/>
            <rFont val="宋体"/>
            <family val="3"/>
            <charset val="134"/>
          </rPr>
          <t xml:space="preserve">
PF={It[(1+f)^(m+t-0.5)-1]的各年之和}
式中，PF--涨价预备费；
n--建设期年数；
m--估算年到项目开工年的间隔年数，本次取0年；
f--年涨价率；
It--建设期中第t年的工程费用。
</t>
        </r>
      </text>
    </comment>
    <comment ref="C105" authorId="0">
      <text>
        <r>
          <rPr>
            <b/>
            <sz val="9"/>
            <rFont val="宋体"/>
            <family val="3"/>
            <charset val="134"/>
          </rPr>
          <t>微软用户:</t>
        </r>
        <r>
          <rPr>
            <sz val="9"/>
            <rFont val="宋体"/>
            <family val="3"/>
            <charset val="134"/>
          </rPr>
          <t xml:space="preserve">
建设项目的工程费用。
</t>
        </r>
      </text>
    </comment>
    <comment ref="D106" authorId="0">
      <text>
        <r>
          <rPr>
            <b/>
            <sz val="9"/>
            <rFont val="宋体"/>
            <family val="3"/>
            <charset val="134"/>
          </rPr>
          <t>微软用户:</t>
        </r>
        <r>
          <rPr>
            <sz val="9"/>
            <rFont val="宋体"/>
            <family val="3"/>
            <charset val="134"/>
          </rPr>
          <t xml:space="preserve">
工程费用投入比例。</t>
        </r>
      </text>
    </comment>
    <comment ref="D107" authorId="0">
      <text>
        <r>
          <rPr>
            <b/>
            <sz val="9"/>
            <rFont val="宋体"/>
            <family val="3"/>
            <charset val="134"/>
          </rPr>
          <t>微软用户:</t>
        </r>
        <r>
          <rPr>
            <sz val="9"/>
            <rFont val="宋体"/>
            <family val="3"/>
            <charset val="134"/>
          </rPr>
          <t xml:space="preserve">
工程费用投入比例。</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<sst xmlns="http://schemas.openxmlformats.org/spreadsheetml/2006/main" count="9522" uniqueCount="3820">
  <si>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</si>
  <si>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</si>
  <si>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</si>
  <si>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</si>
  <si>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</si>
  <si>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</si>
  <si>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</si>
  <si>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</si>
  <si>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</si>
  <si>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</si>
  <si>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</si>
  <si>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</si>
  <si>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</si>
  <si>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</si>
  <si>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</si>
  <si>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</si>
  <si>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</si>
  <si>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</si>
  <si>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</si>
  <si>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</si>
  <si>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</si>
  <si>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</si>
  <si>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</si>
  <si>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</si>
  <si>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</si>
  <si>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</si>
  <si>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</si>
  <si>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</si>
  <si>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</si>
  <si>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</si>
  <si>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</si>
  <si>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</si>
  <si>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</si>
  <si>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</si>
  <si>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</si>
  <si>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</si>
  <si>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</si>
  <si>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</si>
  <si>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</si>
  <si>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</si>
  <si>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</si>
  <si>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</si>
  <si>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</si>
  <si>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</si>
  <si>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</si>
  <si>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</si>
  <si>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</si>
  <si>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</si>
  <si>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</si>
  <si>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</si>
  <si>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</si>
  <si>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</si>
  <si>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</si>
  <si>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</si>
  <si>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</si>
  <si>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</si>
  <si>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</si>
  <si>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</si>
  <si>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</si>
  <si>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</si>
  <si>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</si>
  <si>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</si>
  <si>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</si>
  <si>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</si>
  <si>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</si>
  <si>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</si>
  <si>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</si>
  <si>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</si>
  <si>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</si>
  <si>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</si>
  <si>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</si>
  <si>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</si>
  <si>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</si>
  <si>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</si>
  <si>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</si>
  <si>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</si>
  <si>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</si>
  <si>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</si>
  <si>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</si>
  <si>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</si>
  <si>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</si>
  <si>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</si>
  <si>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</si>
  <si>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</si>
  <si>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</si>
  <si>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</si>
  <si>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</si>
  <si>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</si>
  <si>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</si>
  <si>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</si>
  <si>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</si>
  <si>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</si>
  <si>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</si>
  <si>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</si>
  <si>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</si>
  <si>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</si>
  <si>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</si>
  <si>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</si>
  <si>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</si>
  <si>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</si>
  <si>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</si>
  <si>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</si>
  <si>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</si>
  <si>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</si>
  <si>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</si>
  <si>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</si>
  <si>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</si>
  <si>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</si>
  <si>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</si>
  <si>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</si>
  <si>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</si>
  <si>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</si>
  <si>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</si>
  <si>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</si>
  <si>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</si>
  <si>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</si>
  <si>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</si>
  <si>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</si>
  <si>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</si>
  <si>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</si>
  <si>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</si>
  <si>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</si>
  <si>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</si>
  <si>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</si>
  <si>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</si>
  <si>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</si>
  <si>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</si>
  <si>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</si>
  <si>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</si>
  <si>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</si>
  <si>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</si>
  <si>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</si>
  <si>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</si>
  <si>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</si>
  <si>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</si>
  <si>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</si>
  <si>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</si>
  <si>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</si>
  <si>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</si>
  <si>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</si>
  <si>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</si>
  <si>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</si>
  <si>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</si>
  <si>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</si>
  <si>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</si>
  <si>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</si>
  <si>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</si>
  <si>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</si>
  <si>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</si>
  <si>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</si>
  <si>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</si>
  <si>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</si>
  <si>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</si>
  <si>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</si>
  <si>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</si>
  <si>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</si>
  <si>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</si>
  <si>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</si>
  <si>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</si>
  <si>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</si>
  <si>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</si>
  <si>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</si>
  <si>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</si>
  <si>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</si>
  <si>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</si>
  <si>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</si>
  <si>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</si>
  <si>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</si>
  <si>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</si>
  <si>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</si>
  <si>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</si>
  <si>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</si>
  <si>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</si>
  <si>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</si>
  <si>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</si>
  <si>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</si>
  <si>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</si>
  <si>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</si>
  <si>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</si>
  <si>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</si>
  <si>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</si>
  <si>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</si>
  <si>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</si>
  <si>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</si>
  <si>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</si>
  <si>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</si>
  <si>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</si>
  <si>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</si>
  <si>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</si>
  <si>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</si>
  <si>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</si>
  <si>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</si>
  <si>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</si>
  <si>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</si>
  <si>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</si>
  <si>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</si>
  <si>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</si>
  <si>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</si>
  <si>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</si>
  <si>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</si>
  <si>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</si>
  <si>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</si>
  <si>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</si>
  <si>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</si>
  <si>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</si>
  <si>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</si>
  <si>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</si>
  <si>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</si>
  <si>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</si>
  <si>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</si>
  <si>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</si>
  <si>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</si>
  <si>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</si>
  <si>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</si>
  <si>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</si>
  <si>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</si>
  <si>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</si>
  <si>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</si>
  <si>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</si>
  <si>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</si>
  <si>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</si>
  <si>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</si>
  <si>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</si>
  <si>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</si>
  <si>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</si>
  <si>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</si>
  <si>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</si>
  <si>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</si>
  <si>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</si>
  <si>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</si>
  <si>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</si>
  <si>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</si>
  <si>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</si>
  <si>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</si>
  <si>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</si>
  <si>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</si>
  <si>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</si>
  <si>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</si>
  <si>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</si>
  <si>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</si>
  <si>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</si>
  <si>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</si>
  <si>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</si>
  <si>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</si>
  <si>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</si>
  <si>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</si>
  <si>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</si>
  <si>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</si>
  <si>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</si>
  <si>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</si>
  <si>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</si>
  <si>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</si>
  <si>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</si>
  <si>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</si>
  <si>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</si>
  <si>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</si>
  <si>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</si>
  <si>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</si>
  <si>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</si>
  <si>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</si>
  <si>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</si>
  <si>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</si>
  <si>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</si>
  <si>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</si>
  <si>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</si>
  <si>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</si>
  <si>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</si>
  <si>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</si>
  <si>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</si>
  <si>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</si>
  <si>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</si>
  <si>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</si>
  <si>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</si>
  <si>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</si>
  <si>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</si>
  <si>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</si>
  <si>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</si>
  <si>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</si>
  <si>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</si>
  <si>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</si>
  <si>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</si>
  <si>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</si>
  <si>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</si>
  <si>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</si>
  <si>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</si>
  <si>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</si>
  <si>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</si>
  <si>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</si>
  <si>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</si>
  <si>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</si>
  <si>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</si>
  <si>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</si>
  <si>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</si>
  <si>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</si>
  <si>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</si>
  <si>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</si>
  <si>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</si>
  <si>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</si>
  <si>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</si>
  <si>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</si>
  <si>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</si>
  <si>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</si>
  <si>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</si>
  <si>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</si>
  <si>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</si>
  <si>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</si>
  <si>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</si>
  <si>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</si>
  <si>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</si>
  <si>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</si>
  <si>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</si>
  <si>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</si>
  <si>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</si>
  <si>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</si>
  <si>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</si>
  <si>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</si>
  <si>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</si>
  <si>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</si>
  <si>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</si>
  <si>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</si>
  <si>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</si>
  <si>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</si>
  <si>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</si>
  <si>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</si>
  <si>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</si>
  <si>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</si>
  <si>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</si>
  <si>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</si>
  <si>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</si>
  <si>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</si>
  <si>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</si>
  <si>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</si>
  <si>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</si>
  <si>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</si>
  <si>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</si>
  <si>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</si>
  <si>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</si>
  <si>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</si>
  <si>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</si>
  <si>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</si>
  <si>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</si>
  <si>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</si>
  <si>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</si>
  <si>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</si>
  <si>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</si>
  <si>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</si>
  <si>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</si>
  <si>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</si>
  <si>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</si>
  <si>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</si>
  <si>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</si>
  <si>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</si>
  <si>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</si>
  <si>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</si>
  <si>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</si>
  <si>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</si>
  <si>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</si>
  <si>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</si>
  <si>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</si>
  <si>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</si>
  <si>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</si>
  <si>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</si>
  <si>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</si>
  <si>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</si>
  <si>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</si>
  <si>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</si>
  <si>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</si>
  <si>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</si>
  <si>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</si>
  <si>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</si>
  <si>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</si>
  <si>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</si>
  <si>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</si>
  <si>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</si>
  <si>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</si>
  <si>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</si>
  <si>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</si>
  <si>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</si>
  <si>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</si>
  <si>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</si>
  <si>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</si>
  <si>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</si>
  <si>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</si>
  <si>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</si>
  <si>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</si>
  <si>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</si>
  <si>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</si>
  <si>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</si>
  <si>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</si>
  <si>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</si>
  <si>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</si>
  <si>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</si>
  <si>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</si>
  <si>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</si>
  <si>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</si>
  <si>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</si>
  <si>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</si>
  <si>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</si>
  <si>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</si>
  <si>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</si>
  <si>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</si>
  <si>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</si>
  <si>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</si>
  <si>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</si>
  <si>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</si>
  <si>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</si>
  <si>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</si>
  <si>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</si>
  <si>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</si>
  <si>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</si>
  <si>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</si>
  <si>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</si>
  <si>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</si>
  <si>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</si>
  <si>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</si>
  <si>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</si>
  <si>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</si>
  <si>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</si>
  <si>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</si>
  <si>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</si>
  <si>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</si>
  <si>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</si>
  <si>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</si>
  <si>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</si>
  <si>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</si>
  <si>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</si>
  <si>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</si>
  <si>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</si>
  <si>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</si>
  <si>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</si>
  <si>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</si>
  <si>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</si>
  <si>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</si>
  <si>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</si>
  <si>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</si>
  <si>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</si>
  <si>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</si>
  <si>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</si>
  <si>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</si>
  <si>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</si>
  <si>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</si>
  <si>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</si>
  <si>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</si>
  <si>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</si>
  <si>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</si>
  <si>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</si>
  <si>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</si>
  <si>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</si>
  <si>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</si>
  <si>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</si>
  <si>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</si>
  <si>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</si>
  <si>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</si>
  <si>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</si>
  <si>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</si>
  <si>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</si>
  <si>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</si>
  <si>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</si>
  <si>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</si>
  <si>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</si>
  <si>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</si>
  <si>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</si>
  <si>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</si>
  <si>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</si>
  <si>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</si>
  <si>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</si>
  <si>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</si>
  <si>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</si>
  <si>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</si>
  <si>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</si>
  <si>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</si>
  <si>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</si>
  <si>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</si>
  <si>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</si>
  <si>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</si>
  <si>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</si>
  <si>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</si>
  <si>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</si>
  <si>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</si>
  <si>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</si>
  <si>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</si>
  <si>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</si>
  <si>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</si>
  <si>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</si>
  <si>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</si>
  <si>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</si>
  <si>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</si>
  <si>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</si>
  <si>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</si>
  <si>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</si>
  <si>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</si>
  <si>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</si>
  <si>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</si>
  <si>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</si>
  <si>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</si>
  <si>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</si>
  <si>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</si>
  <si>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</si>
  <si>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</si>
  <si>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</si>
  <si>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</si>
  <si>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</si>
  <si>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</si>
  <si>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</si>
  <si>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</si>
  <si>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</si>
  <si>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</si>
  <si>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</si>
  <si>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</si>
  <si>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</si>
  <si>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</si>
  <si>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</si>
  <si>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</si>
  <si>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</si>
  <si>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</si>
  <si>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</si>
  <si>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</si>
  <si>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</si>
  <si>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</si>
  <si>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</si>
  <si>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</si>
  <si>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</si>
  <si>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</si>
  <si>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</si>
  <si>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</si>
  <si>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</si>
  <si>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</si>
  <si>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</si>
  <si>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</si>
  <si>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</si>
  <si>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</si>
  <si>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</si>
  <si>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</si>
  <si>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</si>
  <si>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</si>
  <si>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</si>
  <si>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</si>
  <si>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</si>
  <si>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</si>
  <si>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</si>
  <si>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</si>
  <si>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</si>
  <si>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</si>
  <si>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</si>
  <si>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</si>
  <si>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</si>
  <si>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</si>
  <si>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</si>
  <si>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</si>
  <si>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</si>
  <si>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</si>
  <si>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</si>
  <si>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</si>
  <si>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</si>
  <si>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</si>
  <si>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</si>
  <si>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</si>
  <si>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</si>
  <si>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</si>
  <si>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</si>
  <si>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</si>
  <si>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</si>
  <si>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</si>
  <si>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</si>
  <si>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</si>
  <si>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</si>
  <si>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</si>
  <si>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</si>
  <si>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</si>
  <si>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</si>
  <si>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</si>
  <si>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</si>
  <si>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</si>
  <si>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</si>
  <si>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</si>
  <si>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</si>
  <si>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</si>
  <si>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</si>
  <si>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</si>
  <si>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</si>
  <si>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</si>
  <si>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</si>
  <si>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</si>
  <si>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</si>
  <si>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</si>
  <si>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</si>
  <si>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</si>
  <si>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</si>
  <si>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</si>
  <si>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</si>
  <si>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</si>
  <si>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</si>
  <si>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</si>
  <si>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</si>
  <si>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</si>
  <si>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</si>
  <si>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</si>
  <si>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</si>
  <si>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</si>
  <si>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</si>
  <si>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</si>
  <si>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</si>
  <si>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</si>
  <si>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</si>
  <si>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</si>
  <si>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</si>
  <si>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</si>
  <si>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</si>
  <si>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</si>
  <si>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</si>
  <si>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</si>
  <si>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</si>
  <si>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</si>
  <si>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</si>
  <si>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</si>
  <si>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</si>
  <si>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</si>
  <si>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</si>
  <si>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</si>
  <si>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</si>
  <si>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</si>
  <si>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</si>
  <si>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</si>
  <si>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</si>
  <si>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</si>
  <si>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</si>
  <si>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</si>
  <si>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</si>
  <si>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</si>
  <si>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</si>
  <si>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</si>
  <si>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</si>
  <si>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</si>
  <si>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</si>
  <si>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</si>
  <si>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</si>
  <si>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</si>
  <si>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</si>
  <si>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</si>
  <si>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</si>
  <si>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</si>
  <si>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</si>
  <si>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</si>
  <si>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</si>
  <si>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</si>
  <si>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</si>
  <si>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</si>
  <si>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</si>
  <si>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</si>
  <si>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</si>
  <si>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</si>
  <si>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</si>
  <si>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</si>
  <si>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</si>
  <si>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</si>
  <si>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</si>
  <si>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</si>
  <si>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</si>
  <si>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</si>
  <si>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</si>
  <si>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</si>
  <si>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</si>
  <si>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</si>
  <si>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</si>
  <si>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</si>
  <si>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</si>
  <si>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</si>
  <si>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</si>
  <si>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</si>
  <si>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</si>
  <si>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</si>
  <si>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</si>
  <si>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</si>
  <si>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</si>
  <si>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</si>
  <si>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</si>
  <si>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</si>
  <si>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</si>
  <si>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</si>
  <si>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</si>
  <si>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</si>
  <si>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</si>
  <si>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</si>
  <si>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</si>
  <si>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</si>
  <si>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</si>
  <si>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</si>
  <si>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</si>
  <si>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</si>
  <si>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</si>
  <si>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</si>
  <si>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</si>
  <si>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</si>
  <si>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</si>
  <si>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</si>
  <si>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</si>
  <si>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</si>
  <si>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</si>
  <si>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</si>
  <si>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</si>
  <si>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</si>
  <si>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</si>
  <si>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</si>
  <si>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</si>
  <si>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</si>
  <si>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</si>
  <si>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</si>
  <si>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</si>
  <si>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</si>
  <si>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</si>
  <si>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</si>
  <si>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</si>
  <si>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</si>
  <si>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</si>
  <si>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</si>
  <si>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</si>
  <si>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</si>
  <si>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</si>
  <si>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</si>
  <si>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</si>
  <si>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</si>
  <si>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</si>
  <si>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</si>
  <si>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</si>
  <si>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</si>
  <si>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</si>
  <si>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</si>
  <si>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</si>
  <si>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</si>
  <si>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</si>
  <si>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</si>
  <si>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</si>
  <si>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</si>
  <si>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</si>
  <si>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</si>
  <si>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</si>
  <si>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</si>
  <si>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</si>
  <si>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</si>
  <si>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</si>
  <si>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</si>
  <si>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</si>
  <si>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</si>
  <si>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</si>
  <si>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</si>
  <si>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</si>
  <si>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</si>
  <si>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</si>
  <si>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</si>
  <si>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</si>
  <si>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</si>
  <si>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</si>
  <si>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</si>
  <si>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</si>
  <si>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</si>
  <si>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</si>
  <si>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</si>
  <si>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</si>
  <si>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</si>
  <si>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</si>
  <si>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</si>
  <si>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</si>
  <si>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</si>
  <si>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</si>
  <si>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</si>
  <si>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</si>
  <si>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</si>
  <si>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</si>
  <si>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</si>
  <si>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</si>
  <si>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</si>
  <si>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</si>
  <si>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</si>
  <si>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</si>
  <si>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</si>
  <si>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</si>
  <si>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</si>
  <si>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</si>
  <si>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</si>
  <si>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</si>
  <si>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</si>
  <si>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</si>
  <si>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</si>
  <si>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</si>
  <si>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</si>
  <si>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</si>
  <si>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</si>
  <si>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</si>
  <si>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</si>
  <si>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</si>
  <si>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</si>
  <si>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</si>
  <si>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</si>
  <si>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</si>
  <si>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</si>
  <si>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</si>
  <si>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</si>
  <si>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</si>
  <si>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</si>
  <si>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</si>
  <si>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</si>
  <si>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</si>
  <si>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</si>
  <si>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</si>
  <si>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</si>
  <si>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</si>
  <si>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</si>
  <si>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</si>
  <si>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</si>
  <si>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</si>
  <si>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</si>
  <si>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</si>
  <si>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</si>
  <si>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</si>
  <si>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</si>
  <si>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</si>
  <si>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</si>
  <si>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</si>
  <si>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</si>
  <si>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</si>
  <si>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</si>
  <si>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</si>
  <si>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</si>
  <si>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</si>
  <si>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</si>
  <si>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</si>
  <si>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</si>
  <si>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</si>
  <si>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</si>
  <si>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</si>
  <si>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</si>
  <si>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</si>
  <si>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</si>
  <si>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</si>
  <si>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</si>
  <si>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</si>
  <si>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</si>
  <si>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</si>
  <si>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</si>
  <si>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</si>
  <si>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</si>
  <si>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</si>
  <si>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</si>
  <si>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</si>
  <si>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</si>
  <si>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</si>
  <si>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</si>
  <si>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</si>
  <si>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</si>
  <si>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</si>
  <si>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</si>
  <si>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</si>
  <si>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</si>
  <si>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</si>
  <si>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</si>
  <si>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</si>
  <si>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</si>
  <si>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</si>
  <si>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</si>
  <si>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</si>
  <si>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</si>
  <si>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</si>
  <si>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</si>
  <si>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</si>
  <si>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</si>
  <si>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</si>
  <si>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</si>
  <si>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</si>
  <si>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</si>
  <si>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</si>
  <si>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</si>
  <si>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</si>
  <si>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</si>
  <si>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</si>
  <si>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</si>
  <si>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</si>
  <si>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</si>
  <si>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</si>
  <si>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</si>
  <si>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</si>
  <si>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</si>
  <si>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</si>
  <si>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</si>
  <si>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</si>
  <si>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</si>
  <si>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</si>
  <si>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</si>
  <si>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</si>
  <si>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</si>
  <si>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</si>
  <si>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</si>
  <si>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</si>
  <si>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</si>
  <si>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</si>
  <si>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</si>
  <si>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</si>
  <si>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</si>
  <si>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</si>
  <si>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</si>
  <si>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</si>
  <si>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</si>
  <si>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</si>
  <si>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</si>
  <si>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</si>
  <si>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</si>
  <si>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</si>
  <si>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</si>
  <si>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</si>
  <si>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</si>
  <si>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</si>
  <si>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</si>
  <si>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</si>
  <si>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</si>
  <si>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</si>
  <si>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</si>
  <si>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</si>
  <si>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</si>
  <si>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</si>
  <si>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</si>
  <si>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</si>
  <si>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</si>
  <si>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</si>
  <si>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</si>
  <si>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</si>
  <si>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</si>
  <si>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</si>
  <si>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</si>
  <si>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</si>
  <si>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</si>
  <si>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</si>
  <si>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</si>
  <si>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</si>
  <si>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</si>
  <si>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</si>
  <si>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</si>
  <si>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</si>
  <si>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</si>
  <si>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</si>
  <si>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</si>
  <si>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</si>
  <si>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</si>
  <si>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</si>
  <si>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</si>
  <si>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</si>
  <si>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</si>
  <si>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</si>
  <si>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</si>
  <si>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</si>
  <si>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</si>
  <si>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</si>
  <si>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</si>
  <si>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</si>
  <si>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</si>
  <si>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</si>
  <si>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</si>
  <si>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</si>
  <si>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</si>
  <si>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</si>
  <si>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</si>
  <si>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</si>
  <si>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</si>
  <si>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</si>
  <si>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</si>
  <si>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</si>
  <si>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</si>
  <si>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</si>
  <si>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</si>
  <si>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</si>
  <si>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</si>
  <si>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</si>
  <si>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</si>
  <si>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</si>
  <si>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</si>
  <si>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</si>
  <si>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</si>
  <si>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</si>
  <si>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</si>
  <si>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</si>
  <si>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</si>
  <si>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</si>
  <si>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</si>
  <si>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</si>
  <si>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</si>
  <si>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</si>
  <si>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</si>
  <si>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</si>
  <si>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</si>
  <si>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</si>
  <si>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</si>
  <si>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</si>
  <si>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</si>
  <si>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</si>
  <si>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</si>
  <si>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</si>
  <si>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</si>
  <si>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</si>
  <si>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</si>
  <si>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</si>
  <si>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</si>
  <si>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</si>
  <si>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</si>
  <si>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</si>
  <si>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</si>
  <si>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</si>
  <si>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</si>
  <si>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</si>
  <si>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</si>
  <si>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</si>
  <si>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</si>
  <si>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</si>
  <si>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</si>
  <si>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</si>
  <si>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</si>
  <si>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</si>
  <si>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</si>
  <si>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</si>
  <si>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</si>
  <si>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</si>
  <si>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</si>
  <si>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</si>
  <si>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</si>
  <si>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</si>
  <si>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</si>
  <si>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</si>
  <si>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</si>
  <si>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</si>
  <si>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</si>
  <si>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</si>
  <si>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</si>
  <si>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</si>
  <si>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</si>
  <si>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</si>
  <si>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</si>
  <si>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</si>
  <si>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</si>
  <si>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</si>
  <si>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</si>
  <si>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</si>
  <si>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</si>
  <si>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</si>
  <si>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</si>
  <si>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</si>
  <si>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</si>
  <si>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</si>
  <si>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</si>
  <si>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</si>
  <si>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</si>
  <si>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</si>
  <si>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</si>
  <si>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</si>
  <si>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</si>
  <si>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</si>
  <si>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</si>
  <si>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</si>
  <si>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</si>
  <si>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</si>
  <si>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</si>
  <si>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</si>
  <si>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</si>
  <si>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</si>
  <si>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</si>
  <si>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</si>
  <si>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</si>
  <si>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</si>
  <si>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</si>
  <si>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</si>
  <si>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</si>
  <si>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</si>
  <si>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</si>
  <si>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</si>
  <si>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</si>
  <si>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</si>
  <si>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</si>
  <si>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</si>
  <si>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</si>
  <si>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</si>
  <si>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</si>
  <si>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</si>
  <si>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</si>
  <si>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</si>
  <si>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</si>
  <si>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</si>
  <si>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</si>
  <si>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</si>
  <si>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</si>
  <si>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</si>
  <si>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</si>
  <si>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</si>
  <si>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</si>
  <si>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</si>
  <si>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</si>
  <si>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</si>
  <si>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</si>
  <si>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</si>
  <si>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</si>
  <si>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</si>
  <si>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</si>
  <si>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</si>
  <si>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</si>
  <si>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</si>
  <si>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</si>
  <si>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</si>
  <si>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</si>
  <si>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</si>
  <si>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</si>
  <si>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</si>
  <si>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</si>
  <si>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</si>
  <si>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</si>
  <si>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</si>
  <si>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</si>
  <si>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</si>
  <si>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</si>
  <si>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</si>
  <si>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</si>
  <si>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</si>
  <si>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</si>
  <si>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</si>
  <si>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</si>
  <si>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</si>
  <si>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</si>
  <si>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</si>
  <si>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</si>
  <si>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</si>
  <si>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</si>
  <si>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</si>
  <si>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</si>
  <si>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</si>
  <si>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</si>
  <si>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</si>
  <si>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</si>
  <si>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</si>
  <si>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</si>
  <si>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</si>
  <si>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</si>
  <si>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</si>
  <si>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</si>
  <si>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</si>
  <si>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</si>
  <si>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</si>
  <si>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</si>
  <si>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</si>
  <si>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</si>
  <si>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</si>
  <si>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</si>
  <si>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</si>
  <si>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</si>
  <si>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</si>
  <si>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</si>
  <si>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</si>
  <si>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</si>
  <si>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</si>
  <si>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</si>
  <si>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</si>
  <si>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</si>
  <si>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</si>
  <si>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</si>
  <si>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</si>
  <si>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</si>
  <si>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</si>
  <si>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</si>
  <si>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</si>
  <si>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</si>
  <si>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</si>
  <si>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</si>
  <si>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</si>
  <si>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</si>
  <si>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</si>
  <si>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</si>
  <si>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</si>
  <si>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</si>
  <si>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</si>
  <si>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</si>
  <si>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</si>
  <si>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</si>
  <si>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</si>
  <si>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</si>
  <si>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</si>
  <si>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</si>
  <si>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</si>
  <si>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</si>
  <si>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</si>
  <si>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</si>
  <si>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</si>
  <si>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</si>
  <si>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</si>
  <si>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</si>
  <si>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</si>
  <si>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</si>
  <si>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</si>
  <si>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</si>
  <si>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</si>
  <si>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</si>
  <si>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</si>
  <si>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</si>
  <si>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</si>
  <si>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</si>
  <si>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</si>
  <si>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</si>
  <si>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</si>
  <si>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</si>
  <si>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</si>
  <si>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</si>
  <si>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</si>
  <si>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</si>
  <si>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</si>
  <si>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</si>
  <si>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</si>
  <si>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</si>
  <si>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</si>
  <si>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</si>
  <si>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</si>
  <si>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</si>
  <si>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</si>
  <si>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</si>
  <si>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</si>
  <si>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</si>
  <si>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</si>
  <si>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</si>
  <si>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</si>
  <si>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</si>
  <si>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</si>
  <si>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</si>
  <si>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</si>
  <si>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</si>
  <si>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</si>
  <si>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</si>
  <si>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</si>
  <si>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</si>
  <si>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</si>
  <si>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</si>
  <si>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</si>
  <si>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</si>
  <si>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</si>
  <si>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</si>
  <si>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</si>
  <si>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</si>
  <si>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</si>
  <si>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</si>
  <si>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</si>
  <si>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</si>
  <si>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</si>
  <si>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</si>
  <si>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</si>
  <si>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</si>
  <si>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</si>
  <si>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</si>
  <si>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</si>
  <si>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</si>
  <si>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</si>
  <si>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</si>
  <si>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</si>
  <si>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</si>
  <si>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</si>
  <si>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</si>
  <si>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</si>
  <si>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</si>
  <si>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</si>
  <si>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</si>
  <si>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</si>
  <si>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</si>
  <si>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</si>
  <si>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</si>
  <si>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</si>
  <si>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</si>
  <si>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</si>
  <si>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</si>
  <si>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</si>
  <si>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</si>
  <si>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</si>
  <si>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</si>
  <si>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</si>
  <si>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</si>
  <si>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</si>
  <si>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</si>
  <si>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</si>
  <si>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</si>
  <si>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</si>
  <si>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</si>
  <si>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</si>
  <si>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</si>
  <si>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</si>
  <si>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</si>
  <si>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</si>
  <si>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</si>
  <si>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</si>
  <si>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</si>
  <si>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</si>
  <si>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</si>
  <si>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</si>
  <si>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</si>
  <si>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</si>
  <si>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</si>
  <si>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</si>
  <si>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</si>
  <si>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</si>
  <si>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</si>
  <si>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</si>
  <si>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</si>
  <si>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</si>
  <si>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</si>
  <si>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</si>
  <si>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</si>
  <si>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</si>
  <si>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</si>
  <si>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</si>
  <si>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</si>
  <si>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</si>
  <si>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</si>
  <si>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</si>
  <si>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</si>
  <si>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</si>
  <si>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</si>
  <si>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</si>
  <si>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</si>
  <si>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</si>
  <si>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</si>
  <si>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</si>
  <si>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</si>
  <si>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</si>
  <si>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</si>
  <si>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</si>
  <si>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</si>
  <si>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</si>
  <si>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</si>
  <si>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</si>
  <si>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</si>
  <si>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</si>
  <si>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</si>
  <si>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</si>
  <si>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</si>
  <si>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</si>
  <si>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</si>
  <si>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</si>
  <si>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</si>
  <si>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</si>
  <si>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</si>
  <si>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</si>
  <si>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</si>
  <si>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</si>
  <si>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</si>
  <si>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</si>
  <si>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</si>
  <si>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</si>
  <si>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</si>
  <si>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</si>
  <si>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</si>
  <si>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</si>
  <si>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</si>
  <si>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</si>
  <si>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</si>
  <si>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</si>
  <si>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</si>
  <si>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</si>
  <si>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</si>
  <si>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</si>
  <si>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</si>
  <si>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</si>
  <si>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</si>
  <si>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</si>
  <si>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</si>
  <si>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</si>
  <si>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</si>
  <si>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</si>
  <si>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</si>
  <si>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</si>
  <si>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</si>
  <si>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</si>
  <si>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</si>
  <si>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</si>
  <si>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</si>
  <si>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</si>
  <si>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</si>
  <si>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</si>
  <si>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</si>
  <si>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</si>
  <si>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</si>
  <si>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</si>
  <si>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</si>
  <si>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</si>
  <si>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</si>
  <si>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</si>
  <si>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</si>
  <si>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</si>
  <si>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</si>
  <si>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</si>
  <si>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</si>
  <si>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</si>
  <si>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</si>
  <si>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</si>
  <si>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</si>
  <si>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</si>
  <si>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</si>
  <si>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</si>
  <si>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</si>
  <si>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</si>
  <si>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</si>
  <si>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</si>
  <si>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</si>
  <si>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</si>
  <si>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</si>
  <si>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</si>
  <si>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</si>
  <si>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</si>
  <si>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</si>
  <si>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</si>
  <si>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</si>
  <si>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</si>
  <si>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</si>
  <si>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</si>
  <si>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</si>
  <si>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</si>
  <si>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</si>
  <si>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</si>
  <si>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</si>
  <si>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</si>
  <si>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</si>
  <si>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</si>
  <si>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</si>
  <si>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</si>
  <si>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</si>
  <si>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</si>
  <si>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</si>
  <si>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</si>
  <si>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</si>
  <si>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</si>
  <si>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</si>
  <si>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</si>
  <si>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</si>
  <si>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</si>
  <si>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</si>
  <si>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</si>
  <si>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</si>
  <si>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</si>
  <si>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</si>
  <si>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</si>
  <si>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</si>
  <si>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</si>
  <si>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</si>
  <si>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</si>
  <si>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</si>
  <si>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</si>
  <si>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</si>
  <si>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</si>
  <si>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</si>
  <si>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</si>
  <si>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</si>
  <si>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</si>
  <si>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</si>
  <si>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</si>
  <si>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</si>
  <si>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</si>
  <si>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</si>
  <si>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</si>
  <si>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</si>
  <si>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</si>
  <si>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</si>
  <si>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</si>
  <si>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</si>
  <si>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</si>
  <si>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</si>
  <si>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</si>
  <si>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</si>
  <si>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</si>
  <si>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</si>
  <si>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</si>
  <si>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</si>
  <si>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</si>
  <si>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</si>
  <si>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</si>
  <si>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</si>
  <si>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</si>
  <si>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</si>
  <si>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</si>
  <si>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</si>
  <si>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</si>
  <si>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</si>
  <si>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</si>
  <si>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</si>
  <si>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</si>
  <si>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</si>
  <si>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</si>
  <si>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</si>
  <si>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</si>
  <si>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</si>
  <si>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</si>
  <si>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</si>
  <si>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</si>
  <si>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</si>
  <si>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</si>
  <si>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</si>
  <si>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</si>
  <si>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</si>
  <si>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</si>
  <si>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</si>
  <si>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</si>
  <si>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</si>
  <si>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</si>
  <si>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</si>
  <si>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</si>
  <si>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</si>
  <si>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</si>
  <si>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</si>
  <si>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</si>
  <si>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</si>
  <si>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</si>
  <si>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</si>
  <si>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</si>
  <si>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</si>
  <si>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</si>
  <si>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</si>
  <si>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</si>
  <si>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</si>
  <si>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</si>
  <si>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</si>
  <si>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</si>
  <si>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</si>
  <si>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</si>
  <si>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</si>
  <si>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</si>
  <si>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</si>
  <si>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</si>
  <si>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</si>
  <si>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</si>
  <si>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</si>
  <si>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</si>
  <si>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</si>
  <si>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</si>
  <si>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</si>
  <si>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</si>
  <si>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</si>
  <si>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</si>
  <si>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</si>
  <si>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</si>
  <si>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</si>
  <si>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</si>
  <si>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</si>
  <si>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</si>
  <si>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</si>
  <si>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</si>
  <si>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</si>
  <si>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</si>
  <si>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</si>
  <si>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</si>
  <si>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</si>
  <si>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</si>
  <si>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</si>
  <si>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</si>
  <si>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</si>
  <si>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</si>
  <si>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</si>
  <si>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</si>
  <si>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</si>
  <si>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</si>
  <si>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</si>
  <si>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</si>
  <si>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</si>
  <si>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</si>
  <si>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</si>
  <si>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</si>
  <si>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</si>
  <si>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</si>
  <si>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</si>
  <si>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</si>
  <si>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</si>
  <si>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</si>
  <si>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</si>
  <si>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</si>
  <si>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</si>
  <si>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</si>
  <si>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</si>
  <si>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</si>
  <si>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</si>
  <si>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</si>
  <si>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</si>
  <si>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</si>
  <si>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</si>
  <si>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</si>
  <si>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</si>
  <si>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</si>
  <si>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</si>
  <si>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</si>
  <si>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</si>
  <si>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</si>
  <si>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</si>
  <si>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</si>
  <si>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</si>
  <si>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</si>
  <si>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</si>
  <si>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</si>
  <si>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</si>
  <si>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</si>
  <si>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</si>
  <si>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</si>
  <si>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</si>
  <si>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</si>
  <si>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</si>
  <si>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</si>
  <si>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</si>
  <si>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</si>
  <si>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</si>
  <si>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</si>
  <si>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</si>
  <si>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</si>
  <si>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</si>
  <si>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</si>
  <si>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</si>
  <si>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</si>
  <si>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</si>
  <si>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</si>
  <si>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</si>
  <si>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</si>
  <si>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</si>
  <si>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</si>
  <si>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</si>
  <si>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</si>
  <si>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</si>
  <si>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</si>
  <si>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</si>
  <si>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</si>
  <si>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</si>
  <si>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</si>
  <si>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</si>
  <si>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</si>
  <si>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</si>
  <si>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</si>
  <si>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</si>
  <si>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</si>
  <si>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</si>
  <si>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</si>
  <si>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</si>
  <si>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</si>
  <si>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</si>
  <si>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</si>
  <si>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</si>
  <si>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</si>
  <si>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</si>
  <si>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</si>
  <si>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</si>
  <si>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</si>
  <si>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</si>
  <si>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</si>
  <si>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</si>
  <si>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</si>
  <si>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</si>
  <si>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</si>
  <si>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</si>
  <si>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</si>
  <si>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</si>
  <si>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</si>
  <si>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</si>
  <si>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</si>
  <si>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</si>
  <si>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</si>
  <si>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</si>
  <si>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</si>
  <si>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</si>
  <si>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</si>
  <si>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</si>
  <si>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</si>
  <si>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</si>
  <si>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</si>
  <si>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</si>
  <si>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</si>
  <si>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</si>
  <si>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</si>
  <si>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</si>
  <si>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</si>
  <si>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</si>
  <si>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</si>
  <si>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</si>
  <si>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</si>
  <si>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</si>
  <si>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</si>
  <si>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</si>
  <si>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</si>
  <si>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</si>
  <si>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</si>
  <si>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</si>
  <si>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</si>
  <si>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</si>
  <si>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</si>
  <si>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</si>
  <si>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</si>
  <si>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</si>
  <si>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</si>
  <si>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</si>
  <si>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</si>
  <si>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</si>
  <si>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</si>
  <si>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</si>
  <si>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</si>
  <si>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</si>
  <si>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</si>
  <si>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</si>
  <si>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</si>
  <si>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</si>
  <si>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</si>
  <si>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</si>
  <si>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</si>
  <si>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</si>
  <si>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</si>
  <si>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</si>
  <si>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</si>
  <si>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</si>
  <si>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</si>
  <si>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</si>
  <si>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</si>
  <si>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</si>
  <si>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</si>
  <si>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</si>
  <si>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</si>
  <si>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</si>
  <si>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</si>
  <si>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</si>
  <si>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</si>
  <si>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</si>
  <si>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</si>
  <si>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</si>
  <si>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</si>
  <si>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</si>
  <si>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</si>
  <si>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</si>
  <si>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</si>
  <si>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</si>
  <si>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</si>
  <si>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</si>
  <si>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</si>
  <si>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</si>
  <si>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</si>
  <si>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</si>
  <si>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</si>
  <si>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</si>
  <si>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</si>
  <si>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</si>
  <si>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</si>
  <si>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</si>
  <si>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</si>
  <si>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</si>
  <si>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</si>
  <si>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</si>
  <si>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</si>
  <si>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</si>
  <si>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</si>
  <si>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</si>
  <si>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</si>
  <si>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</si>
  <si>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</si>
  <si>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</si>
  <si>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</si>
  <si>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</si>
  <si>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</si>
  <si>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</si>
  <si>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</si>
  <si>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</si>
  <si>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</si>
  <si>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</si>
  <si>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</si>
  <si>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</si>
  <si>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</si>
  <si>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</si>
  <si>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</si>
  <si>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</si>
  <si>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</si>
  <si>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</si>
  <si>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</si>
  <si>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</si>
  <si>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</si>
  <si>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</si>
  <si>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</si>
  <si>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</si>
  <si>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</si>
  <si>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</si>
  <si>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</si>
  <si>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</si>
  <si>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</si>
  <si>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</si>
  <si>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</si>
  <si>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</si>
  <si>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</si>
  <si>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</si>
  <si>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</si>
  <si>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</si>
  <si>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</si>
  <si>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</si>
  <si>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</si>
  <si>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</si>
  <si>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</si>
  <si>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</si>
  <si>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</si>
  <si>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</si>
  <si>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</si>
  <si>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</si>
  <si>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</si>
  <si>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</si>
  <si>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</si>
  <si>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</si>
  <si>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</si>
  <si>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</si>
  <si>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</si>
  <si>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</si>
  <si>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</si>
  <si>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</si>
  <si>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</si>
  <si>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</si>
  <si>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</si>
  <si>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</si>
  <si>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</si>
  <si>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</si>
  <si>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</si>
  <si>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</si>
  <si>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</si>
  <si>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</si>
  <si>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</si>
  <si>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</si>
  <si>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</si>
  <si>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</si>
  <si>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</si>
  <si>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</si>
  <si>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</si>
  <si>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</si>
  <si>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</si>
  <si>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</si>
  <si>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</si>
  <si>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</si>
  <si>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</si>
  <si>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</si>
  <si>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</si>
  <si>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</si>
  <si>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</si>
  <si>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</si>
  <si>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</si>
  <si>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</si>
  <si>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</si>
  <si>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</si>
  <si>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</si>
  <si>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</si>
  <si>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</si>
  <si>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</si>
  <si>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</si>
  <si>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</si>
  <si>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</si>
  <si>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</si>
  <si>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</si>
  <si>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</si>
  <si>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</si>
  <si>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</si>
  <si>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</si>
  <si>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</si>
  <si>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</si>
  <si>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</si>
  <si>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</si>
  <si>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</si>
  <si>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</si>
  <si>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</si>
  <si>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</si>
  <si>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</si>
  <si>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</si>
  <si>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</si>
  <si>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</si>
  <si>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</si>
  <si>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</si>
  <si>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</si>
  <si>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</si>
  <si>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</si>
  <si>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</si>
  <si>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</si>
  <si>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</si>
  <si>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</si>
  <si>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</si>
  <si>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</si>
  <si>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</si>
  <si>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</si>
  <si>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</si>
  <si>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</si>
  <si>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</si>
  <si>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</si>
  <si>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</si>
  <si>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</si>
  <si>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</si>
  <si>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</si>
  <si>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</si>
  <si>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</si>
  <si>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</si>
  <si>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</si>
  <si>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</si>
  <si>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</si>
  <si>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</si>
  <si>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</si>
  <si>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</si>
  <si>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</si>
  <si>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</si>
  <si>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</si>
  <si>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</si>
  <si>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</si>
  <si>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</si>
  <si>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</si>
  <si>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</si>
  <si>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</si>
  <si>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</si>
  <si>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</si>
  <si>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</si>
  <si>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</si>
  <si>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</si>
  <si>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</si>
  <si>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</si>
  <si>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</si>
  <si>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</si>
  <si>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</si>
  <si>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</si>
  <si>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</si>
  <si>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</si>
  <si>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</si>
  <si>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</si>
  <si>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</si>
  <si>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</si>
  <si>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</si>
  <si>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</si>
  <si>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</si>
  <si>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</si>
  <si>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</si>
  <si>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</si>
  <si>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</si>
  <si>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</si>
  <si>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</si>
  <si>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</si>
  <si>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</si>
  <si>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</si>
  <si>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</si>
  <si>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</si>
  <si>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</si>
  <si>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</si>
  <si>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</si>
  <si>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</si>
  <si>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</si>
  <si>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</si>
  <si>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</si>
  <si>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</si>
  <si>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</si>
  <si>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</si>
  <si>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</si>
  <si>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</si>
  <si>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</si>
  <si>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</si>
  <si>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</si>
  <si>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</si>
  <si>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</si>
  <si>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</si>
  <si>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</si>
  <si>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</si>
  <si>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</si>
  <si>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</si>
  <si>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</si>
  <si>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</si>
  <si>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</si>
  <si>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</si>
  <si>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</si>
  <si>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</si>
  <si>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</si>
  <si>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</si>
  <si>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</si>
  <si>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</si>
  <si>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</si>
  <si>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</si>
  <si>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</si>
  <si>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</si>
  <si>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</si>
  <si>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</si>
  <si>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</si>
  <si>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</si>
  <si>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</si>
  <si>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</si>
  <si>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</si>
  <si>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</si>
  <si>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</si>
  <si>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</si>
  <si>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</si>
  <si>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</si>
  <si>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</si>
  <si>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</si>
  <si>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</si>
  <si>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</si>
  <si>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</si>
  <si>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</si>
  <si>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</si>
  <si>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</si>
  <si>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</si>
  <si>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</si>
  <si>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</si>
  <si>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</si>
  <si>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</si>
  <si>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</si>
  <si>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</si>
  <si>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</si>
  <si>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</si>
  <si>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</si>
  <si>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</si>
  <si>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</si>
  <si>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</si>
  <si>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</si>
  <si>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</si>
  <si>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</si>
  <si>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</si>
  <si>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</si>
  <si>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</si>
  <si>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</si>
  <si>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</si>
  <si>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</si>
  <si>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</si>
  <si>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</si>
  <si>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</si>
  <si>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</si>
  <si>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</si>
  <si>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</si>
  <si>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</si>
  <si>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</si>
  <si>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</si>
  <si>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</si>
  <si>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</si>
  <si>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</si>
  <si>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</si>
  <si>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</si>
  <si>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</si>
  <si>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</si>
  <si>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</si>
  <si>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</si>
  <si>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</si>
  <si>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</si>
  <si>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</si>
  <si>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</si>
  <si>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</si>
  <si>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</si>
  <si>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</si>
  <si>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</si>
  <si>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</si>
  <si>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</si>
  <si>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</si>
  <si>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</si>
  <si>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</si>
  <si>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</si>
  <si>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</si>
  <si>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</si>
  <si>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</si>
  <si>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</si>
  <si>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</si>
  <si>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</si>
  <si>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</si>
  <si>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</si>
  <si>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</si>
  <si>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</si>
  <si>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</si>
  <si>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</si>
  <si>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</si>
  <si>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</si>
  <si>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</si>
  <si>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</si>
  <si>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</si>
  <si>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</si>
  <si>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</si>
  <si>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</si>
  <si>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</si>
  <si>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</si>
  <si>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</si>
  <si>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</si>
  <si>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</si>
  <si>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</si>
  <si>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</si>
  <si>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</si>
  <si>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</si>
  <si>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</si>
  <si>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</si>
  <si>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</si>
  <si>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</si>
  <si>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</si>
  <si>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</si>
  <si>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</si>
  <si>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</si>
  <si>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</si>
  <si>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</si>
  <si>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</si>
  <si>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</si>
  <si>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</si>
  <si>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</si>
  <si>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</si>
  <si>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</si>
  <si>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</si>
  <si>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</si>
  <si>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</si>
  <si>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</si>
  <si>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</si>
  <si>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</si>
  <si>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</si>
  <si>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</si>
  <si>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</si>
  <si>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</si>
  <si>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</si>
  <si>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</si>
  <si>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</si>
  <si>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</si>
  <si>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</si>
  <si>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</si>
  <si>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</si>
  <si>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</si>
  <si>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</si>
  <si>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</si>
  <si>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</si>
  <si>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</si>
  <si>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</si>
  <si>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</si>
  <si>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</si>
  <si>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</si>
  <si>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</si>
  <si>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</si>
  <si>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</si>
  <si>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</si>
  <si>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</si>
  <si>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</si>
  <si>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</si>
  <si>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</si>
  <si>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</si>
  <si>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</si>
  <si>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</si>
  <si>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</si>
  <si>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</si>
  <si>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</si>
  <si>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</si>
  <si>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</si>
  <si>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</si>
  <si>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</si>
  <si>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</si>
  <si>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</si>
  <si>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</si>
  <si>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</si>
  <si>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</si>
  <si>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</si>
  <si>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</si>
  <si>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</si>
  <si>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</si>
  <si>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</si>
  <si>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</si>
  <si>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</si>
  <si>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</si>
  <si>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</si>
  <si>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</si>
  <si>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</si>
  <si>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</si>
  <si>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</si>
  <si>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</si>
  <si>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</si>
  <si>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</si>
  <si>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</si>
  <si>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</si>
  <si>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</si>
  <si>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</si>
  <si>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</si>
  <si>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</si>
  <si>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</si>
  <si>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</si>
  <si>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</si>
  <si>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</si>
  <si>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</si>
  <si>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</si>
  <si>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</si>
  <si>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</si>
  <si>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</si>
  <si>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</si>
  <si>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</si>
  <si>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</si>
  <si>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</si>
  <si>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</si>
  <si>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</si>
  <si>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</si>
  <si>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</si>
  <si>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</si>
  <si>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</si>
  <si>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</si>
  <si>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</si>
  <si>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</si>
  <si>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</si>
  <si>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</si>
  <si>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</si>
  <si>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</si>
  <si>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</si>
  <si>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</si>
  <si>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</si>
  <si>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</si>
  <si>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</si>
  <si>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</si>
  <si>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</si>
  <si>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</si>
  <si>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</si>
  <si>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</si>
  <si>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</si>
  <si>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</si>
  <si>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</si>
  <si>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</si>
  <si>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</si>
  <si>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</si>
  <si>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</si>
  <si>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</si>
  <si>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</si>
  <si>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</si>
  <si>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</si>
  <si>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</si>
  <si>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</si>
  <si>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</si>
  <si>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</si>
  <si>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</si>
  <si>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</si>
  <si>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</si>
  <si>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</si>
  <si>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</si>
  <si>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</si>
  <si>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</si>
  <si>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</si>
  <si>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</si>
  <si>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</si>
  <si>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</si>
  <si>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</si>
  <si>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</si>
  <si>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</si>
  <si>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</si>
  <si>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</si>
  <si>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</si>
  <si>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</si>
  <si>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</si>
  <si>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</si>
  <si>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</si>
  <si>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</si>
  <si>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</si>
  <si>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</si>
  <si>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</si>
  <si>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</si>
  <si>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</si>
  <si>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</si>
  <si>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</si>
  <si>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</si>
  <si>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</si>
  <si>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</si>
  <si>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</si>
  <si>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</si>
  <si>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</si>
  <si>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</si>
  <si>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</si>
  <si>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</si>
  <si>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</si>
  <si>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</si>
  <si>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</si>
  <si>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</si>
  <si>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</si>
  <si>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</si>
  <si>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</si>
  <si>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</si>
  <si>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</si>
  <si>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</si>
  <si>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</si>
  <si>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</si>
  <si>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</si>
  <si>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</si>
  <si>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</si>
  <si>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</si>
  <si>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</si>
  <si>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</si>
  <si>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</si>
  <si>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</si>
  <si>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</si>
  <si>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</si>
  <si>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</si>
  <si>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</si>
  <si>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</si>
  <si>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</si>
  <si>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</si>
  <si>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</si>
  <si>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</si>
  <si>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</si>
  <si>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</si>
  <si>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</si>
  <si>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</si>
  <si>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</si>
  <si>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</si>
  <si>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</si>
  <si>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</si>
  <si>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</si>
  <si>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</si>
  <si>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</si>
  <si>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</si>
  <si>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</si>
  <si>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</si>
  <si>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</si>
  <si>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</si>
  <si>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</si>
  <si>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</si>
  <si>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</si>
  <si>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</si>
  <si>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</si>
  <si>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</si>
  <si>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</si>
  <si>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</si>
  <si>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</si>
  <si>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</si>
  <si>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</si>
  <si>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</si>
  <si>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</si>
  <si>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</si>
  <si>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</si>
  <si>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</si>
  <si>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</si>
  <si>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</si>
  <si>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</si>
  <si>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</si>
  <si>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</si>
  <si>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</si>
  <si>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</si>
  <si>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</si>
  <si>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</si>
  <si>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</si>
  <si>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</si>
  <si>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</si>
  <si>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</si>
  <si>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</si>
  <si>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</si>
  <si>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</si>
  <si>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</si>
  <si>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</si>
  <si>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</si>
  <si>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</si>
  <si>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</si>
  <si>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</si>
  <si>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</si>
  <si>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</si>
  <si>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</si>
  <si>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</si>
  <si>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</si>
  <si>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</si>
  <si>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</si>
  <si>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</si>
  <si>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</si>
  <si>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</si>
  <si>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</si>
  <si>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</si>
  <si>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</si>
  <si>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</si>
  <si>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</si>
  <si>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</si>
  <si>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</si>
  <si>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</si>
  <si>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</si>
  <si>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</si>
  <si>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</si>
  <si>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</si>
  <si>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</si>
  <si>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</si>
  <si>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</si>
  <si>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</si>
  <si>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</si>
  <si>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</si>
  <si>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</si>
  <si>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</si>
  <si>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</si>
  <si>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</si>
  <si>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</si>
  <si>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</si>
  <si>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</si>
  <si>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</si>
  <si>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</si>
  <si>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</si>
  <si>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</si>
  <si>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</si>
  <si>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</si>
  <si>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</si>
  <si>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</si>
  <si>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</si>
  <si>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</si>
  <si>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</si>
  <si>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</si>
  <si>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</si>
  <si>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</si>
  <si>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</si>
  <si>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</si>
  <si>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</si>
  <si>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</si>
  <si>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</si>
  <si>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</si>
  <si>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</si>
  <si>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</si>
  <si>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</si>
  <si>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</si>
  <si>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</si>
  <si>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</si>
  <si>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</si>
  <si>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</si>
  <si>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</si>
  <si>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</si>
  <si>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</si>
  <si>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</si>
  <si>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</si>
  <si>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</si>
  <si>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</si>
  <si>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</si>
  <si>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</si>
  <si>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</si>
  <si>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</si>
  <si>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</si>
  <si>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</si>
  <si>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</si>
  <si>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</si>
  <si>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</si>
  <si>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</si>
  <si>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</si>
  <si>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</si>
  <si>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</si>
  <si>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</si>
  <si>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</si>
  <si>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</si>
  <si>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</si>
  <si>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</si>
  <si>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</si>
  <si>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</si>
  <si>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</si>
  <si>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</si>
  <si>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</si>
  <si>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</si>
  <si>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</si>
  <si>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</si>
  <si>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</si>
  <si>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</si>
  <si>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</si>
  <si>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</si>
  <si>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</si>
  <si>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</si>
  <si>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</si>
  <si>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</si>
  <si>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</si>
  <si>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</si>
  <si>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</si>
  <si>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</si>
  <si>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</si>
  <si>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</si>
  <si>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</si>
  <si>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</si>
  <si>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</si>
  <si>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</si>
  <si>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</si>
  <si>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</si>
  <si>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</si>
  <si>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</si>
  <si>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</si>
  <si>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</si>
  <si>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</si>
  <si>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</si>
  <si>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</si>
  <si>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</si>
  <si>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</si>
  <si>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</si>
  <si>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</si>
  <si>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</si>
  <si>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</si>
  <si>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</si>
  <si>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</si>
  <si>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</si>
  <si>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</si>
  <si>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</si>
  <si>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</si>
  <si>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</si>
  <si>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</si>
  <si>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</si>
  <si>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</si>
  <si>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</si>
  <si>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</si>
  <si>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</si>
  <si>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</si>
  <si>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</si>
  <si>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</si>
  <si>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</si>
  <si>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</si>
  <si>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</si>
  <si>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</si>
  <si>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</si>
  <si>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</si>
  <si>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</si>
  <si>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</si>
  <si>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</si>
  <si>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</si>
  <si>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</si>
  <si>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</si>
  <si>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</si>
  <si>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</si>
  <si>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</si>
  <si>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</si>
  <si>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</si>
  <si>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</si>
  <si>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</si>
  <si>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</si>
  <si>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</si>
  <si>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</si>
  <si>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</si>
  <si>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</si>
  <si>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</si>
  <si>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</si>
  <si>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</si>
  <si>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</si>
  <si>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</si>
  <si>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</si>
  <si>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</si>
  <si>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</si>
  <si>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</si>
  <si>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</si>
  <si>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</si>
  <si>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</si>
  <si>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</si>
  <si>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</si>
  <si>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</si>
  <si>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</si>
  <si>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</si>
  <si>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</si>
  <si>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</si>
  <si>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</si>
  <si>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</si>
  <si>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</si>
  <si>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</si>
  <si>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</si>
  <si>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</si>
  <si>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</si>
  <si>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</si>
  <si>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</si>
  <si>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</si>
  <si>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</si>
  <si>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</si>
  <si>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</si>
  <si>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</si>
  <si>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</si>
  <si>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</si>
  <si>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</si>
  <si>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</si>
  <si>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</si>
  <si>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</si>
  <si>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</si>
  <si>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</si>
  <si>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</si>
  <si>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</si>
  <si>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</si>
  <si>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</si>
  <si>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</si>
  <si>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</si>
  <si>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</si>
  <si>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</si>
  <si>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</si>
  <si>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</si>
  <si>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</si>
  <si>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</si>
  <si>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</si>
  <si>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</si>
  <si>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</si>
  <si>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</si>
  <si>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</si>
  <si>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</si>
  <si>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</si>
  <si>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</si>
  <si>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</si>
  <si>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</si>
  <si>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</si>
  <si>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</si>
  <si>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</si>
  <si>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</si>
  <si>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</si>
  <si>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</si>
  <si>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</si>
  <si>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</si>
  <si>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</si>
  <si>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</si>
  <si>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</si>
  <si>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</si>
  <si>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</si>
  <si>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</si>
  <si>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</si>
  <si>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</si>
  <si>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</si>
  <si>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</si>
  <si>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</si>
  <si>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</si>
  <si>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</si>
  <si>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</si>
  <si>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</si>
  <si>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</si>
  <si>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</si>
  <si>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</si>
  <si>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</si>
  <si>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</si>
  <si>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</si>
  <si>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</si>
  <si>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</si>
  <si>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</si>
  <si>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</si>
  <si>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</si>
  <si>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</si>
  <si>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</si>
  <si>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</si>
  <si>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</si>
  <si>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</si>
  <si>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</si>
  <si>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</si>
  <si>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</si>
  <si>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</si>
  <si>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</si>
  <si>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</si>
  <si>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</si>
  <si>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</si>
  <si>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</si>
  <si>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</si>
  <si>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</si>
  <si>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</si>
  <si>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</si>
  <si>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</si>
  <si>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</si>
  <si>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</si>
  <si>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</si>
  <si>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</si>
  <si>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</si>
  <si>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</si>
  <si>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</si>
  <si>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</si>
  <si>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</si>
  <si>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</si>
  <si>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</si>
  <si>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</si>
  <si>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</si>
  <si>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</si>
  <si>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</si>
  <si>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</si>
  <si>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</si>
  <si>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</si>
  <si>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</si>
  <si>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</si>
  <si>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</si>
  <si>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</si>
  <si>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</si>
  <si>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</si>
  <si>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</si>
  <si>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</si>
  <si>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</si>
  <si>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</si>
  <si>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</si>
  <si>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</si>
  <si>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</si>
  <si>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</si>
  <si>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</si>
  <si>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</si>
  <si>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</si>
  <si>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</si>
  <si>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</si>
  <si>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</si>
  <si>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</si>
  <si>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</si>
  <si>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</si>
  <si>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</si>
  <si>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</si>
  <si>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</si>
  <si>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</si>
  <si>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</si>
  <si>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</si>
  <si>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</si>
  <si>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</si>
  <si>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</si>
  <si>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</si>
  <si>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</si>
  <si>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</si>
  <si>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</si>
  <si>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</si>
  <si>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</si>
  <si>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</si>
  <si>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</si>
  <si>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</si>
  <si>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</si>
  <si>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</si>
  <si>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</si>
  <si>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</si>
  <si>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</si>
  <si>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</si>
  <si>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</si>
  <si>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</si>
  <si>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</si>
  <si>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</si>
  <si>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</si>
  <si>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</si>
  <si>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</si>
  <si>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</si>
  <si>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</si>
  <si>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</si>
  <si>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</si>
  <si>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</si>
  <si>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</si>
  <si>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</si>
  <si>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</si>
  <si>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</si>
  <si>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</si>
  <si>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</si>
  <si>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</si>
  <si>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</si>
  <si>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</si>
  <si>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</si>
  <si>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</si>
  <si>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</si>
  <si>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</si>
  <si>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</si>
  <si>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</si>
  <si>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</si>
  <si>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</si>
  <si>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</si>
  <si>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</si>
  <si>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</si>
  <si>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</si>
  <si>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</si>
  <si>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</si>
  <si>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</si>
  <si>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</si>
  <si>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</si>
  <si>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</si>
  <si>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</si>
  <si>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</si>
  <si>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</si>
  <si>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</si>
  <si>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</si>
  <si>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</si>
  <si>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</si>
  <si>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</si>
  <si>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</si>
  <si>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</si>
  <si>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</si>
  <si>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</si>
  <si>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</si>
  <si>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</si>
  <si>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</si>
  <si>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</si>
  <si>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</si>
  <si>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</si>
  <si>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</si>
  <si>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</si>
  <si>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</si>
  <si>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</si>
  <si>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</si>
  <si>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</si>
  <si>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</si>
  <si>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</si>
  <si>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</si>
  <si>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</si>
  <si>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</si>
  <si>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</si>
  <si>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</si>
  <si>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</si>
  <si>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</si>
  <si>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</si>
  <si>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</si>
  <si>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</si>
  <si>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</si>
  <si>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</si>
  <si>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</si>
  <si>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</si>
  <si>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</si>
  <si>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</si>
  <si>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</si>
  <si>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</si>
  <si>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</si>
  <si>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</si>
  <si>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</si>
  <si>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</si>
  <si>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</si>
  <si>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</si>
  <si>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</si>
  <si>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</si>
  <si>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</si>
  <si>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</si>
  <si>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</si>
  <si>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</si>
  <si>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</si>
  <si>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</si>
  <si>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</si>
  <si>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</si>
  <si>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</si>
  <si>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</si>
  <si>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</si>
  <si>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</si>
  <si>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</si>
  <si>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</si>
  <si>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</si>
  <si>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</si>
  <si>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</si>
  <si>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</si>
  <si>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</si>
  <si>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</si>
  <si>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</si>
  <si>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</si>
  <si>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</si>
  <si>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</si>
  <si>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</si>
  <si>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</si>
  <si>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</si>
  <si>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</si>
  <si>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</si>
  <si>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</si>
  <si>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</si>
  <si>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</si>
  <si>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</si>
  <si>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</si>
  <si>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</si>
  <si>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</si>
  <si>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</si>
  <si>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</si>
  <si>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</si>
  <si>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</si>
  <si>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</si>
  <si>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</si>
  <si>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</si>
  <si>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</si>
  <si>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</si>
  <si>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</si>
  <si>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</si>
  <si>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</si>
  <si>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</si>
  <si>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</si>
  <si>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</si>
  <si>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</si>
  <si>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</si>
  <si>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</si>
  <si>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</si>
  <si>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</si>
  <si>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</si>
  <si>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</si>
  <si>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</si>
  <si>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</si>
  <si>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</si>
  <si>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</si>
  <si>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</si>
  <si>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</si>
  <si>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</si>
  <si>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</si>
  <si>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</si>
  <si>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</si>
  <si>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</si>
  <si>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</si>
  <si>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</si>
  <si>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</si>
  <si>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</si>
  <si>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</si>
  <si>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</si>
  <si>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</si>
  <si>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</si>
  <si>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</si>
  <si>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</si>
  <si>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</si>
  <si>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</si>
  <si>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</si>
  <si>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</si>
  <si>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</si>
  <si>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</si>
  <si>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</si>
  <si>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</si>
  <si>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</si>
  <si>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</si>
  <si>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</si>
  <si>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</si>
  <si>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</si>
  <si>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</si>
  <si>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</si>
  <si>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</si>
  <si>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</si>
  <si>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</si>
  <si>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</si>
  <si>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</si>
  <si>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</si>
  <si>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</si>
  <si>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</si>
  <si>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</si>
  <si>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</si>
  <si>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</si>
  <si>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</si>
  <si>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</si>
  <si>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</si>
  <si>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</si>
  <si>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</si>
  <si>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</si>
  <si>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</si>
  <si>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</si>
  <si>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</si>
  <si>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</si>
  <si>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</si>
  <si>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</si>
  <si>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</si>
  <si>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</si>
  <si>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</si>
  <si>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</si>
  <si>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</si>
  <si>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</si>
  <si>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</si>
  <si>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</si>
  <si>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</si>
  <si>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</si>
  <si>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</si>
  <si>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</si>
  <si>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</si>
  <si>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</si>
  <si>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</si>
  <si>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</si>
  <si>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</si>
  <si>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</si>
  <si>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</si>
  <si>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</si>
  <si>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</si>
  <si>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</si>
  <si>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</si>
  <si>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</si>
  <si>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</si>
  <si>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</si>
  <si>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</si>
  <si>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</si>
  <si>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</si>
  <si>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</si>
  <si>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</si>
  <si>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</si>
  <si>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</si>
  <si>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</si>
  <si>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</si>
  <si>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</si>
  <si>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</si>
  <si>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</si>
  <si>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</si>
  <si>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</si>
  <si>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</si>
  <si>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</si>
  <si>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</si>
  <si>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</si>
  <si>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</si>
  <si>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</si>
  <si>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</si>
  <si>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</si>
  <si>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</si>
  <si>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</si>
  <si>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</si>
  <si>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</si>
  <si>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</si>
  <si>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</si>
  <si>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</si>
  <si>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</si>
  <si>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</si>
  <si>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</si>
  <si>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</si>
  <si>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</si>
  <si>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</si>
  <si>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</si>
  <si>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</si>
  <si>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</si>
  <si>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</si>
  <si>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</si>
  <si>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</si>
  <si>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</si>
  <si>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</si>
  <si>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</si>
  <si>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</si>
  <si>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</si>
  <si>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</si>
  <si>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</si>
  <si>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</si>
  <si>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</si>
  <si>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</si>
  <si>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</si>
  <si>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</si>
  <si>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</si>
  <si>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</si>
  <si>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</si>
  <si>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</si>
  <si>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</si>
  <si>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</si>
  <si>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</si>
  <si>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</si>
  <si>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</si>
  <si>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</si>
  <si>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</si>
  <si>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</si>
  <si>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</si>
  <si>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</si>
  <si>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</si>
  <si>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</si>
  <si>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</si>
  <si>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</si>
  <si>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</si>
  <si>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崔锴</t>
  </si>
  <si>
    <t>大业信托有限责任公司</t>
    <phoneticPr fontId="3" type="noConversion"/>
  </si>
  <si>
    <t>抵押</t>
  </si>
  <si>
    <t>其他：</t>
  </si>
  <si>
    <t>企业</t>
  </si>
  <si>
    <t>山东省青岛市</t>
    <phoneticPr fontId="3" type="noConversion"/>
  </si>
  <si>
    <t>青岛世茂世悦置业有限公司</t>
    <phoneticPr fontId="3" type="noConversion"/>
  </si>
  <si>
    <t>抵押价格</t>
  </si>
  <si>
    <t>其他普通商品住房、批发零售</t>
    <phoneticPr fontId="3" type="noConversion"/>
  </si>
  <si>
    <t>高新区火炬路以北、规划中32号线以西370214005030GB00261号一宗住宅、商业用地</t>
    <phoneticPr fontId="3" type="noConversion"/>
  </si>
  <si>
    <t>商业</t>
  </si>
  <si>
    <t>车库</t>
  </si>
  <si>
    <t>出让</t>
  </si>
  <si>
    <t>符合</t>
  </si>
  <si>
    <t>否</t>
  </si>
  <si>
    <t>居住项目</t>
  </si>
  <si>
    <t>场地平整</t>
  </si>
  <si>
    <t>平整</t>
  </si>
  <si>
    <t>通路</t>
  </si>
  <si>
    <t>通电</t>
  </si>
  <si>
    <t>通讯</t>
  </si>
  <si>
    <t>通上水</t>
  </si>
  <si>
    <t>通下水</t>
  </si>
  <si>
    <t>通热</t>
  </si>
  <si>
    <t>燃气</t>
  </si>
  <si>
    <t>项目经济技术指标</t>
    <phoneticPr fontId="3" type="noConversion"/>
  </si>
  <si>
    <r>
      <rPr>
        <sz val="12"/>
        <rFont val="宋体"/>
        <family val="3"/>
        <charset val="134"/>
      </rPr>
      <t>名称</t>
    </r>
  </si>
  <si>
    <r>
      <rPr>
        <sz val="12"/>
        <rFont val="宋体"/>
        <family val="3"/>
        <charset val="134"/>
      </rPr>
      <t>数据</t>
    </r>
  </si>
  <si>
    <r>
      <rPr>
        <sz val="12"/>
        <rFont val="宋体"/>
        <family val="3"/>
        <charset val="134"/>
      </rPr>
      <t>单位</t>
    </r>
  </si>
  <si>
    <t>自持</t>
  </si>
  <si>
    <r>
      <rPr>
        <sz val="12"/>
        <rFont val="宋体"/>
        <family val="3"/>
        <charset val="134"/>
      </rPr>
      <t>销售</t>
    </r>
  </si>
  <si>
    <r>
      <rPr>
        <sz val="12"/>
        <rFont val="宋体"/>
        <family val="3"/>
        <charset val="134"/>
      </rPr>
      <t>建
设
规
模</t>
    </r>
  </si>
  <si>
    <r>
      <rPr>
        <sz val="12"/>
        <rFont val="宋体"/>
        <family val="3"/>
        <charset val="134"/>
      </rPr>
      <t>土地面积</t>
    </r>
  </si>
  <si>
    <r>
      <rPr>
        <sz val="12"/>
        <rFont val="宋体"/>
        <family val="3"/>
        <charset val="134"/>
      </rPr>
      <t>平方米</t>
    </r>
  </si>
  <si>
    <r>
      <rPr>
        <sz val="12"/>
        <rFont val="宋体"/>
        <family val="3"/>
        <charset val="134"/>
      </rPr>
      <t>总建筑面积</t>
    </r>
  </si>
  <si>
    <r>
      <t xml:space="preserve">      </t>
    </r>
    <r>
      <rPr>
        <sz val="12"/>
        <rFont val="宋体"/>
        <family val="3"/>
        <charset val="134"/>
      </rPr>
      <t>地上建筑面积</t>
    </r>
  </si>
  <si>
    <r>
      <rPr>
        <sz val="12"/>
        <rFont val="宋体"/>
        <family val="3"/>
        <charset val="134"/>
      </rPr>
      <t>其中</t>
    </r>
  </si>
  <si>
    <t>高层</t>
    <phoneticPr fontId="3" type="noConversion"/>
  </si>
  <si>
    <t>人才公寓</t>
    <phoneticPr fontId="3" type="noConversion"/>
  </si>
  <si>
    <t>联排别墅</t>
    <phoneticPr fontId="3" type="noConversion"/>
  </si>
  <si>
    <t>商业</t>
    <phoneticPr fontId="3" type="noConversion"/>
  </si>
  <si>
    <t>公建配套</t>
    <phoneticPr fontId="3" type="noConversion"/>
  </si>
  <si>
    <r>
      <rPr>
        <sz val="12"/>
        <rFont val="宋体"/>
        <family val="3"/>
        <charset val="134"/>
      </rPr>
      <t>地下建筑</t>
    </r>
  </si>
  <si>
    <t>其中</t>
    <phoneticPr fontId="3" type="noConversion"/>
  </si>
  <si>
    <t>人防车库（40%）</t>
    <phoneticPr fontId="3" type="noConversion"/>
  </si>
  <si>
    <t>非人防车库（60%）</t>
    <phoneticPr fontId="3" type="noConversion"/>
  </si>
  <si>
    <t>建筑占地面积</t>
  </si>
  <si>
    <t>绿化面积</t>
    <phoneticPr fontId="3" type="noConversion"/>
  </si>
  <si>
    <t>建筑密度</t>
  </si>
  <si>
    <r>
      <rPr>
        <sz val="12"/>
        <rFont val="宋体"/>
        <family val="3"/>
        <charset val="134"/>
      </rPr>
      <t>绿化率</t>
    </r>
  </si>
  <si>
    <r>
      <rPr>
        <sz val="12"/>
        <rFont val="宋体"/>
        <family val="3"/>
        <charset val="134"/>
      </rPr>
      <t>地下车位</t>
    </r>
  </si>
  <si>
    <r>
      <rPr>
        <sz val="12"/>
        <rFont val="宋体"/>
        <family val="3"/>
        <charset val="134"/>
      </rPr>
      <t>个</t>
    </r>
  </si>
  <si>
    <t>户数</t>
    <phoneticPr fontId="3" type="noConversion"/>
  </si>
  <si>
    <t>户</t>
    <phoneticPr fontId="3" type="noConversion"/>
  </si>
  <si>
    <t>项目建设投资及总投资估算表</t>
  </si>
  <si>
    <t>单位：万元</t>
  </si>
  <si>
    <t>费用项目名称</t>
  </si>
  <si>
    <t>计算基数</t>
  </si>
  <si>
    <t>单价</t>
  </si>
  <si>
    <t>建筑工程
费用</t>
  </si>
  <si>
    <t>设备购置
安装费用</t>
  </si>
  <si>
    <t>其他费用</t>
  </si>
  <si>
    <t>自持物业</t>
  </si>
  <si>
    <t>销售物业</t>
  </si>
  <si>
    <t>工程费用</t>
  </si>
  <si>
    <t>建筑工程费用</t>
  </si>
  <si>
    <t>建筑装饰工程费用</t>
  </si>
  <si>
    <t>土石方及支护工程</t>
    <phoneticPr fontId="3" type="noConversion"/>
  </si>
  <si>
    <t>地下</t>
    <phoneticPr fontId="3" type="noConversion"/>
  </si>
  <si>
    <t>公共基础设施配套费用</t>
  </si>
  <si>
    <t>物业用房</t>
  </si>
  <si>
    <t>幼儿园</t>
  </si>
  <si>
    <t>会所</t>
  </si>
  <si>
    <t>停车场</t>
  </si>
  <si>
    <t>其他配套设施</t>
  </si>
  <si>
    <t>场区基础设施配套费用</t>
  </si>
  <si>
    <t>1.3.1</t>
  </si>
  <si>
    <t>室外管网工程费用</t>
  </si>
  <si>
    <t>供电工程建设费</t>
  </si>
  <si>
    <t>青价字[2006]3号</t>
  </si>
  <si>
    <t>燃气入网费</t>
  </si>
  <si>
    <t>青价格（2006）211号</t>
  </si>
  <si>
    <t>供气工程建设费</t>
  </si>
  <si>
    <t>高层1150元/户；多层630元/户(青价字[2003]8号)</t>
  </si>
  <si>
    <t>供水工程建设费</t>
  </si>
  <si>
    <t>排雨、污工程建设费</t>
  </si>
  <si>
    <t>通信、有线、网络工程建设费</t>
  </si>
  <si>
    <t>室内外消防工程费</t>
  </si>
  <si>
    <t>1.3.2</t>
  </si>
  <si>
    <t>室外景观环境</t>
  </si>
  <si>
    <t>道路、台阶、铺装、围墙</t>
  </si>
  <si>
    <t>环境绿化、景观</t>
  </si>
  <si>
    <t>挡土墙、围墙</t>
  </si>
  <si>
    <t>照明</t>
  </si>
  <si>
    <t>景观</t>
  </si>
  <si>
    <t>环卫设施</t>
  </si>
  <si>
    <t>其他设施费用</t>
  </si>
  <si>
    <t>设备购置及安装</t>
  </si>
  <si>
    <t>电梯</t>
  </si>
  <si>
    <t>工程建设其他费用</t>
  </si>
  <si>
    <t>土地成本</t>
  </si>
  <si>
    <t>土地出让金</t>
  </si>
  <si>
    <t>土地契税及印花税</t>
    <phoneticPr fontId="3" type="noConversion"/>
  </si>
  <si>
    <t>耕地占用税</t>
  </si>
  <si>
    <t>耕地开垦费</t>
  </si>
  <si>
    <t>城镇土地使用税</t>
  </si>
  <si>
    <t>其他</t>
  </si>
  <si>
    <t>前期工程费用</t>
  </si>
  <si>
    <t>建设用地规划技术服务费</t>
  </si>
  <si>
    <t>Ⅱ类1.8（鲁价费发[2001]396号、鲁价费发[2003]35号）</t>
  </si>
  <si>
    <t>建设工程规划技术服务费</t>
  </si>
  <si>
    <t>Ⅱ类2.0（鲁价费发[2001]396号、鲁价费发[2003]36号）</t>
  </si>
  <si>
    <t>地质勘察费</t>
  </si>
  <si>
    <t>土地测绘费</t>
  </si>
  <si>
    <t>工程设计费</t>
  </si>
  <si>
    <t>施工图审查费</t>
  </si>
  <si>
    <t>8%（鲁价费发[2003]257号、青价费〔2004〕13号）</t>
  </si>
  <si>
    <t>建设项目前期工作咨询费</t>
  </si>
  <si>
    <t>环评费</t>
  </si>
  <si>
    <t>计价格（2002）125号</t>
  </si>
  <si>
    <t>工程招投标代理服务费</t>
  </si>
  <si>
    <t>鲁价费发[2003]64号</t>
  </si>
  <si>
    <t>交易中心服务费</t>
  </si>
  <si>
    <t>鲁价费发[2001]243号</t>
  </si>
  <si>
    <t>专家评审费</t>
  </si>
  <si>
    <t>鲁价费发[1999]367号</t>
  </si>
  <si>
    <t>招标、合同公证费</t>
  </si>
  <si>
    <t>预算编制费</t>
  </si>
  <si>
    <t>鲁价费发[2004]239号</t>
  </si>
  <si>
    <t>红线内三通一平</t>
  </si>
  <si>
    <t>晒图费、复印费</t>
  </si>
  <si>
    <t>拆除物土石方外运费</t>
  </si>
  <si>
    <t>行政事业性收费（基金）</t>
  </si>
  <si>
    <t>城市基础设施配套费</t>
  </si>
  <si>
    <r>
      <t>扣除1</t>
    </r>
    <r>
      <rPr>
        <sz val="10"/>
        <rFont val="宋体"/>
        <family val="3"/>
        <charset val="134"/>
      </rPr>
      <t>8元燃气费</t>
    </r>
  </si>
  <si>
    <t>防空地下室易地建设费</t>
  </si>
  <si>
    <t>26（青价费字[2001]179号）</t>
  </si>
  <si>
    <t>水土保持设施补偿费</t>
  </si>
  <si>
    <t>2.0（鲁价涉发[1995]112号）</t>
  </si>
  <si>
    <t>其他</t>
    <phoneticPr fontId="3" type="noConversion"/>
  </si>
  <si>
    <t>工程监理费</t>
  </si>
  <si>
    <t>发改价格[2007]670号</t>
  </si>
  <si>
    <t>审计费（工程结算）</t>
  </si>
  <si>
    <t>鲁价费发[2004]239号、鲁价费发[1999]73号</t>
  </si>
  <si>
    <t>房屋测绘费</t>
  </si>
  <si>
    <t>住宅1.36元/㎡；其他2.04元/㎡（财综[2001]94号）</t>
  </si>
  <si>
    <t>防雷审图测试费</t>
  </si>
  <si>
    <t>审图0.2元/㎡，测试费1元/㎡（青价费[2004]20号）</t>
  </si>
  <si>
    <t>防雷设施设备费</t>
  </si>
  <si>
    <t>4元/㎡</t>
  </si>
  <si>
    <t>建设单位管理费用</t>
  </si>
  <si>
    <t>专利、专有技术使用费</t>
  </si>
  <si>
    <t>生产准备及开办费</t>
  </si>
  <si>
    <t>办公家具购置</t>
  </si>
  <si>
    <t>人员培训费</t>
  </si>
  <si>
    <t>预备费</t>
  </si>
  <si>
    <t>基本预备费</t>
  </si>
  <si>
    <t>涨价预备金</t>
  </si>
  <si>
    <t>3.2.1</t>
  </si>
  <si>
    <t>第一年涨价预备金</t>
  </si>
  <si>
    <t>3.2.2</t>
  </si>
  <si>
    <t>第二年涨价预备金</t>
  </si>
  <si>
    <t>3.2.3</t>
  </si>
  <si>
    <t>第三年涨价预备金</t>
  </si>
  <si>
    <t>一</t>
  </si>
  <si>
    <t>建设投资</t>
  </si>
  <si>
    <t>(1+2+3)</t>
  </si>
  <si>
    <t>二</t>
  </si>
  <si>
    <t>建设期利息</t>
  </si>
  <si>
    <t>投资利息</t>
  </si>
  <si>
    <t>其他财务费用</t>
  </si>
  <si>
    <t>三</t>
  </si>
  <si>
    <t>流动资金</t>
  </si>
  <si>
    <t>详见《流动资金估算表》</t>
  </si>
  <si>
    <t>四</t>
  </si>
  <si>
    <t>其他变动投资</t>
  </si>
  <si>
    <t>汇率变动部分</t>
  </si>
  <si>
    <t>固定资产投资方向调节税</t>
  </si>
  <si>
    <t>国家新批准的税费</t>
  </si>
  <si>
    <t>五</t>
  </si>
  <si>
    <t>总投资（一+二+三+四）</t>
  </si>
  <si>
    <t>地上</t>
  </si>
  <si>
    <t>普通住宅</t>
  </si>
  <si>
    <t>联排</t>
  </si>
  <si>
    <t>地下</t>
  </si>
  <si>
    <t>住宅（高层）</t>
  </si>
  <si>
    <t>住宅（高层）</t>
    <phoneticPr fontId="7" type="noConversion"/>
  </si>
  <si>
    <t>住宅（联排）</t>
  </si>
  <si>
    <t>住宅（联排）</t>
    <phoneticPr fontId="7" type="noConversion"/>
  </si>
  <si>
    <t>商业</t>
    <phoneticPr fontId="7" type="noConversion"/>
  </si>
  <si>
    <t>车位</t>
  </si>
  <si>
    <t>车位</t>
    <phoneticPr fontId="7" type="noConversion"/>
  </si>
  <si>
    <t>人才公寓</t>
  </si>
  <si>
    <t>人才公寓</t>
    <phoneticPr fontId="7" type="noConversion"/>
  </si>
  <si>
    <t>省会市名称</t>
  </si>
  <si>
    <t>建筑型式</t>
  </si>
  <si>
    <t>多层</t>
  </si>
  <si>
    <t>小高层</t>
  </si>
  <si>
    <t>高层</t>
  </si>
  <si>
    <t>济南</t>
  </si>
  <si>
    <t>1382</t>
  </si>
  <si>
    <t>1680</t>
  </si>
  <si>
    <t>1950</t>
  </si>
  <si>
    <t>钢混</t>
  </si>
  <si>
    <t>按租金收入计税</t>
  </si>
  <si>
    <t>土地（套用方法）</t>
  </si>
  <si>
    <t>不动产收益法（车位）</t>
  </si>
  <si>
    <t>不动产收益法（商业）</t>
  </si>
  <si>
    <t>售价</t>
  </si>
  <si>
    <t>比较法-住宅、综合</t>
  </si>
  <si>
    <t>剩余法-待开发</t>
  </si>
  <si>
    <t>项目全部</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</si>
  <si>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</si>
  <si>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</si>
  <si>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</si>
  <si>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</si>
  <si>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</si>
  <si>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</si>
  <si>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</si>
  <si>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</si>
  <si>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</si>
  <si>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</si>
  <si>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</si>
  <si>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</si>
  <si>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</si>
  <si>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</si>
  <si>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</si>
  <si>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</si>
  <si>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</si>
  <si>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</si>
  <si>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</si>
  <si>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高新区新业路以南、规划中34号线以东、规划中32号线以西</t>
  </si>
  <si>
    <t>青岛市</t>
  </si>
  <si>
    <t>综合用地(含住宅)</t>
  </si>
  <si>
    <t>拍卖</t>
  </si>
  <si>
    <t>G-2018-024</t>
  </si>
  <si>
    <t>城镇住宅用地、零售商业用地</t>
  </si>
  <si>
    <t>＞1且≤1.8</t>
  </si>
  <si>
    <t>2018-07-30</t>
  </si>
  <si>
    <t>青土资房告字[2018]410号-2</t>
  </si>
  <si>
    <t>青岛碧桂园博林置业有限公司</t>
  </si>
  <si>
    <t>住宅70年,商业40年</t>
  </si>
  <si>
    <t>高新区火炬路以北、规划中32号线以西</t>
  </si>
  <si>
    <t>G-2018-023</t>
  </si>
  <si>
    <t>2018-07-26</t>
  </si>
  <si>
    <t>青土资房告字[2018]410号-1</t>
  </si>
  <si>
    <t>南京硕天投资管理有限公司</t>
  </si>
  <si>
    <t>高新区岙东路以东、河东路以南、广博路以北</t>
  </si>
  <si>
    <t>住宅用地</t>
  </si>
  <si>
    <t>G-2018-016</t>
  </si>
  <si>
    <t>其他普通商品住房用地</t>
  </si>
  <si>
    <t>＞1且＜1.5</t>
  </si>
  <si>
    <t>2018-06-29</t>
  </si>
  <si>
    <t>青土资房告字[2018]408号</t>
  </si>
  <si>
    <t>青岛东风盐场</t>
    <phoneticPr fontId="233" type="noConversion"/>
  </si>
  <si>
    <t>70年</t>
  </si>
  <si>
    <t>高新区河东路以南、聚贤桥路以西、广盛支路两侧</t>
  </si>
  <si>
    <t>G-2018-007-1</t>
  </si>
  <si>
    <t>2018-03-30</t>
  </si>
  <si>
    <t>青土资房告字[2018]404号-1</t>
  </si>
  <si>
    <t>中海地产集团有限公司</t>
  </si>
  <si>
    <t>G-2018-007-2</t>
    <phoneticPr fontId="233" type="noConversion"/>
  </si>
  <si>
    <t>青土资房告字[2018]404号-2</t>
  </si>
  <si>
    <t>高新区丰庆路以南、华东路以东、规划东4号线以西</t>
  </si>
  <si>
    <t>高新区丰庆路以南、华东路以东、规划东5号线以西</t>
  </si>
  <si>
    <t>G-2017-060</t>
  </si>
  <si>
    <t>大于1且≤1.8</t>
  </si>
  <si>
    <t>2018-03-27</t>
  </si>
  <si>
    <t>青土资房告字[2018]403号-2</t>
  </si>
  <si>
    <t>青岛海克斯康投资有限公司,青岛海信房地产股份有限公司</t>
  </si>
  <si>
    <t>高新区智力岛路以北、岙东路以东、和融路以西、广博路以南</t>
  </si>
  <si>
    <t>G-2017-074</t>
  </si>
  <si>
    <t>大于1且≤2.2</t>
  </si>
  <si>
    <t>2018-02-11</t>
  </si>
  <si>
    <t>青土资房告字[2018]401号-3</t>
  </si>
  <si>
    <t>青岛中腾双创产业发展有限公司</t>
  </si>
  <si>
    <t>G-2017-077</t>
  </si>
  <si>
    <t>大于1且≤2.5</t>
  </si>
  <si>
    <t>青土资房告字[2018]401号-6</t>
  </si>
  <si>
    <t>G-2017-075</t>
  </si>
  <si>
    <t>青土资房告字[2018]401号-4</t>
  </si>
  <si>
    <t>G-2017-078</t>
  </si>
  <si>
    <t>青土资房告字[2018]401号-7</t>
  </si>
  <si>
    <t>高新区华中路以西、胶州湾高速路以北、海月路以东C地块</t>
  </si>
  <si>
    <t>G-2017-021</t>
  </si>
  <si>
    <t>＞1且≤2.7</t>
  </si>
  <si>
    <t>2018-01-02</t>
  </si>
  <si>
    <t>青土资房告字[2017]415号-3</t>
  </si>
  <si>
    <t>青岛网信荣创创新置业有限公司</t>
  </si>
  <si>
    <t>高新区河东路以南、祥源路以东、规划东25号线以北、华贯路以西</t>
  </si>
  <si>
    <t>高新区河东路以南、祥源路以东、规划东26号线以北、华贯路以西</t>
  </si>
  <si>
    <t>G-2017-039</t>
  </si>
  <si>
    <t>＞1且≤3</t>
  </si>
  <si>
    <t>2017-12-13</t>
  </si>
  <si>
    <t>青土资房告字[2017]413号-2</t>
  </si>
  <si>
    <t>北京兴茂置业有限公司</t>
  </si>
  <si>
    <t>高新区规划东33号线以南、宝源路以东、华东路以西、火炬路以北</t>
  </si>
  <si>
    <t>高新区规划东34号线以南、宝源路以东、华东路以西、火炬路以北</t>
  </si>
  <si>
    <t>G-2017-033</t>
  </si>
  <si>
    <t>＞1且≤2.8</t>
  </si>
  <si>
    <t>青土资房告字[2017]413号-1</t>
  </si>
  <si>
    <t>住宅70年商业40年</t>
  </si>
  <si>
    <t>高新区泰祥路以南、规划一路以西、规划东33号线以北、华贯路以东</t>
  </si>
  <si>
    <t>高新区泰祥路以南、规划一路以西、规划东34号线以北、华贯路以东</t>
  </si>
  <si>
    <t>G-2017-048</t>
  </si>
  <si>
    <t>＞1且≤2</t>
  </si>
  <si>
    <t>青土资房告字[2017]413号-6</t>
  </si>
  <si>
    <t>高新区泰祥路以南、规划一路以东、规划东33号线以北、宝源路以西</t>
  </si>
  <si>
    <t>高新区泰祥路以南、规划一路以东、规划东34号线以北、宝源路以西</t>
  </si>
  <si>
    <t>G-2017-045</t>
  </si>
  <si>
    <t>＞1且≤2.5</t>
  </si>
  <si>
    <t>青土资房告字[2017]413号-5</t>
  </si>
  <si>
    <t>高新区华东路以东、规划东4号线以西、泰祥路以南、规划东33号线以北</t>
  </si>
  <si>
    <t>高新区华东路以东、规划东4号线以西、泰祥路以南、规划东34号线以北</t>
  </si>
  <si>
    <t>G-2017-043</t>
  </si>
  <si>
    <t>＞1且≤2.2</t>
  </si>
  <si>
    <t>青土资房告字[2017]413号-4</t>
  </si>
  <si>
    <t>高新区规划一路以东、泰瑞路以南、宝源路以西、规划东29号线西路以北</t>
  </si>
  <si>
    <t>G-2017-049</t>
  </si>
  <si>
    <t>城镇住宅、商服</t>
  </si>
  <si>
    <t>2017-12-04</t>
  </si>
  <si>
    <t>青土资房告字〔2017〕412号</t>
  </si>
  <si>
    <t>凱喜有限公司</t>
  </si>
  <si>
    <t>住宅70年商服40年</t>
  </si>
  <si>
    <t>高新区规划一路以东、规划东29号线西路以南、宝源路以西、泰祥路以北</t>
  </si>
  <si>
    <t>G-2017-051</t>
  </si>
  <si>
    <t>高新区规划东25号线以南、规划一路以东、泰鸿路以北、宝源路以西</t>
  </si>
  <si>
    <t>G-2017-050</t>
  </si>
  <si>
    <t>高新区规划东25号线以南、宝源路以东、泰鸿路以北、规划三路以西</t>
  </si>
  <si>
    <t>G-2017-053</t>
  </si>
  <si>
    <t>高新区河东路以南、规划东25号线以北、规划一路以东、宝源路以西</t>
  </si>
  <si>
    <t>G-2017-037</t>
  </si>
  <si>
    <t>＞1且≤3.3</t>
  </si>
  <si>
    <t>高新区华东路以西、规划内环路以南、丰年路以北</t>
  </si>
  <si>
    <t>G-2016-013</t>
  </si>
  <si>
    <t>＞1且小于1.8</t>
  </si>
  <si>
    <t>2017-09-26</t>
  </si>
  <si>
    <t>青土资房告字[2017]410号-2</t>
  </si>
  <si>
    <t>山东鼎特信息科技有限公司</t>
  </si>
  <si>
    <t>高新区汇智桥路以东、规划中11号线以南、规划中48号线以西、同顺路以北</t>
  </si>
  <si>
    <t>高新区汇智桥路以东、规划中11号线以南、规划中49号线以西、同顺路以北</t>
  </si>
  <si>
    <t>G-2016-002</t>
  </si>
  <si>
    <t>2017-09-21</t>
  </si>
  <si>
    <t>青土资房告字[2017]409号-1</t>
  </si>
  <si>
    <t>招商局产业园区(青岛)创业有限公司</t>
  </si>
  <si>
    <t>高新区规划东4号线以东、规划内环路以南、丰年路以北</t>
  </si>
  <si>
    <t>G-2016-019</t>
  </si>
  <si>
    <t>＞1且＜1.8</t>
  </si>
  <si>
    <t>2017-08-15</t>
  </si>
  <si>
    <t>青土资房告字[2017]407号-4</t>
  </si>
  <si>
    <t>高新区华东路以东、规划内环路以南、丰年路以北、规划东4号线以西</t>
  </si>
  <si>
    <t>G-2016-017</t>
  </si>
  <si>
    <t>青土资房告字[2017]407号-3</t>
  </si>
  <si>
    <t>高新区规划路以东、火炬路以北、规划中34号线以西</t>
  </si>
  <si>
    <t>高新区规划路以东、火炬路以北、规划中35号线以西</t>
  </si>
  <si>
    <t>G-2016-042</t>
  </si>
  <si>
    <t>≥1且≤1.2</t>
  </si>
  <si>
    <t>2017-05-11</t>
  </si>
  <si>
    <t>青土资房告字[2017]405号-5</t>
  </si>
  <si>
    <t>青岛海尔地产集团有限公司,青岛海尔特种电器有限公司</t>
  </si>
  <si>
    <t>高新区新悦路以东、火炬路以北</t>
  </si>
  <si>
    <t>G-2016-041</t>
  </si>
  <si>
    <t>青土资房告字[2017]405号-4</t>
  </si>
  <si>
    <t>高新区火炬路以南、华中路以东、祥茂河入海口以西、青岛中学北</t>
  </si>
  <si>
    <t>G-2016-044</t>
  </si>
  <si>
    <t>住宅、商服用地</t>
  </si>
  <si>
    <t>＞1且＜2</t>
  </si>
  <si>
    <t>2017-03-30</t>
  </si>
  <si>
    <t>青土资房告字[2017]402号</t>
  </si>
  <si>
    <t>青岛高新区房地产开发有限公司</t>
  </si>
  <si>
    <t>高新区河东路以北、华东路以东、规划东23号线以南</t>
  </si>
  <si>
    <t>G-2016-011</t>
    <phoneticPr fontId="233" type="noConversion"/>
  </si>
  <si>
    <t>城镇住宅用地</t>
  </si>
  <si>
    <t>＜1.8且＞1.0</t>
  </si>
  <si>
    <t>2016-09-19</t>
  </si>
  <si>
    <t>青土资房告字〔2016〕411号</t>
  </si>
  <si>
    <t>北京融创建投房地产有限公司</t>
    <phoneticPr fontId="233" type="noConversion"/>
  </si>
  <si>
    <t>高新区河东路以南、静园路以东、秀园路以西、广裕路以北</t>
  </si>
  <si>
    <t>G-2015-010</t>
  </si>
  <si>
    <t>城镇住宅、批发零售用地</t>
  </si>
  <si>
    <t>≤2.0且＞1.0</t>
  </si>
  <si>
    <t>2016-05-11</t>
  </si>
  <si>
    <t>青土资房告字〔2016〕405号</t>
  </si>
  <si>
    <t>青岛中科信置业有限公司</t>
  </si>
  <si>
    <t>住宅70年、商服40年</t>
  </si>
  <si>
    <t>高新区规划东4号线以东、规划东29号线以南、和源路以西、泰祥路以北</t>
  </si>
  <si>
    <t>G-2015-044</t>
  </si>
  <si>
    <t>＜1.2且＞1.0</t>
  </si>
  <si>
    <t>2016-01-11</t>
  </si>
  <si>
    <t>青土资房告字〔2015〕412号-4</t>
  </si>
  <si>
    <t>高新区华贯路以西、规划东33号线以南、规划东35号线西路以北</t>
  </si>
  <si>
    <t>G-2015-031</t>
  </si>
  <si>
    <t>＜2.0且＞1.0</t>
  </si>
  <si>
    <t>青土资房告字〔2015〕412号-2</t>
  </si>
  <si>
    <t>青岛方盛置业有限公司</t>
  </si>
  <si>
    <t>高新区广博路以南、规划中17号线以北、和融路以东、暖融路以西</t>
  </si>
  <si>
    <t>G-2014-068</t>
  </si>
  <si>
    <t>商服、城镇住宅用地</t>
  </si>
  <si>
    <t>2015-12-28</t>
  </si>
  <si>
    <t>青土资房告字〔2015〕410号</t>
  </si>
  <si>
    <t>青岛城投地产控资控股(集团)有限公司</t>
  </si>
  <si>
    <t>住宅70年、商业40年</t>
  </si>
  <si>
    <r>
      <rPr>
        <sz val="11"/>
        <color rgb="FF78B43C"/>
        <rFont val="宋体"/>
        <family val="3"/>
        <charset val="134"/>
      </rPr>
      <t>青岛监测指标情况一览表</t>
    </r>
  </si>
  <si>
    <t>住宅</t>
    <phoneticPr fontId="233" type="noConversion"/>
  </si>
  <si>
    <r>
      <rPr>
        <sz val="11"/>
        <color rgb="FF313131"/>
        <rFont val="宋体"/>
        <family val="3"/>
        <charset val="134"/>
      </rPr>
      <t>时间</t>
    </r>
  </si>
  <si>
    <r>
      <rPr>
        <sz val="11"/>
        <color rgb="FF313131"/>
        <rFont val="宋体"/>
        <family val="3"/>
        <charset val="134"/>
      </rPr>
      <t>水平值</t>
    </r>
  </si>
  <si>
    <r>
      <rPr>
        <sz val="11"/>
        <color rgb="FF313131"/>
        <rFont val="宋体"/>
        <family val="3"/>
        <charset val="134"/>
      </rPr>
      <t>环比增长率</t>
    </r>
  </si>
  <si>
    <t>碧桂园</t>
    <phoneticPr fontId="233" type="noConversion"/>
  </si>
  <si>
    <t>http://qd.newhouse.fang.com/2018-07-30/29114913.htm</t>
    <phoneticPr fontId="233" type="noConversion"/>
  </si>
  <si>
    <t>中海</t>
    <phoneticPr fontId="233" type="noConversion"/>
  </si>
  <si>
    <t>http://qd.news.fang.com/2018-03-30/28112354.htm</t>
    <phoneticPr fontId="233" type="noConversion"/>
  </si>
  <si>
    <t>http://www.qdsdu.com/dongtai/148085.html</t>
    <phoneticPr fontId="233" type="noConversion"/>
  </si>
  <si>
    <t>http://house.qingdaonews.com/news/2018-03/13/content_20105767.htm</t>
  </si>
  <si>
    <t>融创</t>
    <phoneticPr fontId="233" type="noConversion"/>
  </si>
  <si>
    <t>http://qd.leju.com/news/2016-09-19/10376183463755587055557.shtml</t>
    <phoneticPr fontId="233" type="noConversion"/>
  </si>
  <si>
    <t>正常</t>
  </si>
  <si>
    <t>其他普通商品住房、批发零售</t>
  </si>
  <si>
    <t>人才公寓面积</t>
  </si>
  <si>
    <t>销售均价</t>
  </si>
  <si>
    <t>人才公寓</t>
    <phoneticPr fontId="26" type="noConversion"/>
  </si>
  <si>
    <t>较差</t>
  </si>
  <si>
    <t>一般</t>
  </si>
  <si>
    <t>较好</t>
  </si>
  <si>
    <t>七通</t>
  </si>
  <si>
    <t>支路</t>
  </si>
  <si>
    <t>支路</t>
    <phoneticPr fontId="26" type="noConversion"/>
  </si>
  <si>
    <t>较规则</t>
  </si>
  <si>
    <t>较规则</t>
    <phoneticPr fontId="26" type="noConversion"/>
  </si>
  <si>
    <t>七通一平</t>
  </si>
  <si>
    <t>七通一平</t>
    <phoneticPr fontId="26" type="noConversion"/>
  </si>
  <si>
    <t>较好</t>
    <phoneticPr fontId="26" type="noConversion"/>
  </si>
  <si>
    <t>火炬路</t>
    <phoneticPr fontId="3" type="noConversion"/>
  </si>
  <si>
    <t>新业路</t>
    <phoneticPr fontId="3" type="noConversion"/>
  </si>
  <si>
    <t>河东路</t>
    <phoneticPr fontId="3" type="noConversion"/>
  </si>
  <si>
    <t>住宅</t>
    <phoneticPr fontId="21" type="noConversion"/>
  </si>
  <si>
    <t>60-70（含）</t>
  </si>
  <si>
    <t>世茂公园美地</t>
    <phoneticPr fontId="3" type="noConversion"/>
  </si>
  <si>
    <t>新城云樾晓院</t>
    <phoneticPr fontId="3" type="noConversion"/>
  </si>
  <si>
    <t>领秀·珊瑚湾</t>
    <phoneticPr fontId="3" type="noConversion"/>
  </si>
  <si>
    <t>小高层</t>
    <phoneticPr fontId="21" type="noConversion"/>
  </si>
  <si>
    <t>高层</t>
    <phoneticPr fontId="21" type="noConversion"/>
  </si>
  <si>
    <t>钢混</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</si>
  <si>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</si>
  <si>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</si>
  <si>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</si>
  <si>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</si>
  <si>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</si>
  <si>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</si>
  <si>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</si>
  <si>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中档</t>
  </si>
  <si>
    <t>中档</t>
    <phoneticPr fontId="21" type="noConversion"/>
  </si>
  <si>
    <t>联排</t>
    <phoneticPr fontId="21" type="noConversion"/>
  </si>
  <si>
    <t>叠拼</t>
  </si>
  <si>
    <t>叠拼</t>
    <phoneticPr fontId="21" type="noConversion"/>
  </si>
  <si>
    <t>简装</t>
  </si>
  <si>
    <t>简装</t>
    <phoneticPr fontId="233" type="noConversion"/>
  </si>
  <si>
    <t>毛坯</t>
  </si>
  <si>
    <t>毛坯</t>
    <phoneticPr fontId="233" type="noConversion"/>
  </si>
  <si>
    <t>精装</t>
  </si>
  <si>
    <t>精装</t>
    <phoneticPr fontId="21" type="noConversion"/>
  </si>
  <si>
    <t>楼面地价</t>
  </si>
  <si>
    <t>销售收入与增值税及附加估算表</t>
    <phoneticPr fontId="3" type="noConversion"/>
  </si>
  <si>
    <t>单位：万元</t>
    <phoneticPr fontId="3" type="noConversion"/>
  </si>
  <si>
    <r>
      <t xml:space="preserve">金额合计
</t>
    </r>
    <r>
      <rPr>
        <b/>
        <sz val="10"/>
        <rFont val="Times New Roman"/>
        <family val="1"/>
      </rPr>
      <t>(</t>
    </r>
    <r>
      <rPr>
        <b/>
        <sz val="10"/>
        <rFont val="宋体"/>
        <family val="3"/>
        <charset val="134"/>
      </rPr>
      <t>万元</t>
    </r>
    <r>
      <rPr>
        <b/>
        <sz val="10"/>
        <rFont val="Times New Roman"/>
        <family val="1"/>
      </rPr>
      <t>)</t>
    </r>
  </si>
  <si>
    <t>数量</t>
  </si>
  <si>
    <t>单位</t>
  </si>
  <si>
    <t>单价
(元/*)</t>
    <phoneticPr fontId="3" type="noConversion"/>
  </si>
  <si>
    <r>
      <t>第</t>
    </r>
    <r>
      <rPr>
        <b/>
        <sz val="10"/>
        <rFont val="Times New Roman"/>
        <family val="1"/>
      </rPr>
      <t>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</si>
  <si>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</si>
  <si>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</si>
  <si>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</si>
  <si>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5</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</si>
  <si>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6</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</si>
  <si>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7</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</si>
  <si>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8</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</si>
  <si>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9</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</si>
  <si>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10</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</si>
  <si>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</si>
  <si>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</si>
  <si>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</si>
  <si>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</si>
  <si>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15年
(万元)</t>
    </r>
  </si>
  <si>
    <r>
      <t>第</t>
    </r>
    <r>
      <rPr>
        <b/>
        <sz val="10"/>
        <rFont val="Times New Roman"/>
        <family val="1"/>
      </rPr>
      <t>16年
(万元)</t>
    </r>
  </si>
  <si>
    <r>
      <t>第</t>
    </r>
    <r>
      <rPr>
        <b/>
        <sz val="10"/>
        <rFont val="Times New Roman"/>
        <family val="1"/>
      </rPr>
      <t>17年
(万元)</t>
    </r>
  </si>
  <si>
    <r>
      <t>第</t>
    </r>
    <r>
      <rPr>
        <b/>
        <sz val="10"/>
        <rFont val="Times New Roman"/>
        <family val="1"/>
      </rPr>
      <t>18年
(万元)</t>
    </r>
  </si>
  <si>
    <r>
      <t>第</t>
    </r>
    <r>
      <rPr>
        <b/>
        <sz val="10"/>
        <rFont val="Times New Roman"/>
        <family val="1"/>
      </rPr>
      <t>19年
(万元)</t>
    </r>
  </si>
  <si>
    <r>
      <t>第</t>
    </r>
    <r>
      <rPr>
        <b/>
        <sz val="10"/>
        <rFont val="Times New Roman"/>
        <family val="1"/>
      </rPr>
      <t>20年
(万元)</t>
    </r>
  </si>
  <si>
    <t>基准价格</t>
  </si>
  <si>
    <t>售价浮动系数</t>
  </si>
  <si>
    <t>经营收入</t>
  </si>
  <si>
    <t>销售收入（含税）</t>
  </si>
  <si>
    <t>售价浮动系数</t>
    <phoneticPr fontId="3" type="noConversion"/>
  </si>
  <si>
    <t>㎡</t>
    <phoneticPr fontId="3" type="noConversion"/>
  </si>
  <si>
    <t>销售比例</t>
  </si>
  <si>
    <t>㎡</t>
  </si>
  <si>
    <t>销售比例</t>
    <phoneticPr fontId="3" type="noConversion"/>
  </si>
  <si>
    <t>个</t>
    <phoneticPr fontId="3" type="noConversion"/>
  </si>
  <si>
    <t>2.1</t>
    <phoneticPr fontId="3" type="noConversion"/>
  </si>
  <si>
    <t>2.0</t>
    <phoneticPr fontId="3" type="noConversion"/>
  </si>
  <si>
    <t>出租收入（含税）</t>
  </si>
  <si>
    <t>租金浮动系数</t>
    <phoneticPr fontId="3" type="noConversion"/>
  </si>
  <si>
    <r>
      <rPr>
        <sz val="10"/>
        <rFont val="宋体"/>
        <family val="3"/>
        <charset val="134"/>
      </rPr>
      <t>元</t>
    </r>
    <r>
      <rPr>
        <sz val="10"/>
        <rFont val="Times New Roman"/>
        <family val="1"/>
      </rPr>
      <t>/</t>
    </r>
    <r>
      <rPr>
        <sz val="10"/>
        <rFont val="宋体"/>
        <family val="3"/>
        <charset val="134"/>
      </rPr>
      <t>㎡</t>
    </r>
    <r>
      <rPr>
        <sz val="10"/>
        <rFont val="Times New Roman"/>
        <family val="1"/>
      </rPr>
      <t>/</t>
    </r>
    <r>
      <rPr>
        <sz val="10"/>
        <rFont val="宋体"/>
        <family val="3"/>
        <charset val="134"/>
      </rPr>
      <t>年</t>
    </r>
  </si>
  <si>
    <t>租赁比例</t>
  </si>
  <si>
    <t>酒店</t>
    <phoneticPr fontId="3" type="noConversion"/>
  </si>
  <si>
    <t>其他收入</t>
    <phoneticPr fontId="3" type="noConversion"/>
  </si>
  <si>
    <t>二</t>
    <phoneticPr fontId="3" type="noConversion"/>
  </si>
  <si>
    <t>增值税</t>
  </si>
  <si>
    <t>进项税额浮动</t>
  </si>
  <si>
    <t>进项税额</t>
  </si>
  <si>
    <t>3.1.1</t>
    <phoneticPr fontId="3" type="noConversion"/>
  </si>
  <si>
    <t>建筑工程费</t>
  </si>
  <si>
    <t>3.1.2</t>
    <phoneticPr fontId="3" type="noConversion"/>
  </si>
  <si>
    <t>设备</t>
  </si>
  <si>
    <t>3.1.3</t>
    <phoneticPr fontId="3" type="noConversion"/>
  </si>
  <si>
    <t>经营可变成本费用</t>
  </si>
  <si>
    <t>销项税额</t>
  </si>
  <si>
    <t>3.2.1</t>
    <phoneticPr fontId="3" type="noConversion"/>
  </si>
  <si>
    <t>销售收入（扣除土地费用）</t>
  </si>
  <si>
    <t>3.2.2</t>
    <phoneticPr fontId="3" type="noConversion"/>
  </si>
  <si>
    <t>出租收入</t>
  </si>
  <si>
    <t>3.2.3</t>
    <phoneticPr fontId="3" type="noConversion"/>
  </si>
  <si>
    <t>自营收入</t>
  </si>
  <si>
    <t>增值税附加</t>
  </si>
  <si>
    <t>增值税</t>
    <phoneticPr fontId="3" type="noConversion"/>
  </si>
  <si>
    <t>城建税</t>
  </si>
  <si>
    <t>教育费附加</t>
  </si>
  <si>
    <t>房产税</t>
  </si>
  <si>
    <t>土地增值税（前期预征，末年清算）</t>
    <phoneticPr fontId="3" type="noConversion"/>
  </si>
  <si>
    <r>
      <t>4%</t>
    </r>
    <r>
      <rPr>
        <b/>
        <sz val="12"/>
        <rFont val="宋体"/>
        <family val="3"/>
        <charset val="134"/>
      </rPr>
      <t>预缴，末年清算</t>
    </r>
    <phoneticPr fontId="3" type="noConversion"/>
  </si>
  <si>
    <t>合同号</t>
  </si>
  <si>
    <t>合同签订日期</t>
  </si>
  <si>
    <t>合同销售面积</t>
  </si>
  <si>
    <t>合同最终协议总价</t>
  </si>
  <si>
    <t>客户姓名</t>
  </si>
  <si>
    <t>销售楼栋名称</t>
  </si>
  <si>
    <t>单元</t>
  </si>
  <si>
    <t>房间号</t>
  </si>
  <si>
    <t>产品类型</t>
  </si>
  <si>
    <t>业态类型</t>
  </si>
  <si>
    <t>均价</t>
  </si>
  <si>
    <t>青岛公园美地</t>
  </si>
  <si>
    <t>1000346934</t>
  </si>
  <si>
    <t>孟凡磊</t>
  </si>
  <si>
    <t>37#楼-Ⅲ</t>
  </si>
  <si>
    <t>一单元</t>
  </si>
  <si>
    <t>101</t>
  </si>
  <si>
    <t>叠拼别墅</t>
  </si>
  <si>
    <t>别墅</t>
  </si>
  <si>
    <t>1000336311</t>
  </si>
  <si>
    <t>于娟</t>
  </si>
  <si>
    <t>9号楼-Ⅲ</t>
  </si>
  <si>
    <t>201</t>
  </si>
  <si>
    <t>1000296457</t>
  </si>
  <si>
    <t>袁辉君</t>
  </si>
  <si>
    <t>55#楼-Ⅲ</t>
  </si>
  <si>
    <t>1000296456</t>
  </si>
  <si>
    <t>张焱</t>
  </si>
  <si>
    <t>202</t>
  </si>
  <si>
    <t>1000305874</t>
  </si>
  <si>
    <t>李甲祥</t>
  </si>
  <si>
    <t>40#楼-Ⅲ</t>
  </si>
  <si>
    <t>二单元</t>
  </si>
  <si>
    <t>1000305731</t>
  </si>
  <si>
    <t>吕品</t>
  </si>
  <si>
    <t>102</t>
  </si>
  <si>
    <t>1000305401</t>
  </si>
  <si>
    <t>杨帆</t>
  </si>
  <si>
    <t>50#楼-Ⅲ</t>
  </si>
  <si>
    <t>1单元</t>
  </si>
  <si>
    <t>1000304594</t>
  </si>
  <si>
    <t>田志荣</t>
  </si>
  <si>
    <t>三单元</t>
  </si>
  <si>
    <t>1000304446</t>
  </si>
  <si>
    <t>马英俊</t>
  </si>
  <si>
    <t>1000304133</t>
  </si>
  <si>
    <t>林娜娜</t>
  </si>
  <si>
    <t>42#楼-Ⅲ</t>
  </si>
  <si>
    <t>1000304132</t>
  </si>
  <si>
    <t>张凌宇</t>
  </si>
  <si>
    <t>1000299949</t>
  </si>
  <si>
    <t>曲峰</t>
  </si>
  <si>
    <t>56#楼-Ⅲ</t>
  </si>
  <si>
    <t>1000299832</t>
  </si>
  <si>
    <t>梁懿</t>
  </si>
  <si>
    <t>1000306252</t>
  </si>
  <si>
    <t>王炜</t>
  </si>
  <si>
    <t>38#楼-Ⅲ</t>
  </si>
  <si>
    <t>1000306244</t>
  </si>
  <si>
    <t>徐杨梅</t>
  </si>
  <si>
    <t>57#楼-Ⅲ</t>
  </si>
  <si>
    <t>1000297255</t>
  </si>
  <si>
    <t>金川</t>
  </si>
  <si>
    <t>1000296995</t>
  </si>
  <si>
    <t>耿赛</t>
  </si>
  <si>
    <t>1000296705</t>
  </si>
  <si>
    <t>陈庆海</t>
  </si>
  <si>
    <t>60#楼-Ⅲ</t>
  </si>
  <si>
    <t>1000294816</t>
  </si>
  <si>
    <t>方崇春</t>
  </si>
  <si>
    <t>1000294815</t>
  </si>
  <si>
    <t>袁良参</t>
  </si>
  <si>
    <t>39#楼-Ⅲ</t>
  </si>
  <si>
    <t>1000294813</t>
  </si>
  <si>
    <t>李岩</t>
  </si>
  <si>
    <t>58#楼-Ⅲ</t>
  </si>
  <si>
    <t>1000294812</t>
  </si>
  <si>
    <t>苏宁</t>
  </si>
  <si>
    <t>1000294811</t>
  </si>
  <si>
    <t>范平平</t>
  </si>
  <si>
    <t>1000294810</t>
  </si>
  <si>
    <t>宋云霞</t>
  </si>
  <si>
    <t>1000294804</t>
  </si>
  <si>
    <t>刘光菊</t>
  </si>
  <si>
    <t>1000294799</t>
  </si>
  <si>
    <t>田岩岩</t>
  </si>
  <si>
    <t>1000294817</t>
  </si>
  <si>
    <t>寇廷勇</t>
  </si>
  <si>
    <t>1000295706</t>
  </si>
  <si>
    <t>王朝玉</t>
  </si>
  <si>
    <t>1000295703</t>
  </si>
  <si>
    <t>吴萌</t>
  </si>
  <si>
    <t>1000295536</t>
  </si>
  <si>
    <t>刘永娟</t>
  </si>
  <si>
    <t>1000295535</t>
  </si>
  <si>
    <t>罗明明</t>
  </si>
  <si>
    <t>59#楼-Ⅲ</t>
  </si>
  <si>
    <t>1000295534</t>
  </si>
  <si>
    <t>张萌萌</t>
  </si>
  <si>
    <t>1000295533</t>
  </si>
  <si>
    <t>王祖昆</t>
  </si>
  <si>
    <t>1000295532</t>
  </si>
  <si>
    <t>刘丽侠</t>
  </si>
  <si>
    <t>41#楼-Ⅲ</t>
  </si>
  <si>
    <t>1000295531</t>
  </si>
  <si>
    <t>孙淑华</t>
  </si>
  <si>
    <t>1000295530</t>
  </si>
  <si>
    <t>孙晓萍</t>
  </si>
  <si>
    <t>1000295529</t>
  </si>
  <si>
    <t>徐晓函</t>
  </si>
  <si>
    <t>1000295528</t>
  </si>
  <si>
    <t>张利杰</t>
  </si>
  <si>
    <t>1000295527</t>
  </si>
  <si>
    <t>孟诗珊</t>
  </si>
  <si>
    <t>1000295012</t>
  </si>
  <si>
    <t>王圆</t>
  </si>
  <si>
    <t>1000295011</t>
  </si>
  <si>
    <t>吴琦</t>
  </si>
  <si>
    <t>1000294951</t>
  </si>
  <si>
    <t>金柯彤</t>
  </si>
  <si>
    <t>1000294823</t>
  </si>
  <si>
    <t>高仙君</t>
  </si>
  <si>
    <t>1000294822</t>
  </si>
  <si>
    <t>姜显生</t>
  </si>
  <si>
    <t>1000294821</t>
  </si>
  <si>
    <t>阎维娜</t>
  </si>
  <si>
    <t>1000294820</t>
  </si>
  <si>
    <t>王寒冰</t>
  </si>
  <si>
    <t>1000294818</t>
  </si>
  <si>
    <t>李奕萱</t>
  </si>
  <si>
    <t>1000313676</t>
  </si>
  <si>
    <t>詹联</t>
  </si>
  <si>
    <t>1000312333</t>
  </si>
  <si>
    <t>张璐</t>
  </si>
  <si>
    <t>1000315803</t>
  </si>
  <si>
    <t>刘力</t>
  </si>
  <si>
    <t>1000310948</t>
  </si>
  <si>
    <t>曹升美</t>
  </si>
  <si>
    <t>1000308993</t>
  </si>
  <si>
    <t>法良春</t>
  </si>
  <si>
    <t>1000308673</t>
  </si>
  <si>
    <t>孙宁</t>
  </si>
  <si>
    <t>1000343395</t>
  </si>
  <si>
    <t>刘建敏</t>
  </si>
  <si>
    <t>1000340859</t>
  </si>
  <si>
    <t>成峰</t>
  </si>
  <si>
    <t>1000349539</t>
  </si>
  <si>
    <t>刘志远</t>
  </si>
  <si>
    <t>1000306044</t>
  </si>
  <si>
    <t>徐禹擎</t>
  </si>
  <si>
    <t>1000306046</t>
  </si>
  <si>
    <t>张永波</t>
  </si>
  <si>
    <t>1000323599</t>
  </si>
  <si>
    <t>王晓寒</t>
  </si>
  <si>
    <t>1000319422</t>
  </si>
  <si>
    <t>张甲勇</t>
  </si>
  <si>
    <t>1000308125</t>
  </si>
  <si>
    <t>盛金荣</t>
  </si>
  <si>
    <t>1000302978</t>
  </si>
  <si>
    <t>王锴博</t>
  </si>
  <si>
    <t>61#楼-Ⅲ</t>
  </si>
  <si>
    <t>103</t>
  </si>
  <si>
    <t>联排别墅</t>
  </si>
  <si>
    <t>1000302719</t>
  </si>
  <si>
    <t>周刚</t>
  </si>
  <si>
    <t>106</t>
  </si>
  <si>
    <t>1000300860</t>
  </si>
  <si>
    <t>高著晓</t>
  </si>
  <si>
    <t>62#楼-Ⅲ</t>
  </si>
  <si>
    <t>1000299818</t>
  </si>
  <si>
    <t>黄冠桐</t>
  </si>
  <si>
    <t>45#楼-Ⅲ</t>
  </si>
  <si>
    <t>1000299617</t>
  </si>
  <si>
    <t>乔丽丽</t>
  </si>
  <si>
    <t>51#楼-Ⅲ</t>
  </si>
  <si>
    <t>1000299584</t>
  </si>
  <si>
    <t>周海滨</t>
  </si>
  <si>
    <t>63#楼-Ⅲ</t>
  </si>
  <si>
    <t>1000298686</t>
  </si>
  <si>
    <t>64#楼-Ⅲ</t>
  </si>
  <si>
    <t>1000298684</t>
  </si>
  <si>
    <t>1000298489</t>
  </si>
  <si>
    <t>李单露</t>
  </si>
  <si>
    <t>107</t>
  </si>
  <si>
    <t>1000298488</t>
  </si>
  <si>
    <t>胡丽华</t>
  </si>
  <si>
    <t>1000298487</t>
  </si>
  <si>
    <t>袁俊伟</t>
  </si>
  <si>
    <t>1000306632</t>
  </si>
  <si>
    <t>韩霞</t>
  </si>
  <si>
    <t>1000298153</t>
  </si>
  <si>
    <t>禹香香</t>
  </si>
  <si>
    <t>52#楼-Ⅲ</t>
  </si>
  <si>
    <t>105</t>
  </si>
  <si>
    <t>1000298152</t>
  </si>
  <si>
    <t>朴海英</t>
  </si>
  <si>
    <t>43#楼-Ⅲ</t>
  </si>
  <si>
    <t>1000298151</t>
  </si>
  <si>
    <t>张树梅</t>
  </si>
  <si>
    <t>44#楼-Ⅲ</t>
  </si>
  <si>
    <t>1000298150</t>
  </si>
  <si>
    <t>刘泉君</t>
  </si>
  <si>
    <t>46#楼-Ⅲ</t>
  </si>
  <si>
    <t>1000298089</t>
  </si>
  <si>
    <t>林丰军</t>
  </si>
  <si>
    <t>1000298154</t>
  </si>
  <si>
    <t>黄若咏</t>
  </si>
  <si>
    <t>1000298486</t>
  </si>
  <si>
    <t>李静</t>
  </si>
  <si>
    <t>1000298331</t>
  </si>
  <si>
    <t>孙逊</t>
  </si>
  <si>
    <t>1000298315</t>
  </si>
  <si>
    <t>李彩莲</t>
  </si>
  <si>
    <t>1000298304</t>
  </si>
  <si>
    <t>霍强</t>
  </si>
  <si>
    <t>1000298303</t>
  </si>
  <si>
    <t>吕伟</t>
  </si>
  <si>
    <t>1000298301</t>
  </si>
  <si>
    <t>韩鹏</t>
  </si>
  <si>
    <t>1000298300</t>
  </si>
  <si>
    <t>刘军</t>
  </si>
  <si>
    <t>1000298289</t>
  </si>
  <si>
    <t>程绍一</t>
  </si>
  <si>
    <t>1000298288</t>
  </si>
  <si>
    <t>胡玉娟</t>
  </si>
  <si>
    <t>54#楼-Ⅲ</t>
  </si>
  <si>
    <t>1000298287</t>
  </si>
  <si>
    <t>梁秀金</t>
  </si>
  <si>
    <t>53#楼-Ⅲ</t>
  </si>
  <si>
    <t>1000298286</t>
  </si>
  <si>
    <t>刘雅楠</t>
  </si>
  <si>
    <t>1000298285</t>
  </si>
  <si>
    <t>丁怀武</t>
  </si>
  <si>
    <t>1000298282</t>
  </si>
  <si>
    <t>刘璐</t>
  </si>
  <si>
    <t>1000298245</t>
  </si>
  <si>
    <t>马玲玲</t>
  </si>
  <si>
    <t>1000298243</t>
  </si>
  <si>
    <t>隋轩</t>
  </si>
  <si>
    <t>1000298242</t>
  </si>
  <si>
    <t>徐绍芳</t>
  </si>
  <si>
    <t>1000298241</t>
  </si>
  <si>
    <t>黄美光</t>
  </si>
  <si>
    <t>1000298219</t>
  </si>
  <si>
    <t>孔祥明</t>
  </si>
  <si>
    <t>1000298218</t>
  </si>
  <si>
    <t>王冰松</t>
  </si>
  <si>
    <t>1000298217</t>
  </si>
  <si>
    <t>徐文琦</t>
  </si>
  <si>
    <t>1000298216</t>
  </si>
  <si>
    <t>郝连英</t>
  </si>
  <si>
    <t>1000298215</t>
  </si>
  <si>
    <t>宋霄飞</t>
  </si>
  <si>
    <t>1000298213</t>
  </si>
  <si>
    <t>钟秀媚</t>
  </si>
  <si>
    <t>1000298212</t>
  </si>
  <si>
    <t>杨富泰</t>
  </si>
  <si>
    <t>1000298211</t>
  </si>
  <si>
    <t>邱添</t>
  </si>
  <si>
    <t>1000298179</t>
  </si>
  <si>
    <t>李菡</t>
  </si>
  <si>
    <t>1000298178</t>
  </si>
  <si>
    <t>侯夏辉</t>
  </si>
  <si>
    <t>1000298177</t>
  </si>
  <si>
    <t>刘琳</t>
  </si>
  <si>
    <t>1000298176</t>
  </si>
  <si>
    <t>郝在超</t>
  </si>
  <si>
    <t>1000298175</t>
  </si>
  <si>
    <t>胡健</t>
  </si>
  <si>
    <t>1000298174</t>
  </si>
  <si>
    <t>李常娥</t>
  </si>
  <si>
    <t>1000298173</t>
  </si>
  <si>
    <t>巩丽秋</t>
  </si>
  <si>
    <t>1000298172</t>
  </si>
  <si>
    <t>赵博</t>
  </si>
  <si>
    <t>1000298171</t>
  </si>
  <si>
    <t>王文静</t>
  </si>
  <si>
    <t>1000298170</t>
  </si>
  <si>
    <t>王本彬</t>
  </si>
  <si>
    <t>1000298159</t>
  </si>
  <si>
    <t>陈蓉蓉</t>
  </si>
  <si>
    <t>1000298158</t>
  </si>
  <si>
    <t>解亚楠</t>
  </si>
  <si>
    <t>1000298157</t>
  </si>
  <si>
    <t>姜玉华</t>
  </si>
  <si>
    <t>1000298156</t>
  </si>
  <si>
    <t>郑庆磊</t>
  </si>
  <si>
    <t>1000298155</t>
  </si>
  <si>
    <t>唐翠华</t>
  </si>
  <si>
    <t>1000312638</t>
  </si>
  <si>
    <t>袁靖</t>
  </si>
  <si>
    <t>1000315782</t>
  </si>
  <si>
    <t>庄湘莉</t>
  </si>
  <si>
    <t>1000314160</t>
  </si>
  <si>
    <t>盛会亮</t>
  </si>
  <si>
    <t>1000299817</t>
  </si>
  <si>
    <t>王蓉</t>
  </si>
  <si>
    <t>1000306257</t>
  </si>
  <si>
    <t>张淑琴</t>
  </si>
  <si>
    <t>1000306256</t>
  </si>
  <si>
    <t>中低档</t>
  </si>
  <si>
    <t>中低档</t>
    <phoneticPr fontId="233" type="noConversion"/>
  </si>
  <si>
    <t>高新区丰年路与宝源路交汇处</t>
    <phoneticPr fontId="3" type="noConversion"/>
  </si>
  <si>
    <t>华贯路603号、666号</t>
    <phoneticPr fontId="3" type="noConversion"/>
  </si>
  <si>
    <t>华贯路758号</t>
  </si>
  <si>
    <t>华贯路758号</t>
    <phoneticPr fontId="3" type="noConversion"/>
  </si>
  <si>
    <t>领秀·珊瑚湾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</si>
</sst>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0.0000_);[Red]\(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name val="Times New Roman"/>
      <family val="1"/>
    </font>
    <font>
      <sz val="12"/>
      <name val="Times New Roman"/>
      <family val="1"/>
    </font>
    <font>
      <sz val="11"/>
      <name val="Times New Roman"/>
      <family val="1"/>
    </font>
    <font>
      <sz val="10"/>
      <color indexed="10"/>
      <name val="宋体"/>
      <family val="3"/>
      <charset val="134"/>
    </font>
    <font>
      <b/>
      <sz val="10"/>
      <color indexed="10"/>
      <name val="宋体"/>
      <family val="3"/>
      <charset val="134"/>
    </font>
    <font>
      <b/>
      <sz val="9"/>
      <name val="宋体"/>
      <family val="3"/>
      <charset val="134"/>
    </font>
    <font>
      <u/>
      <sz val="10.199999999999999"/>
      <color indexed="12"/>
      <name val="宋体"/>
      <family val="3"/>
      <charset val="134"/>
    </font>
    <font>
      <sz val="11"/>
      <color rgb="FF78B43C"/>
      <name val="Arial"/>
      <family val="2"/>
    </font>
    <font>
      <sz val="11"/>
      <color rgb="FF78B43C"/>
      <name val="宋体"/>
      <family val="3"/>
      <charset val="134"/>
    </font>
    <font>
      <sz val="11"/>
      <color rgb="FF313131"/>
      <name val="Arial"/>
      <family val="2"/>
    </font>
    <font>
      <sz val="11"/>
      <color rgb="FF313131"/>
      <name val="宋体"/>
      <family val="3"/>
      <charset val="134"/>
    </font>
    <font>
      <u/>
      <sz val="11"/>
      <color theme="10"/>
      <name val="宋体"/>
      <family val="3"/>
      <charset val="134"/>
      <scheme val="minor"/>
    </font>
    <font>
      <sz val="9"/>
      <color rgb="FF2E2E2E"/>
      <name val="Arial"/>
      <family val="2"/>
    </font>
    <font>
      <b/>
      <sz val="18"/>
      <name val="新宋体"/>
      <family val="3"/>
      <charset val="134"/>
    </font>
    <font>
      <b/>
      <sz val="18"/>
      <name val="Times New Roman"/>
      <family val="1"/>
    </font>
    <font>
      <b/>
      <sz val="10"/>
      <name val="Times New Roman"/>
      <family val="1"/>
    </font>
    <font>
      <b/>
      <sz val="12"/>
      <name val="Times New Roman"/>
      <family val="1"/>
    </font>
    <font>
      <sz val="16"/>
      <name val="Times New Roman"/>
      <family val="1"/>
    </font>
    <font>
      <sz val="10"/>
      <color rgb="FFFF0000"/>
      <name val="Times New Roman"/>
      <family val="1"/>
    </font>
    <font>
      <b/>
      <sz val="10"/>
      <color rgb="FFFF0000"/>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theme="7"/>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mediumDashDot">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DashDot">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mediumDashDot">
        <color indexed="64"/>
      </left>
      <right style="medium">
        <color indexed="64"/>
      </right>
      <top style="dotted">
        <color indexed="64"/>
      </top>
      <bottom/>
      <diagonal/>
    </border>
    <border>
      <left style="dotted">
        <color indexed="64"/>
      </left>
      <right/>
      <top style="medium">
        <color indexed="64"/>
      </top>
      <bottom style="medium">
        <color indexed="64"/>
      </bottom>
      <diagonal/>
    </border>
    <border>
      <left style="mediumDashDot">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s>
  <cellStyleXfs count="23">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191" fontId="32" fillId="0" borderId="0">
      <alignment vertical="center"/>
    </xf>
    <xf numFmtId="194" fontId="32" fillId="0" borderId="0" applyFont="0" applyFill="0" applyBorder="0" applyAlignment="0" applyProtection="0">
      <alignment vertical="center"/>
    </xf>
    <xf numFmtId="191" fontId="32" fillId="0" borderId="0"/>
    <xf numFmtId="191" fontId="32" fillId="0" borderId="0"/>
    <xf numFmtId="191" fontId="283" fillId="0" borderId="0" applyNumberFormat="0" applyFill="0" applyBorder="0" applyAlignment="0" applyProtection="0">
      <alignment vertical="top"/>
      <protection locked="0"/>
    </xf>
    <xf numFmtId="191" fontId="86" fillId="0" borderId="0"/>
    <xf numFmtId="191" fontId="145" fillId="0" borderId="0">
      <alignment vertical="center"/>
    </xf>
    <xf numFmtId="191" fontId="288" fillId="0" borderId="0" applyNumberFormat="0" applyFill="0" applyBorder="0" applyAlignment="0" applyProtection="0">
      <alignment vertical="center"/>
    </xf>
  </cellStyleXfs>
  <cellXfs count="37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91" fontId="277" fillId="0" borderId="0" xfId="15" applyFont="1" applyBorder="1" applyAlignment="1">
      <alignment vertical="center"/>
    </xf>
    <xf numFmtId="191" fontId="278" fillId="0" borderId="0" xfId="15" applyFont="1" applyAlignment="1">
      <alignment horizontal="left" vertical="center"/>
    </xf>
    <xf numFmtId="191" fontId="278" fillId="0" borderId="0" xfId="15" applyFont="1">
      <alignment vertical="center"/>
    </xf>
    <xf numFmtId="191" fontId="278" fillId="0" borderId="1" xfId="15" applyFont="1" applyBorder="1">
      <alignment vertical="center"/>
    </xf>
    <xf numFmtId="191" fontId="278" fillId="0" borderId="6" xfId="15" applyFont="1" applyBorder="1" applyAlignment="1">
      <alignment horizontal="center" vertical="center"/>
    </xf>
    <xf numFmtId="191" fontId="278" fillId="0" borderId="7" xfId="15" applyFont="1" applyBorder="1" applyAlignment="1">
      <alignment horizontal="center" vertical="center"/>
    </xf>
    <xf numFmtId="191" fontId="32" fillId="0" borderId="42" xfId="15" applyBorder="1" applyAlignment="1">
      <alignment horizontal="center" vertical="center"/>
    </xf>
    <xf numFmtId="191" fontId="278" fillId="0" borderId="7" xfId="15" applyFont="1" applyFill="1" applyBorder="1" applyAlignment="1">
      <alignment horizontal="center" vertical="center"/>
    </xf>
    <xf numFmtId="187" fontId="278" fillId="0" borderId="2" xfId="15" applyNumberFormat="1" applyFont="1" applyFill="1" applyBorder="1">
      <alignment vertical="center"/>
    </xf>
    <xf numFmtId="191" fontId="278" fillId="0" borderId="12" xfId="15" applyFont="1" applyBorder="1" applyAlignment="1">
      <alignment horizontal="center"/>
    </xf>
    <xf numFmtId="179" fontId="278" fillId="0" borderId="9" xfId="15" applyNumberFormat="1" applyFont="1" applyBorder="1" applyAlignment="1">
      <alignment horizontal="center"/>
    </xf>
    <xf numFmtId="191" fontId="278" fillId="0" borderId="12" xfId="15" applyFont="1" applyBorder="1">
      <alignment vertical="center"/>
    </xf>
    <xf numFmtId="176" fontId="278" fillId="0" borderId="2" xfId="15" applyNumberFormat="1" applyFont="1" applyBorder="1">
      <alignment vertical="center"/>
    </xf>
    <xf numFmtId="191" fontId="278" fillId="0" borderId="9" xfId="15" applyFont="1" applyBorder="1" applyAlignment="1">
      <alignment horizontal="center"/>
    </xf>
    <xf numFmtId="176" fontId="278" fillId="0" borderId="9" xfId="15" applyNumberFormat="1" applyFont="1" applyBorder="1" applyAlignment="1"/>
    <xf numFmtId="176" fontId="278" fillId="0" borderId="12" xfId="15" applyNumberFormat="1" applyFont="1" applyBorder="1" applyAlignment="1"/>
    <xf numFmtId="191" fontId="144" fillId="0" borderId="2" xfId="15" applyFont="1" applyBorder="1" applyAlignment="1">
      <alignment vertical="center"/>
    </xf>
    <xf numFmtId="176" fontId="278" fillId="0" borderId="2" xfId="15" applyNumberFormat="1" applyFont="1" applyFill="1" applyBorder="1" applyAlignment="1">
      <alignment vertical="center"/>
    </xf>
    <xf numFmtId="191" fontId="278" fillId="0" borderId="12" xfId="15" applyFont="1" applyBorder="1" applyAlignment="1">
      <alignment horizontal="center" vertical="center"/>
    </xf>
    <xf numFmtId="184" fontId="278" fillId="0" borderId="9" xfId="15" applyNumberFormat="1" applyFont="1" applyBorder="1" applyAlignment="1"/>
    <xf numFmtId="191" fontId="144" fillId="0" borderId="2" xfId="15" applyFont="1" applyFill="1" applyBorder="1" applyAlignment="1">
      <alignment vertical="center"/>
    </xf>
    <xf numFmtId="191" fontId="32" fillId="0" borderId="0" xfId="15" applyBorder="1" applyAlignment="1">
      <alignment horizontal="left" vertical="center"/>
    </xf>
    <xf numFmtId="191" fontId="144" fillId="0" borderId="2" xfId="15" applyFont="1" applyBorder="1" applyAlignment="1">
      <alignment horizontal="left" vertical="center" wrapText="1"/>
    </xf>
    <xf numFmtId="191" fontId="144" fillId="0" borderId="2" xfId="15" applyFont="1" applyBorder="1" applyAlignment="1">
      <alignment horizontal="left" vertical="center"/>
    </xf>
    <xf numFmtId="176" fontId="278" fillId="0" borderId="2" xfId="15" applyNumberFormat="1" applyFont="1" applyFill="1" applyBorder="1">
      <alignment vertical="center"/>
    </xf>
    <xf numFmtId="191" fontId="278" fillId="0" borderId="0" xfId="15" applyFont="1" applyBorder="1" applyAlignment="1">
      <alignment horizontal="left" vertical="center"/>
    </xf>
    <xf numFmtId="176" fontId="279" fillId="0" borderId="2" xfId="15" applyNumberFormat="1" applyFont="1" applyFill="1" applyBorder="1" applyAlignment="1">
      <alignment horizontal="right" vertical="center"/>
    </xf>
    <xf numFmtId="176" fontId="279" fillId="0" borderId="9" xfId="15" applyNumberFormat="1" applyFont="1" applyBorder="1" applyAlignment="1"/>
    <xf numFmtId="191" fontId="32" fillId="0" borderId="0" xfId="15" applyFont="1" applyBorder="1" applyAlignment="1">
      <alignment horizontal="left" vertical="center"/>
    </xf>
    <xf numFmtId="194" fontId="279" fillId="0" borderId="2" xfId="16" applyFont="1" applyFill="1" applyBorder="1" applyAlignment="1">
      <alignment horizontal="right" vertical="center"/>
    </xf>
    <xf numFmtId="184" fontId="278" fillId="0" borderId="12" xfId="15" applyNumberFormat="1" applyFont="1" applyBorder="1" applyAlignment="1"/>
    <xf numFmtId="191" fontId="279" fillId="0" borderId="2" xfId="15" applyFont="1" applyBorder="1" applyAlignment="1">
      <alignment horizontal="left" vertical="center"/>
    </xf>
    <xf numFmtId="184" fontId="279" fillId="0" borderId="2" xfId="15" applyNumberFormat="1" applyFont="1" applyFill="1" applyBorder="1">
      <alignment vertical="center"/>
    </xf>
    <xf numFmtId="191" fontId="32" fillId="0" borderId="2" xfId="15" applyFont="1" applyBorder="1" applyAlignment="1">
      <alignment horizontal="left" vertical="center" wrapText="1"/>
    </xf>
    <xf numFmtId="176" fontId="278" fillId="0" borderId="12" xfId="15" applyNumberFormat="1" applyFont="1" applyFill="1" applyBorder="1" applyAlignment="1"/>
    <xf numFmtId="184" fontId="278" fillId="0" borderId="2" xfId="15" applyNumberFormat="1" applyFont="1" applyFill="1" applyBorder="1">
      <alignment vertical="center"/>
    </xf>
    <xf numFmtId="191" fontId="278" fillId="0" borderId="9" xfId="15" applyFont="1" applyBorder="1" applyAlignment="1">
      <alignment horizontal="center" vertical="center"/>
    </xf>
    <xf numFmtId="179" fontId="278" fillId="0" borderId="2" xfId="15" applyNumberFormat="1" applyFont="1" applyFill="1" applyBorder="1">
      <alignment vertical="center"/>
    </xf>
    <xf numFmtId="10" fontId="278" fillId="0" borderId="2" xfId="15" applyNumberFormat="1" applyFont="1" applyFill="1" applyBorder="1">
      <alignment vertical="center"/>
    </xf>
    <xf numFmtId="10" fontId="278" fillId="0" borderId="12" xfId="15" applyNumberFormat="1" applyFont="1" applyBorder="1">
      <alignment vertical="center"/>
    </xf>
    <xf numFmtId="191" fontId="278" fillId="0" borderId="2" xfId="15" applyFont="1" applyBorder="1" applyAlignment="1">
      <alignment horizontal="left"/>
    </xf>
    <xf numFmtId="176" fontId="278" fillId="0" borderId="47" xfId="15" applyNumberFormat="1" applyFont="1" applyBorder="1" applyAlignment="1">
      <alignment horizontal="center"/>
    </xf>
    <xf numFmtId="10" fontId="278" fillId="0" borderId="46" xfId="15" applyNumberFormat="1" applyFont="1" applyBorder="1">
      <alignment vertical="center"/>
    </xf>
    <xf numFmtId="177" fontId="278" fillId="0" borderId="44" xfId="15" applyNumberFormat="1" applyFont="1" applyFill="1" applyBorder="1">
      <alignment vertical="center"/>
    </xf>
    <xf numFmtId="191" fontId="32" fillId="0" borderId="46" xfId="15" applyFont="1" applyBorder="1" applyAlignment="1">
      <alignment horizontal="center" vertical="center"/>
    </xf>
    <xf numFmtId="191" fontId="278" fillId="0" borderId="0" xfId="15" applyFont="1" applyAlignment="1">
      <alignment horizontal="center" vertical="center"/>
    </xf>
    <xf numFmtId="10" fontId="278" fillId="0" borderId="0" xfId="11" applyNumberFormat="1" applyFont="1" applyBorder="1" applyAlignment="1">
      <alignment horizontal="center" vertical="center"/>
    </xf>
    <xf numFmtId="10" fontId="278" fillId="0" borderId="0" xfId="11" applyNumberFormat="1" applyFont="1">
      <alignment vertical="center"/>
    </xf>
    <xf numFmtId="191" fontId="217" fillId="0" borderId="0" xfId="15" applyNumberFormat="1" applyFont="1" applyFill="1" applyBorder="1" applyAlignment="1" applyProtection="1">
      <alignment horizontal="centerContinuous" vertical="center" wrapText="1"/>
      <protection locked="0"/>
    </xf>
    <xf numFmtId="191" fontId="127" fillId="0" borderId="0" xfId="15" applyFont="1">
      <alignment vertical="center"/>
    </xf>
    <xf numFmtId="191" fontId="234" fillId="0" borderId="0" xfId="15" applyNumberFormat="1" applyFont="1" applyFill="1" applyBorder="1" applyAlignment="1" applyProtection="1">
      <alignment horizontal="left" vertical="center" wrapText="1"/>
      <protection locked="0"/>
    </xf>
    <xf numFmtId="191" fontId="226" fillId="0" borderId="0" xfId="15" applyNumberFormat="1" applyFont="1" applyFill="1" applyBorder="1" applyAlignment="1" applyProtection="1">
      <alignment horizontal="left" vertical="center" wrapText="1"/>
      <protection locked="0"/>
    </xf>
    <xf numFmtId="191" fontId="226" fillId="0" borderId="0" xfId="15" applyNumberFormat="1" applyFont="1" applyFill="1" applyBorder="1" applyAlignment="1" applyProtection="1">
      <alignment horizontal="right" vertical="center"/>
      <protection locked="0"/>
    </xf>
    <xf numFmtId="10" fontId="226" fillId="0" borderId="0" xfId="15" applyNumberFormat="1" applyFont="1" applyFill="1" applyBorder="1" applyAlignment="1" applyProtection="1">
      <alignment horizontal="right" vertical="center"/>
      <protection locked="0"/>
    </xf>
    <xf numFmtId="176" fontId="127" fillId="0" borderId="0" xfId="15" applyNumberFormat="1" applyFont="1">
      <alignment vertical="center"/>
    </xf>
    <xf numFmtId="191" fontId="226" fillId="0" borderId="153" xfId="15" applyNumberFormat="1" applyFont="1" applyFill="1" applyBorder="1" applyAlignment="1" applyProtection="1">
      <alignment horizontal="center" vertical="center" wrapText="1"/>
      <protection locked="0"/>
    </xf>
    <xf numFmtId="176" fontId="226" fillId="0" borderId="154" xfId="15" applyNumberFormat="1" applyFont="1" applyFill="1" applyBorder="1" applyAlignment="1" applyProtection="1">
      <alignment horizontal="center" vertical="center" wrapText="1"/>
      <protection locked="0"/>
    </xf>
    <xf numFmtId="176" fontId="226" fillId="0" borderId="155" xfId="15" applyNumberFormat="1" applyFont="1" applyFill="1" applyBorder="1" applyAlignment="1" applyProtection="1">
      <alignment horizontal="center" vertical="center" wrapText="1"/>
      <protection locked="0"/>
    </xf>
    <xf numFmtId="191" fontId="226" fillId="17" borderId="156" xfId="15" applyNumberFormat="1" applyFont="1" applyFill="1" applyBorder="1" applyAlignment="1" applyProtection="1">
      <alignment horizontal="left" vertical="center" shrinkToFit="1"/>
      <protection locked="0"/>
    </xf>
    <xf numFmtId="176" fontId="226" fillId="17" borderId="157" xfId="15" applyNumberFormat="1" applyFont="1" applyFill="1" applyBorder="1" applyAlignment="1" applyProtection="1">
      <alignment horizontal="center" vertical="center" wrapText="1"/>
      <protection locked="0"/>
    </xf>
    <xf numFmtId="176" fontId="226" fillId="17" borderId="158" xfId="15" applyNumberFormat="1" applyFont="1" applyFill="1" applyBorder="1" applyAlignment="1" applyProtection="1">
      <alignment horizontal="right" vertical="center" wrapText="1"/>
      <protection locked="0"/>
    </xf>
    <xf numFmtId="176" fontId="226" fillId="17" borderId="157" xfId="15" applyNumberFormat="1" applyFont="1" applyFill="1" applyBorder="1" applyAlignment="1" applyProtection="1">
      <alignment horizontal="right" vertical="center" wrapText="1"/>
      <protection locked="0"/>
    </xf>
    <xf numFmtId="176" fontId="226" fillId="17" borderId="159" xfId="15" applyNumberFormat="1" applyFont="1" applyFill="1" applyBorder="1" applyAlignment="1" applyProtection="1">
      <alignment horizontal="right" vertical="center" wrapText="1"/>
      <protection locked="0"/>
    </xf>
    <xf numFmtId="191" fontId="127" fillId="0" borderId="0" xfId="15" applyFont="1" applyBorder="1">
      <alignment vertical="center"/>
    </xf>
    <xf numFmtId="191" fontId="226" fillId="18" borderId="160" xfId="15" applyNumberFormat="1" applyFont="1" applyFill="1" applyBorder="1" applyAlignment="1" applyProtection="1">
      <alignment horizontal="left" vertical="center" shrinkToFit="1"/>
      <protection locked="0"/>
    </xf>
    <xf numFmtId="176" fontId="226" fillId="18" borderId="161" xfId="15" applyNumberFormat="1" applyFont="1" applyFill="1" applyBorder="1" applyAlignment="1" applyProtection="1">
      <alignment horizontal="center" vertical="center" wrapText="1"/>
      <protection locked="0"/>
    </xf>
    <xf numFmtId="176" fontId="127" fillId="18" borderId="162" xfId="15" applyNumberFormat="1" applyFont="1" applyFill="1" applyBorder="1" applyAlignment="1" applyProtection="1">
      <alignment vertical="center" wrapText="1"/>
      <protection locked="0"/>
    </xf>
    <xf numFmtId="176" fontId="226" fillId="18" borderId="161" xfId="15" applyNumberFormat="1" applyFont="1" applyFill="1" applyBorder="1" applyAlignment="1" applyProtection="1">
      <alignment horizontal="right" vertical="center" wrapText="1"/>
    </xf>
    <xf numFmtId="176" fontId="226" fillId="18" borderId="163" xfId="15" applyNumberFormat="1" applyFont="1" applyFill="1" applyBorder="1" applyAlignment="1" applyProtection="1">
      <alignment horizontal="right" vertical="center" wrapText="1"/>
    </xf>
    <xf numFmtId="9" fontId="127" fillId="0" borderId="0" xfId="11" applyFont="1">
      <alignment vertical="center"/>
    </xf>
    <xf numFmtId="191" fontId="127" fillId="0" borderId="0" xfId="15" applyFont="1" applyFill="1" applyBorder="1" applyAlignment="1" applyProtection="1">
      <alignment horizontal="center" vertical="center"/>
      <protection locked="0"/>
    </xf>
    <xf numFmtId="191" fontId="43" fillId="0" borderId="0" xfId="15" applyFont="1" applyBorder="1">
      <alignment vertical="center"/>
    </xf>
    <xf numFmtId="191" fontId="127" fillId="0" borderId="0" xfId="15" applyFont="1" applyFill="1" applyBorder="1" applyProtection="1">
      <alignment vertical="center"/>
      <protection locked="0"/>
    </xf>
    <xf numFmtId="191" fontId="226" fillId="0" borderId="160" xfId="15" applyNumberFormat="1" applyFont="1" applyFill="1" applyBorder="1" applyAlignment="1" applyProtection="1">
      <alignment horizontal="left" vertical="center" shrinkToFit="1"/>
      <protection locked="0"/>
    </xf>
    <xf numFmtId="176" fontId="226" fillId="0" borderId="161" xfId="15" applyNumberFormat="1" applyFont="1" applyFill="1" applyBorder="1" applyAlignment="1" applyProtection="1">
      <alignment vertical="center" wrapText="1"/>
      <protection locked="0"/>
    </xf>
    <xf numFmtId="176" fontId="226" fillId="0" borderId="162" xfId="15" applyNumberFormat="1" applyFont="1" applyFill="1" applyBorder="1" applyAlignment="1" applyProtection="1">
      <alignment vertical="center" wrapText="1"/>
      <protection locked="0"/>
    </xf>
    <xf numFmtId="176" fontId="127" fillId="0" borderId="161" xfId="15" applyNumberFormat="1" applyFont="1" applyFill="1" applyBorder="1" applyAlignment="1" applyProtection="1">
      <alignment horizontal="right" vertical="center" wrapText="1"/>
    </xf>
    <xf numFmtId="176" fontId="226" fillId="0" borderId="161" xfId="15" applyNumberFormat="1" applyFont="1" applyFill="1" applyBorder="1" applyAlignment="1" applyProtection="1">
      <alignment horizontal="right" vertical="center" wrapText="1"/>
    </xf>
    <xf numFmtId="176" fontId="127" fillId="0" borderId="162" xfId="15" applyNumberFormat="1" applyFont="1" applyFill="1" applyBorder="1" applyAlignment="1" applyProtection="1">
      <alignment horizontal="right" vertical="center" wrapText="1"/>
    </xf>
    <xf numFmtId="176" fontId="226" fillId="0" borderId="163" xfId="15" applyNumberFormat="1" applyFont="1" applyFill="1" applyBorder="1" applyAlignment="1" applyProtection="1">
      <alignment horizontal="right" vertical="center" wrapText="1"/>
    </xf>
    <xf numFmtId="191" fontId="127" fillId="0" borderId="0" xfId="15" applyFont="1" applyFill="1" applyBorder="1" applyAlignment="1" applyProtection="1">
      <alignment horizontal="left" vertical="center"/>
      <protection locked="0"/>
    </xf>
    <xf numFmtId="191" fontId="226" fillId="0" borderId="0" xfId="15" applyFont="1" applyFill="1" applyBorder="1" applyAlignment="1" applyProtection="1">
      <alignment horizontal="center"/>
      <protection locked="0"/>
    </xf>
    <xf numFmtId="176" fontId="127" fillId="0" borderId="161" xfId="15" applyNumberFormat="1" applyFont="1" applyFill="1" applyBorder="1" applyAlignment="1" applyProtection="1">
      <alignment horizontal="left" vertical="center" wrapText="1"/>
      <protection locked="0"/>
    </xf>
    <xf numFmtId="176" fontId="127" fillId="0" borderId="162" xfId="15" applyNumberFormat="1" applyFont="1" applyFill="1" applyBorder="1" applyAlignment="1" applyProtection="1">
      <alignment horizontal="right" vertical="center" wrapText="1"/>
      <protection locked="0"/>
    </xf>
    <xf numFmtId="191" fontId="127" fillId="0" borderId="160" xfId="15" applyNumberFormat="1" applyFont="1" applyFill="1" applyBorder="1" applyAlignment="1" applyProtection="1">
      <alignment horizontal="left" vertical="center" shrinkToFit="1"/>
      <protection locked="0"/>
    </xf>
    <xf numFmtId="176" fontId="127" fillId="0" borderId="161" xfId="15" applyNumberFormat="1" applyFont="1" applyFill="1" applyBorder="1" applyAlignment="1" applyProtection="1">
      <alignment vertical="center" wrapText="1"/>
      <protection locked="0"/>
    </xf>
    <xf numFmtId="176" fontId="127" fillId="0" borderId="161" xfId="15" applyNumberFormat="1" applyFont="1" applyFill="1" applyBorder="1" applyAlignment="1" applyProtection="1">
      <alignment horizontal="right" vertical="center" wrapText="1"/>
      <protection locked="0"/>
    </xf>
    <xf numFmtId="176" fontId="127" fillId="0" borderId="163" xfId="15" applyNumberFormat="1" applyFont="1" applyFill="1" applyBorder="1" applyAlignment="1" applyProtection="1">
      <alignment horizontal="right" vertical="center" wrapText="1"/>
    </xf>
    <xf numFmtId="176" fontId="226" fillId="0" borderId="162" xfId="15" applyNumberFormat="1" applyFont="1" applyFill="1" applyBorder="1" applyAlignment="1" applyProtection="1">
      <alignment horizontal="right" vertical="center" wrapText="1"/>
    </xf>
    <xf numFmtId="176" fontId="127" fillId="0" borderId="161" xfId="15" applyNumberFormat="1" applyFont="1" applyFill="1" applyBorder="1" applyAlignment="1" applyProtection="1">
      <alignment vertical="center" shrinkToFit="1"/>
      <protection locked="0"/>
    </xf>
    <xf numFmtId="176" fontId="226" fillId="0" borderId="161" xfId="15" applyNumberFormat="1" applyFont="1" applyFill="1" applyBorder="1" applyAlignment="1" applyProtection="1">
      <alignment horizontal="right" vertical="center" wrapText="1"/>
      <protection locked="0"/>
    </xf>
    <xf numFmtId="176" fontId="226" fillId="0" borderId="164" xfId="15" applyNumberFormat="1" applyFont="1" applyFill="1" applyBorder="1" applyAlignment="1" applyProtection="1">
      <alignment vertical="center" wrapText="1"/>
      <protection locked="0"/>
    </xf>
    <xf numFmtId="184" fontId="226" fillId="18" borderId="161" xfId="15" applyNumberFormat="1" applyFont="1" applyFill="1" applyBorder="1" applyAlignment="1" applyProtection="1">
      <alignment horizontal="right" vertical="center" wrapText="1"/>
    </xf>
    <xf numFmtId="184" fontId="226" fillId="18" borderId="163" xfId="15" applyNumberFormat="1" applyFont="1" applyFill="1" applyBorder="1" applyAlignment="1" applyProtection="1">
      <alignment horizontal="right" vertical="center" wrapText="1"/>
    </xf>
    <xf numFmtId="176" fontId="127" fillId="6" borderId="161" xfId="15" applyNumberFormat="1" applyFont="1" applyFill="1" applyBorder="1" applyAlignment="1" applyProtection="1">
      <alignment horizontal="right" vertical="center" wrapText="1"/>
    </xf>
    <xf numFmtId="184" fontId="127" fillId="0" borderId="161" xfId="15" applyNumberFormat="1" applyFont="1" applyFill="1" applyBorder="1" applyAlignment="1" applyProtection="1">
      <alignment horizontal="right" vertical="center" wrapText="1"/>
    </xf>
    <xf numFmtId="184" fontId="280" fillId="0" borderId="161" xfId="15" applyNumberFormat="1" applyFont="1" applyFill="1" applyBorder="1" applyAlignment="1" applyProtection="1">
      <alignment horizontal="right" vertical="center" wrapText="1"/>
    </xf>
    <xf numFmtId="195" fontId="127" fillId="0" borderId="161" xfId="15" applyNumberFormat="1" applyFont="1" applyFill="1" applyBorder="1" applyAlignment="1" applyProtection="1">
      <alignment horizontal="right" vertical="center" wrapText="1"/>
    </xf>
    <xf numFmtId="191" fontId="226" fillId="0" borderId="0" xfId="15" applyFont="1" applyAlignment="1">
      <alignment horizontal="center" vertical="center"/>
    </xf>
    <xf numFmtId="191" fontId="226" fillId="17" borderId="160" xfId="15" applyNumberFormat="1" applyFont="1" applyFill="1" applyBorder="1" applyAlignment="1" applyProtection="1">
      <alignment horizontal="left" vertical="center" shrinkToFit="1"/>
      <protection locked="0"/>
    </xf>
    <xf numFmtId="176" fontId="226" fillId="17" borderId="161" xfId="15" applyNumberFormat="1" applyFont="1" applyFill="1" applyBorder="1" applyAlignment="1" applyProtection="1">
      <alignment horizontal="center" vertical="center" wrapText="1"/>
      <protection locked="0"/>
    </xf>
    <xf numFmtId="176" fontId="226" fillId="17" borderId="162" xfId="15" applyNumberFormat="1" applyFont="1" applyFill="1" applyBorder="1" applyAlignment="1" applyProtection="1">
      <alignment horizontal="center" vertical="center" wrapText="1"/>
      <protection locked="0"/>
    </xf>
    <xf numFmtId="179" fontId="226" fillId="17" borderId="161" xfId="15" applyNumberFormat="1" applyFont="1" applyFill="1" applyBorder="1" applyAlignment="1" applyProtection="1">
      <alignment horizontal="center" vertical="center" wrapText="1"/>
      <protection locked="0"/>
    </xf>
    <xf numFmtId="176" fontId="226" fillId="17" borderId="161" xfId="15" applyNumberFormat="1" applyFont="1" applyFill="1" applyBorder="1" applyAlignment="1" applyProtection="1">
      <alignment horizontal="center" vertical="center" wrapText="1"/>
    </xf>
    <xf numFmtId="176" fontId="226" fillId="17" borderId="162" xfId="15" applyNumberFormat="1" applyFont="1" applyFill="1" applyBorder="1" applyAlignment="1" applyProtection="1">
      <alignment horizontal="center" vertical="center" wrapText="1"/>
    </xf>
    <xf numFmtId="176" fontId="226" fillId="17" borderId="163" xfId="15" applyNumberFormat="1" applyFont="1" applyFill="1" applyBorder="1" applyAlignment="1" applyProtection="1">
      <alignment horizontal="center" vertical="center" wrapText="1"/>
    </xf>
    <xf numFmtId="176" fontId="229" fillId="18" borderId="162" xfId="15" applyNumberFormat="1" applyFont="1" applyFill="1" applyBorder="1" applyAlignment="1" applyProtection="1">
      <alignment horizontal="right" vertical="center" wrapText="1"/>
    </xf>
    <xf numFmtId="176" fontId="280" fillId="0" borderId="161" xfId="15" applyNumberFormat="1" applyFont="1" applyFill="1" applyBorder="1" applyAlignment="1" applyProtection="1">
      <alignment horizontal="right" vertical="center" wrapText="1"/>
      <protection locked="0"/>
    </xf>
    <xf numFmtId="176" fontId="211" fillId="0" borderId="162" xfId="15" applyNumberFormat="1" applyFont="1" applyFill="1" applyBorder="1" applyAlignment="1" applyProtection="1">
      <alignment horizontal="right" vertical="center" wrapText="1"/>
    </xf>
    <xf numFmtId="10" fontId="127" fillId="0" borderId="161" xfId="15" applyNumberFormat="1" applyFont="1" applyFill="1" applyBorder="1" applyAlignment="1" applyProtection="1">
      <alignment horizontal="right" vertical="center" wrapText="1"/>
      <protection locked="0"/>
    </xf>
    <xf numFmtId="179" fontId="127" fillId="0" borderId="161" xfId="15" applyNumberFormat="1" applyFont="1" applyFill="1" applyBorder="1" applyAlignment="1" applyProtection="1">
      <alignment horizontal="right" vertical="center" wrapText="1"/>
      <protection locked="0"/>
    </xf>
    <xf numFmtId="191" fontId="127" fillId="0" borderId="161" xfId="15" applyFont="1" applyFill="1" applyBorder="1" applyAlignment="1" applyProtection="1">
      <protection locked="0"/>
    </xf>
    <xf numFmtId="191" fontId="127" fillId="0" borderId="161" xfId="15" applyFont="1" applyFill="1" applyBorder="1" applyAlignment="1" applyProtection="1">
      <alignment horizontal="right"/>
      <protection locked="0"/>
    </xf>
    <xf numFmtId="179" fontId="127" fillId="0" borderId="161" xfId="15" applyNumberFormat="1" applyFont="1" applyFill="1" applyBorder="1" applyAlignment="1" applyProtection="1">
      <alignment horizontal="right"/>
      <protection locked="0"/>
    </xf>
    <xf numFmtId="179" fontId="127" fillId="0" borderId="163" xfId="15" applyNumberFormat="1" applyFont="1" applyFill="1" applyBorder="1" applyAlignment="1" applyProtection="1">
      <alignment horizontal="right"/>
      <protection locked="0"/>
    </xf>
    <xf numFmtId="176" fontId="127" fillId="6" borderId="162" xfId="15" applyNumberFormat="1" applyFont="1" applyFill="1" applyBorder="1" applyAlignment="1" applyProtection="1">
      <alignment horizontal="right" vertical="center" wrapText="1"/>
    </xf>
    <xf numFmtId="176" fontId="127" fillId="0" borderId="164" xfId="15" applyNumberFormat="1" applyFont="1" applyFill="1" applyBorder="1" applyAlignment="1" applyProtection="1">
      <alignment horizontal="right" vertical="center" wrapText="1"/>
      <protection locked="0"/>
    </xf>
    <xf numFmtId="176" fontId="127" fillId="0" borderId="164" xfId="15" applyNumberFormat="1" applyFont="1" applyFill="1" applyBorder="1" applyAlignment="1" applyProtection="1">
      <alignment vertical="center" wrapText="1"/>
    </xf>
    <xf numFmtId="191" fontId="280" fillId="0" borderId="0" xfId="15" applyFont="1">
      <alignment vertical="center"/>
    </xf>
    <xf numFmtId="176" fontId="280" fillId="0" borderId="163" xfId="15" applyNumberFormat="1" applyFont="1" applyFill="1" applyBorder="1" applyAlignment="1" applyProtection="1">
      <alignment horizontal="right" vertical="center" wrapText="1"/>
    </xf>
    <xf numFmtId="191" fontId="82" fillId="0" borderId="0" xfId="15" applyFont="1">
      <alignment vertical="center"/>
    </xf>
    <xf numFmtId="186" fontId="127" fillId="0" borderId="161" xfId="15" applyNumberFormat="1" applyFont="1" applyFill="1" applyBorder="1" applyAlignment="1" applyProtection="1">
      <alignment horizontal="right" vertical="center" wrapText="1"/>
    </xf>
    <xf numFmtId="176" fontId="82" fillId="0" borderId="162" xfId="15" applyNumberFormat="1" applyFont="1" applyFill="1" applyBorder="1" applyAlignment="1" applyProtection="1">
      <alignment horizontal="right" vertical="center" wrapText="1"/>
    </xf>
    <xf numFmtId="176" fontId="280" fillId="0" borderId="161" xfId="15" applyNumberFormat="1" applyFont="1" applyFill="1" applyBorder="1" applyAlignment="1" applyProtection="1">
      <alignment vertical="center" wrapText="1"/>
      <protection locked="0"/>
    </xf>
    <xf numFmtId="176" fontId="211" fillId="0" borderId="161" xfId="15" applyNumberFormat="1" applyFont="1" applyFill="1" applyBorder="1" applyAlignment="1" applyProtection="1">
      <alignment horizontal="right" vertical="center" wrapText="1"/>
    </xf>
    <xf numFmtId="176" fontId="211" fillId="0" borderId="161" xfId="15" applyNumberFormat="1" applyFont="1" applyFill="1" applyBorder="1" applyAlignment="1" applyProtection="1">
      <alignment horizontal="right" vertical="center" wrapText="1"/>
      <protection locked="0"/>
    </xf>
    <xf numFmtId="176" fontId="226" fillId="18" borderId="162" xfId="15" applyNumberFormat="1" applyFont="1" applyFill="1" applyBorder="1" applyAlignment="1" applyProtection="1">
      <alignment horizontal="center" vertical="center" wrapText="1"/>
      <protection locked="0"/>
    </xf>
    <xf numFmtId="176" fontId="226" fillId="18" borderId="162" xfId="15" applyNumberFormat="1" applyFont="1" applyFill="1" applyBorder="1" applyAlignment="1" applyProtection="1">
      <alignment horizontal="right" vertical="center" wrapText="1"/>
      <protection locked="0"/>
    </xf>
    <xf numFmtId="10" fontId="226" fillId="18" borderId="162" xfId="15" applyNumberFormat="1" applyFont="1" applyFill="1" applyBorder="1" applyAlignment="1" applyProtection="1">
      <alignment horizontal="right" vertical="center" wrapText="1"/>
      <protection locked="0"/>
    </xf>
    <xf numFmtId="191" fontId="281" fillId="0" borderId="160" xfId="15" applyNumberFormat="1" applyFont="1" applyFill="1" applyBorder="1" applyAlignment="1" applyProtection="1">
      <alignment horizontal="left" vertical="center" shrinkToFit="1"/>
      <protection locked="0"/>
    </xf>
    <xf numFmtId="176" fontId="82" fillId="0" borderId="161" xfId="15" applyNumberFormat="1" applyFont="1" applyFill="1" applyBorder="1" applyAlignment="1" applyProtection="1">
      <alignment vertical="center" wrapText="1"/>
      <protection locked="0"/>
    </xf>
    <xf numFmtId="176" fontId="280" fillId="0" borderId="161" xfId="15" applyNumberFormat="1" applyFont="1" applyFill="1" applyBorder="1" applyAlignment="1" applyProtection="1">
      <alignment horizontal="right" vertical="center" wrapText="1"/>
    </xf>
    <xf numFmtId="10" fontId="280" fillId="0" borderId="161" xfId="15" applyNumberFormat="1" applyFont="1" applyFill="1" applyBorder="1" applyAlignment="1" applyProtection="1">
      <alignment horizontal="right" vertical="center" wrapText="1"/>
      <protection locked="0"/>
    </xf>
    <xf numFmtId="176" fontId="280" fillId="0" borderId="162" xfId="15" applyNumberFormat="1" applyFont="1" applyFill="1" applyBorder="1" applyAlignment="1" applyProtection="1">
      <alignment horizontal="right" vertical="center" wrapText="1"/>
    </xf>
    <xf numFmtId="191" fontId="127" fillId="0" borderId="0" xfId="15" applyFont="1" applyAlignment="1">
      <alignment horizontal="center" vertical="center"/>
    </xf>
    <xf numFmtId="176" fontId="127" fillId="0" borderId="165" xfId="15" applyNumberFormat="1" applyFont="1" applyFill="1" applyBorder="1" applyAlignment="1" applyProtection="1">
      <alignment horizontal="right" vertical="center" wrapText="1"/>
    </xf>
    <xf numFmtId="176" fontId="127" fillId="0" borderId="166" xfId="15" applyNumberFormat="1" applyFont="1" applyFill="1" applyBorder="1" applyAlignment="1" applyProtection="1">
      <alignment horizontal="right" vertical="center" wrapText="1"/>
    </xf>
    <xf numFmtId="191" fontId="226" fillId="19" borderId="153" xfId="15" applyNumberFormat="1" applyFont="1" applyFill="1" applyBorder="1" applyAlignment="1" applyProtection="1">
      <alignment horizontal="center" vertical="center" wrapText="1"/>
      <protection locked="0"/>
    </xf>
    <xf numFmtId="176" fontId="226" fillId="19" borderId="154" xfId="15" applyNumberFormat="1" applyFont="1" applyFill="1" applyBorder="1" applyAlignment="1" applyProtection="1">
      <alignment horizontal="center" vertical="center" wrapText="1"/>
      <protection locked="0"/>
    </xf>
    <xf numFmtId="176" fontId="226" fillId="19" borderId="167" xfId="15" applyNumberFormat="1" applyFont="1" applyFill="1" applyBorder="1" applyAlignment="1" applyProtection="1">
      <alignment horizontal="center" vertical="center" wrapText="1"/>
      <protection locked="0"/>
    </xf>
    <xf numFmtId="176" fontId="226" fillId="19" borderId="168" xfId="15" applyNumberFormat="1" applyFont="1" applyFill="1" applyBorder="1" applyAlignment="1" applyProtection="1">
      <alignment horizontal="center" vertical="center" wrapText="1"/>
      <protection locked="0"/>
    </xf>
    <xf numFmtId="191" fontId="226" fillId="0" borderId="160" xfId="15" applyNumberFormat="1" applyFont="1" applyFill="1" applyBorder="1" applyAlignment="1" applyProtection="1">
      <alignment horizontal="left" vertical="center" wrapText="1"/>
      <protection locked="0"/>
    </xf>
    <xf numFmtId="191" fontId="226" fillId="18" borderId="160" xfId="15" applyNumberFormat="1" applyFont="1" applyFill="1" applyBorder="1" applyAlignment="1" applyProtection="1">
      <alignment horizontal="left" vertical="center" wrapText="1"/>
      <protection locked="0"/>
    </xf>
    <xf numFmtId="176" fontId="226" fillId="18" borderId="161" xfId="15" applyNumberFormat="1" applyFont="1" applyFill="1" applyBorder="1" applyAlignment="1" applyProtection="1">
      <alignment vertical="center" wrapText="1"/>
      <protection locked="0"/>
    </xf>
    <xf numFmtId="176" fontId="226" fillId="18" borderId="161" xfId="15" applyNumberFormat="1" applyFont="1" applyFill="1" applyBorder="1" applyAlignment="1" applyProtection="1">
      <alignment horizontal="right" vertical="center" wrapText="1"/>
      <protection locked="0"/>
    </xf>
    <xf numFmtId="179" fontId="226" fillId="18" borderId="161" xfId="15" applyNumberFormat="1" applyFont="1" applyFill="1" applyBorder="1" applyAlignment="1" applyProtection="1">
      <alignment horizontal="right" vertical="center" wrapText="1"/>
      <protection locked="0"/>
    </xf>
    <xf numFmtId="176" fontId="226" fillId="18" borderId="163" xfId="15" applyNumberFormat="1" applyFont="1" applyFill="1" applyBorder="1" applyAlignment="1" applyProtection="1">
      <alignment horizontal="right" vertical="center" wrapText="1"/>
      <protection locked="0"/>
    </xf>
    <xf numFmtId="176" fontId="226" fillId="19" borderId="167" xfId="15" applyNumberFormat="1" applyFont="1" applyFill="1" applyBorder="1" applyAlignment="1" applyProtection="1">
      <alignment vertical="center" wrapText="1"/>
      <protection locked="0"/>
    </xf>
    <xf numFmtId="176" fontId="226" fillId="19" borderId="154" xfId="15" applyNumberFormat="1" applyFont="1" applyFill="1" applyBorder="1" applyAlignment="1" applyProtection="1">
      <alignment horizontal="right" vertical="center" wrapText="1"/>
      <protection locked="0"/>
    </xf>
    <xf numFmtId="176" fontId="226" fillId="19" borderId="167" xfId="15" applyNumberFormat="1" applyFont="1" applyFill="1" applyBorder="1" applyAlignment="1" applyProtection="1">
      <alignment horizontal="right" vertical="center" wrapText="1"/>
      <protection locked="0"/>
    </xf>
    <xf numFmtId="176" fontId="226" fillId="19" borderId="168" xfId="15" applyNumberFormat="1" applyFont="1" applyFill="1" applyBorder="1" applyAlignment="1" applyProtection="1">
      <alignment horizontal="right" vertical="center" wrapText="1"/>
      <protection locked="0"/>
    </xf>
    <xf numFmtId="177" fontId="81" fillId="0" borderId="2" xfId="2" applyNumberFormat="1" applyFont="1" applyFill="1" applyBorder="1" applyAlignment="1" applyProtection="1">
      <alignment vertical="center"/>
      <protection locked="0"/>
    </xf>
    <xf numFmtId="0" fontId="134" fillId="0" borderId="169" xfId="0" applyFont="1" applyFill="1" applyBorder="1" applyAlignment="1" applyProtection="1">
      <alignment horizontal="center" vertical="top" wrapText="1"/>
      <protection locked="0"/>
    </xf>
    <xf numFmtId="0" fontId="134" fillId="0" borderId="171" xfId="0" applyFont="1" applyFill="1" applyBorder="1" applyAlignment="1" applyProtection="1">
      <alignment horizontal="center" vertical="top" wrapText="1"/>
      <protection locked="0"/>
    </xf>
    <xf numFmtId="0" fontId="134" fillId="0" borderId="170" xfId="0" applyFont="1" applyFill="1" applyBorder="1" applyAlignment="1" applyProtection="1">
      <alignment horizontal="center" vertical="top" wrapText="1"/>
      <protection locked="0"/>
    </xf>
    <xf numFmtId="0" fontId="82" fillId="0" borderId="170" xfId="0" applyFont="1" applyFill="1" applyBorder="1" applyAlignment="1" applyProtection="1">
      <alignment vertical="top" wrapText="1"/>
      <protection locked="0"/>
    </xf>
    <xf numFmtId="191" fontId="145" fillId="0" borderId="0" xfId="21" applyAlignment="1"/>
    <xf numFmtId="191" fontId="145" fillId="6" borderId="0" xfId="21" applyFill="1" applyAlignment="1"/>
    <xf numFmtId="191" fontId="145" fillId="20" borderId="0" xfId="21" applyFill="1" applyAlignment="1"/>
    <xf numFmtId="191" fontId="145" fillId="21" borderId="0" xfId="21" applyFill="1" applyAlignment="1"/>
    <xf numFmtId="191" fontId="145" fillId="0" borderId="0" xfId="21">
      <alignment vertical="center"/>
    </xf>
    <xf numFmtId="0" fontId="145" fillId="0" borderId="0" xfId="21" applyNumberFormat="1" applyAlignment="1">
      <alignment horizontal="left"/>
    </xf>
    <xf numFmtId="0" fontId="145" fillId="0" borderId="0" xfId="21" applyNumberFormat="1" applyAlignment="1"/>
    <xf numFmtId="0" fontId="145" fillId="6" borderId="0" xfId="21" applyNumberFormat="1" applyFill="1" applyAlignment="1">
      <alignment horizontal="left"/>
    </xf>
    <xf numFmtId="0" fontId="145" fillId="6" borderId="0" xfId="21" applyNumberFormat="1" applyFill="1" applyAlignment="1"/>
    <xf numFmtId="0" fontId="145" fillId="20" borderId="0" xfId="21" applyNumberFormat="1" applyFill="1" applyAlignment="1">
      <alignment horizontal="left"/>
    </xf>
    <xf numFmtId="0" fontId="145" fillId="20" borderId="0" xfId="21" applyNumberFormat="1" applyFill="1" applyAlignment="1"/>
    <xf numFmtId="0" fontId="145" fillId="0" borderId="0" xfId="21" applyNumberFormat="1" applyFont="1" applyAlignment="1">
      <alignment horizontal="left"/>
    </xf>
    <xf numFmtId="0" fontId="145" fillId="6" borderId="0" xfId="21" applyNumberFormat="1" applyFont="1" applyFill="1" applyAlignment="1">
      <alignment horizontal="left"/>
    </xf>
    <xf numFmtId="0" fontId="145" fillId="21" borderId="0" xfId="21" applyNumberFormat="1" applyFill="1" applyAlignment="1">
      <alignment horizontal="left"/>
    </xf>
    <xf numFmtId="0" fontId="145" fillId="21" borderId="0" xfId="21" applyNumberFormat="1" applyFont="1" applyFill="1" applyAlignment="1">
      <alignment horizontal="left"/>
    </xf>
    <xf numFmtId="0" fontId="145" fillId="21" borderId="0" xfId="21" applyNumberFormat="1" applyFill="1" applyAlignment="1"/>
    <xf numFmtId="0" fontId="145" fillId="0" borderId="0" xfId="21" applyNumberFormat="1" applyAlignment="1">
      <alignment horizontal="left" vertical="center"/>
    </xf>
    <xf numFmtId="0" fontId="145" fillId="0" borderId="0" xfId="21" applyNumberFormat="1">
      <alignment vertical="center"/>
    </xf>
    <xf numFmtId="0" fontId="145" fillId="0" borderId="0" xfId="21" applyNumberFormat="1" applyFont="1">
      <alignment vertical="center"/>
    </xf>
    <xf numFmtId="0" fontId="145" fillId="0" borderId="0" xfId="21" applyNumberFormat="1" applyFill="1">
      <alignment vertical="center"/>
    </xf>
    <xf numFmtId="0" fontId="286" fillId="22" borderId="172" xfId="21" applyNumberFormat="1" applyFont="1" applyFill="1" applyBorder="1" applyAlignment="1">
      <alignment horizontal="left"/>
    </xf>
    <xf numFmtId="0" fontId="286" fillId="22" borderId="173" xfId="21" applyNumberFormat="1" applyFont="1" applyFill="1" applyBorder="1" applyAlignment="1">
      <alignment horizontal="left"/>
    </xf>
    <xf numFmtId="0" fontId="287" fillId="22" borderId="0" xfId="21" applyNumberFormat="1" applyFont="1" applyFill="1" applyBorder="1" applyAlignment="1">
      <alignment horizontal="left"/>
    </xf>
    <xf numFmtId="0" fontId="288" fillId="0" borderId="0" xfId="22" applyNumberFormat="1" applyFill="1" applyBorder="1" applyAlignment="1">
      <alignment horizontal="left"/>
    </xf>
    <xf numFmtId="0" fontId="149" fillId="0" borderId="0" xfId="21" applyNumberFormat="1" applyFont="1" applyAlignment="1">
      <alignment horizontal="left" vertical="center" wrapText="1"/>
    </xf>
    <xf numFmtId="0" fontId="149" fillId="0" borderId="174" xfId="21" applyNumberFormat="1" applyFont="1" applyBorder="1" applyAlignment="1">
      <alignment horizontal="left" vertical="center" wrapText="1"/>
    </xf>
    <xf numFmtId="0" fontId="288" fillId="0" borderId="0" xfId="22" applyNumberFormat="1" applyFill="1">
      <alignment vertical="center"/>
    </xf>
    <xf numFmtId="0" fontId="149" fillId="23" borderId="0" xfId="21" applyNumberFormat="1" applyFont="1" applyFill="1" applyAlignment="1">
      <alignment horizontal="left" vertical="center" wrapText="1"/>
    </xf>
    <xf numFmtId="0" fontId="149" fillId="23" borderId="174" xfId="21" applyNumberFormat="1" applyFont="1" applyFill="1" applyBorder="1" applyAlignment="1">
      <alignment horizontal="left" vertical="center" wrapText="1"/>
    </xf>
    <xf numFmtId="0" fontId="286" fillId="22" borderId="0" xfId="21" applyNumberFormat="1" applyFont="1" applyFill="1" applyBorder="1" applyAlignment="1">
      <alignment horizontal="left"/>
    </xf>
    <xf numFmtId="0" fontId="289" fillId="13" borderId="0" xfId="21" applyNumberFormat="1" applyFont="1" applyFill="1" applyAlignment="1">
      <alignment horizontal="left" vertical="center" wrapText="1"/>
    </xf>
    <xf numFmtId="0" fontId="289" fillId="13" borderId="174" xfId="21" applyNumberFormat="1" applyFont="1" applyFill="1" applyBorder="1" applyAlignment="1">
      <alignment horizontal="left" vertical="center" wrapText="1"/>
    </xf>
    <xf numFmtId="0" fontId="289" fillId="23" borderId="0" xfId="21" applyNumberFormat="1" applyFont="1" applyFill="1" applyAlignment="1">
      <alignment horizontal="left" vertical="center" wrapText="1"/>
    </xf>
    <xf numFmtId="0" fontId="289" fillId="23" borderId="174" xfId="21" applyNumberFormat="1" applyFont="1" applyFill="1" applyBorder="1" applyAlignment="1">
      <alignment horizontal="left" vertical="center" wrapText="1"/>
    </xf>
    <xf numFmtId="0" fontId="289" fillId="0" borderId="0" xfId="21" applyNumberFormat="1" applyFont="1" applyAlignment="1">
      <alignment horizontal="left" vertical="center" wrapText="1"/>
    </xf>
    <xf numFmtId="0" fontId="289" fillId="0" borderId="174" xfId="21" applyNumberFormat="1" applyFont="1" applyBorder="1" applyAlignment="1">
      <alignment horizontal="left" vertical="center" wrapText="1"/>
    </xf>
    <xf numFmtId="0" fontId="149" fillId="0" borderId="0" xfId="21" applyNumberFormat="1" applyFont="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1" fontId="84" fillId="2"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91" fontId="84" fillId="2" borderId="2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91" fontId="291" fillId="0" borderId="0" xfId="18" applyFont="1" applyBorder="1" applyAlignment="1">
      <alignment horizontal="centerContinuous"/>
    </xf>
    <xf numFmtId="191" fontId="291" fillId="0" borderId="0" xfId="18" applyFont="1" applyBorder="1" applyAlignment="1"/>
    <xf numFmtId="191" fontId="278" fillId="0" borderId="0" xfId="18" applyFont="1" applyAlignment="1">
      <alignment horizontal="center" vertical="center"/>
    </xf>
    <xf numFmtId="191" fontId="291" fillId="0" borderId="61" xfId="18" applyFont="1" applyBorder="1" applyAlignment="1"/>
    <xf numFmtId="191" fontId="234" fillId="0" borderId="0" xfId="18" applyFont="1" applyBorder="1" applyAlignment="1">
      <alignment horizontal="center"/>
    </xf>
    <xf numFmtId="191" fontId="291" fillId="0" borderId="0" xfId="18" applyFont="1" applyBorder="1" applyAlignment="1">
      <alignment horizontal="center"/>
    </xf>
    <xf numFmtId="191" fontId="226" fillId="0" borderId="175" xfId="18" applyFont="1" applyBorder="1" applyAlignment="1">
      <alignment horizontal="center" vertical="center"/>
    </xf>
    <xf numFmtId="191" fontId="226" fillId="0" borderId="176" xfId="18" applyFont="1" applyBorder="1" applyAlignment="1">
      <alignment horizontal="center" vertical="center"/>
    </xf>
    <xf numFmtId="191" fontId="226" fillId="0" borderId="176" xfId="18" applyFont="1" applyBorder="1" applyAlignment="1">
      <alignment horizontal="center" vertical="center" wrapText="1"/>
    </xf>
    <xf numFmtId="191" fontId="226" fillId="0" borderId="177" xfId="18" applyFont="1" applyBorder="1" applyAlignment="1">
      <alignment horizontal="center" vertical="center" wrapText="1"/>
    </xf>
    <xf numFmtId="191" fontId="226" fillId="0" borderId="178" xfId="18" applyFont="1" applyBorder="1" applyAlignment="1">
      <alignment horizontal="center" vertical="center" wrapText="1"/>
    </xf>
    <xf numFmtId="191" fontId="226" fillId="0" borderId="9" xfId="18" applyFont="1" applyBorder="1" applyAlignment="1">
      <alignment horizontal="center" vertical="center"/>
    </xf>
    <xf numFmtId="191" fontId="226" fillId="0" borderId="2" xfId="18" applyFont="1" applyBorder="1" applyAlignment="1">
      <alignment horizontal="center" vertical="center"/>
    </xf>
    <xf numFmtId="191" fontId="43" fillId="0" borderId="0" xfId="18" applyFont="1"/>
    <xf numFmtId="191" fontId="234" fillId="0" borderId="160" xfId="18" applyFont="1" applyBorder="1" applyAlignment="1">
      <alignment horizontal="center" vertical="center"/>
    </xf>
    <xf numFmtId="191" fontId="226" fillId="0" borderId="161" xfId="18" applyFont="1" applyBorder="1" applyAlignment="1">
      <alignment horizontal="center" vertical="center"/>
    </xf>
    <xf numFmtId="184" fontId="292" fillId="0" borderId="161" xfId="18" applyNumberFormat="1" applyFont="1" applyBorder="1" applyAlignment="1">
      <alignment horizontal="center" vertical="center"/>
    </xf>
    <xf numFmtId="184" fontId="292" fillId="0" borderId="179" xfId="18" applyNumberFormat="1" applyFont="1" applyBorder="1" applyAlignment="1">
      <alignment horizontal="center" vertical="center"/>
    </xf>
    <xf numFmtId="184" fontId="292" fillId="0" borderId="164" xfId="18" applyNumberFormat="1" applyFont="1" applyBorder="1" applyAlignment="1">
      <alignment horizontal="center" vertical="center"/>
    </xf>
    <xf numFmtId="177" fontId="43" fillId="3" borderId="9" xfId="18" applyNumberFormat="1" applyFont="1" applyFill="1" applyBorder="1" applyAlignment="1">
      <alignment horizontal="center" vertical="center"/>
    </xf>
    <xf numFmtId="10" fontId="43" fillId="3" borderId="2" xfId="18" applyNumberFormat="1" applyFont="1" applyFill="1" applyBorder="1"/>
    <xf numFmtId="191" fontId="292" fillId="0" borderId="0" xfId="18" applyFont="1"/>
    <xf numFmtId="176" fontId="292" fillId="0" borderId="0" xfId="18" applyNumberFormat="1" applyFont="1"/>
    <xf numFmtId="191" fontId="277" fillId="0" borderId="0" xfId="18" applyFont="1"/>
    <xf numFmtId="191" fontId="293" fillId="0" borderId="160" xfId="18" applyFont="1" applyBorder="1" applyAlignment="1">
      <alignment horizontal="center" vertical="center"/>
    </xf>
    <xf numFmtId="191" fontId="226" fillId="0" borderId="0" xfId="18" applyFont="1"/>
    <xf numFmtId="191" fontId="278" fillId="0" borderId="160" xfId="18" applyFont="1" applyBorder="1" applyAlignment="1">
      <alignment horizontal="center" vertical="center" wrapText="1"/>
    </xf>
    <xf numFmtId="191" fontId="127" fillId="0" borderId="161" xfId="18" applyFont="1" applyFill="1" applyBorder="1" applyAlignment="1">
      <alignment horizontal="left" vertical="center"/>
    </xf>
    <xf numFmtId="184" fontId="43" fillId="0" borderId="161" xfId="18" applyNumberFormat="1" applyFont="1" applyBorder="1" applyAlignment="1">
      <alignment horizontal="center" vertical="center"/>
    </xf>
    <xf numFmtId="176" fontId="43" fillId="0" borderId="161" xfId="16" applyNumberFormat="1" applyFont="1" applyFill="1" applyBorder="1" applyAlignment="1">
      <alignment horizontal="center" vertical="center"/>
    </xf>
    <xf numFmtId="184" fontId="127" fillId="0" borderId="161" xfId="16" applyNumberFormat="1" applyFont="1" applyFill="1" applyBorder="1" applyAlignment="1">
      <alignment horizontal="center" vertical="center"/>
    </xf>
    <xf numFmtId="184" fontId="43" fillId="0" borderId="179" xfId="18" applyNumberFormat="1" applyFont="1" applyBorder="1" applyAlignment="1">
      <alignment horizontal="center" vertical="center"/>
    </xf>
    <xf numFmtId="184" fontId="43" fillId="0" borderId="164" xfId="18" applyNumberFormat="1" applyFont="1" applyBorder="1" applyAlignment="1">
      <alignment horizontal="center" vertical="center"/>
    </xf>
    <xf numFmtId="10" fontId="43" fillId="0" borderId="2" xfId="18" applyNumberFormat="1" applyFont="1" applyFill="1" applyBorder="1"/>
    <xf numFmtId="191" fontId="294" fillId="0" borderId="0" xfId="18" applyFont="1"/>
    <xf numFmtId="184" fontId="43" fillId="0" borderId="161" xfId="16" applyNumberFormat="1" applyFont="1" applyFill="1" applyBorder="1" applyAlignment="1">
      <alignment horizontal="center" vertical="center"/>
    </xf>
    <xf numFmtId="176" fontId="43" fillId="0" borderId="161" xfId="18" applyNumberFormat="1" applyFont="1" applyBorder="1" applyAlignment="1">
      <alignment horizontal="center" vertical="center"/>
    </xf>
    <xf numFmtId="9" fontId="43" fillId="18" borderId="161" xfId="16" applyNumberFormat="1" applyFont="1" applyFill="1" applyBorder="1" applyAlignment="1">
      <alignment horizontal="center" vertical="center"/>
    </xf>
    <xf numFmtId="9" fontId="43" fillId="18" borderId="179" xfId="16" applyNumberFormat="1" applyFont="1" applyFill="1" applyBorder="1" applyAlignment="1">
      <alignment horizontal="center" vertical="center"/>
    </xf>
    <xf numFmtId="9" fontId="43" fillId="18" borderId="164" xfId="16" applyNumberFormat="1" applyFont="1" applyFill="1" applyBorder="1" applyAlignment="1">
      <alignment horizontal="center" vertical="center"/>
    </xf>
    <xf numFmtId="9" fontId="43" fillId="0" borderId="161" xfId="16" applyNumberFormat="1" applyFont="1" applyFill="1" applyBorder="1" applyAlignment="1">
      <alignment horizontal="center" vertical="center"/>
    </xf>
    <xf numFmtId="184" fontId="43" fillId="0" borderId="161" xfId="18" applyNumberFormat="1" applyFont="1" applyFill="1" applyBorder="1" applyAlignment="1">
      <alignment horizontal="center" vertical="center"/>
    </xf>
    <xf numFmtId="187" fontId="43" fillId="0" borderId="161" xfId="16" applyNumberFormat="1" applyFont="1" applyFill="1" applyBorder="1" applyAlignment="1">
      <alignment horizontal="center" vertical="center"/>
    </xf>
    <xf numFmtId="177" fontId="43" fillId="0" borderId="161" xfId="16" applyNumberFormat="1" applyFont="1" applyFill="1" applyBorder="1" applyAlignment="1">
      <alignment horizontal="center" vertical="center"/>
    </xf>
    <xf numFmtId="184" fontId="295" fillId="0" borderId="161" xfId="16" applyNumberFormat="1" applyFont="1" applyFill="1" applyBorder="1" applyAlignment="1">
      <alignment horizontal="center" vertical="center"/>
    </xf>
    <xf numFmtId="49" fontId="278" fillId="0" borderId="160" xfId="18" applyNumberFormat="1" applyFont="1" applyBorder="1" applyAlignment="1">
      <alignment horizontal="center" vertical="center" wrapText="1"/>
    </xf>
    <xf numFmtId="194" fontId="127" fillId="0" borderId="161" xfId="18" applyNumberFormat="1" applyFont="1" applyFill="1" applyBorder="1" applyAlignment="1">
      <alignment horizontal="left" vertical="center"/>
    </xf>
    <xf numFmtId="184" fontId="292" fillId="0" borderId="161" xfId="18" applyNumberFormat="1" applyFont="1" applyFill="1" applyBorder="1" applyAlignment="1">
      <alignment horizontal="center" vertical="center"/>
    </xf>
    <xf numFmtId="191" fontId="234" fillId="0" borderId="160" xfId="18" applyFont="1" applyBorder="1" applyAlignment="1">
      <alignment horizontal="center"/>
    </xf>
    <xf numFmtId="191" fontId="226" fillId="0" borderId="161" xfId="18" applyFont="1" applyFill="1" applyBorder="1" applyAlignment="1">
      <alignment horizontal="center" vertical="center"/>
    </xf>
    <xf numFmtId="184" fontId="292" fillId="0" borderId="161" xfId="18" applyNumberFormat="1" applyFont="1" applyBorder="1" applyAlignment="1">
      <alignment horizontal="center"/>
    </xf>
    <xf numFmtId="184" fontId="296" fillId="0" borderId="161" xfId="18" applyNumberFormat="1" applyFont="1" applyBorder="1" applyAlignment="1">
      <alignment horizontal="center"/>
    </xf>
    <xf numFmtId="184" fontId="292" fillId="0" borderId="179" xfId="18" applyNumberFormat="1" applyFont="1" applyBorder="1" applyAlignment="1">
      <alignment horizontal="center"/>
    </xf>
    <xf numFmtId="184" fontId="292" fillId="0" borderId="164" xfId="18" applyNumberFormat="1" applyFont="1" applyBorder="1" applyAlignment="1">
      <alignment horizontal="center"/>
    </xf>
    <xf numFmtId="184" fontId="292" fillId="0" borderId="161" xfId="18" applyNumberFormat="1" applyFont="1" applyFill="1" applyBorder="1" applyAlignment="1">
      <alignment horizontal="center"/>
    </xf>
    <xf numFmtId="10" fontId="293" fillId="18" borderId="0" xfId="18" applyNumberFormat="1" applyFont="1" applyFill="1"/>
    <xf numFmtId="191" fontId="234" fillId="0" borderId="0" xfId="18" applyFont="1"/>
    <xf numFmtId="10" fontId="293" fillId="0" borderId="0" xfId="11" applyNumberFormat="1" applyFont="1" applyAlignment="1"/>
    <xf numFmtId="191" fontId="293" fillId="0" borderId="0" xfId="18" applyFont="1"/>
    <xf numFmtId="191" fontId="278" fillId="0" borderId="160" xfId="18" applyFont="1" applyBorder="1" applyAlignment="1">
      <alignment horizontal="center"/>
    </xf>
    <xf numFmtId="184" fontId="43" fillId="0" borderId="161" xfId="18" applyNumberFormat="1" applyFont="1" applyBorder="1" applyAlignment="1">
      <alignment horizontal="center"/>
    </xf>
    <xf numFmtId="184" fontId="43" fillId="0" borderId="179" xfId="18" applyNumberFormat="1" applyFont="1" applyBorder="1" applyAlignment="1">
      <alignment horizontal="center"/>
    </xf>
    <xf numFmtId="184" fontId="43" fillId="0" borderId="164" xfId="18" applyNumberFormat="1" applyFont="1" applyBorder="1" applyAlignment="1">
      <alignment horizontal="center"/>
    </xf>
    <xf numFmtId="10" fontId="278" fillId="18" borderId="0" xfId="18" applyNumberFormat="1" applyFont="1" applyFill="1"/>
    <xf numFmtId="10" fontId="278" fillId="0" borderId="0" xfId="18" applyNumberFormat="1" applyFont="1"/>
    <xf numFmtId="191" fontId="278" fillId="0" borderId="0" xfId="18" applyFont="1"/>
    <xf numFmtId="191" fontId="293" fillId="0" borderId="160" xfId="18" applyFont="1" applyBorder="1" applyAlignment="1">
      <alignment horizontal="center"/>
    </xf>
    <xf numFmtId="177" fontId="292" fillId="0" borderId="161" xfId="18" applyNumberFormat="1" applyFont="1" applyBorder="1" applyAlignment="1">
      <alignment horizontal="center"/>
    </xf>
    <xf numFmtId="191" fontId="293" fillId="0" borderId="180" xfId="18" applyFont="1" applyBorder="1" applyAlignment="1">
      <alignment horizontal="center"/>
    </xf>
    <xf numFmtId="191" fontId="229" fillId="0" borderId="181" xfId="18" applyFont="1" applyFill="1" applyBorder="1" applyAlignment="1">
      <alignment horizontal="center" vertical="center"/>
    </xf>
    <xf numFmtId="184" fontId="292" fillId="0" borderId="181" xfId="18" applyNumberFormat="1" applyFont="1" applyBorder="1" applyAlignment="1">
      <alignment horizontal="center"/>
    </xf>
    <xf numFmtId="177" fontId="296" fillId="0" borderId="181" xfId="18" applyNumberFormat="1" applyFont="1" applyBorder="1" applyAlignment="1">
      <alignment horizontal="center"/>
    </xf>
    <xf numFmtId="177" fontId="296" fillId="0" borderId="182" xfId="18" applyNumberFormat="1" applyFont="1" applyBorder="1" applyAlignment="1">
      <alignment horizontal="center"/>
    </xf>
    <xf numFmtId="177" fontId="296" fillId="0" borderId="183" xfId="18" applyNumberFormat="1" applyFont="1" applyBorder="1" applyAlignment="1">
      <alignment horizontal="center"/>
    </xf>
    <xf numFmtId="184" fontId="292" fillId="0" borderId="182" xfId="18" applyNumberFormat="1" applyFont="1" applyBorder="1" applyAlignment="1">
      <alignment horizontal="center"/>
    </xf>
    <xf numFmtId="184" fontId="278" fillId="0" borderId="0" xfId="18" applyNumberFormat="1" applyFont="1"/>
    <xf numFmtId="14" fontId="0" fillId="0" borderId="0" xfId="0" applyNumberFormat="1">
      <alignment vertical="center"/>
    </xf>
    <xf numFmtId="0" fontId="0" fillId="6" borderId="0" xfId="0" applyFill="1">
      <alignment vertical="center"/>
    </xf>
    <xf numFmtId="14" fontId="0" fillId="6" borderId="0" xfId="0" applyNumberFormat="1" applyFill="1">
      <alignment vertical="center"/>
    </xf>
    <xf numFmtId="1" fontId="0" fillId="6" borderId="0" xfId="0" applyNumberFormat="1" applyFill="1">
      <alignment vertical="center"/>
    </xf>
    <xf numFmtId="0" fontId="71" fillId="0" borderId="87" xfId="0" applyNumberFormat="1" applyFont="1" applyFill="1" applyBorder="1" applyAlignment="1" applyProtection="1">
      <alignment horizontal="center" vertical="center" wrapText="1"/>
      <protection locked="0"/>
    </xf>
    <xf numFmtId="49" fontId="84" fillId="2" borderId="4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191" fontId="187" fillId="8" borderId="5" xfId="0" applyNumberFormat="1" applyFont="1" applyFill="1" applyBorder="1" applyAlignment="1" applyProtection="1">
      <alignment horizontal="left" vertical="center"/>
      <protection locked="0"/>
    </xf>
    <xf numFmtId="191" fontId="187" fillId="8" borderId="8" xfId="0" applyNumberFormat="1" applyFont="1" applyFill="1" applyBorder="1" applyAlignment="1" applyProtection="1">
      <alignment horizontal="left" vertical="center"/>
      <protection locked="0"/>
    </xf>
    <xf numFmtId="191"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1" fontId="32" fillId="0" borderId="5" xfId="15" applyFont="1" applyBorder="1" applyAlignment="1">
      <alignment horizontal="left" vertical="center"/>
    </xf>
    <xf numFmtId="191" fontId="32" fillId="0" borderId="9" xfId="15" applyFont="1" applyBorder="1" applyAlignment="1">
      <alignment horizontal="left" vertical="center"/>
    </xf>
    <xf numFmtId="191" fontId="32" fillId="0" borderId="2" xfId="15" applyFont="1" applyBorder="1" applyAlignment="1">
      <alignment horizontal="left"/>
    </xf>
    <xf numFmtId="191" fontId="278" fillId="0" borderId="2" xfId="15" applyFont="1" applyBorder="1" applyAlignment="1">
      <alignment horizontal="left"/>
    </xf>
    <xf numFmtId="191" fontId="32" fillId="0" borderId="45" xfId="15" applyFont="1" applyBorder="1" applyAlignment="1">
      <alignment horizontal="left" vertical="center"/>
    </xf>
    <xf numFmtId="191" fontId="32" fillId="0" borderId="47" xfId="15" applyFont="1" applyBorder="1" applyAlignment="1">
      <alignment horizontal="left" vertical="center"/>
    </xf>
    <xf numFmtId="191" fontId="217" fillId="0" borderId="0" xfId="15" applyFont="1" applyBorder="1" applyAlignment="1">
      <alignment horizontal="center" vertical="center"/>
    </xf>
    <xf numFmtId="191" fontId="278" fillId="0" borderId="6" xfId="15" applyFont="1" applyBorder="1" applyAlignment="1">
      <alignment horizontal="center" vertical="center"/>
    </xf>
    <xf numFmtId="191" fontId="278" fillId="0" borderId="11" xfId="15" applyFont="1" applyBorder="1" applyAlignment="1">
      <alignment horizontal="center" vertical="center" wrapText="1"/>
    </xf>
    <xf numFmtId="191" fontId="278" fillId="0" borderId="43" xfId="15" applyFont="1" applyBorder="1" applyAlignment="1">
      <alignment horizontal="center" vertical="center" wrapText="1"/>
    </xf>
    <xf numFmtId="191" fontId="278" fillId="0" borderId="2" xfId="15" applyFont="1" applyBorder="1" applyAlignment="1">
      <alignment horizontal="center"/>
    </xf>
    <xf numFmtId="191" fontId="278" fillId="0" borderId="2" xfId="15" applyFont="1" applyBorder="1" applyAlignment="1">
      <alignment horizontal="center" vertical="center" wrapText="1"/>
    </xf>
    <xf numFmtId="191" fontId="32" fillId="0" borderId="2" xfId="15" applyFont="1" applyBorder="1" applyAlignment="1">
      <alignment horizontal="center" vertical="center" wrapText="1"/>
    </xf>
    <xf numFmtId="191" fontId="32" fillId="0" borderId="2" xfId="15" applyFont="1" applyBorder="1" applyAlignment="1">
      <alignment horizontal="left" vertical="center"/>
    </xf>
    <xf numFmtId="191" fontId="278" fillId="0" borderId="2" xfId="15"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70"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84" fillId="0" borderId="0" xfId="21" applyNumberFormat="1" applyFont="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191" fontId="290" fillId="0" borderId="0" xfId="18" applyFont="1" applyBorder="1" applyAlignment="1">
      <alignment horizontal="center"/>
    </xf>
    <xf numFmtId="191" fontId="226" fillId="0" borderId="61" xfId="18" applyFont="1" applyBorder="1" applyAlignment="1">
      <alignment horizontal="right"/>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3">
    <cellStyle name="百分比 2" xfId="11"/>
    <cellStyle name="常规" xfId="0" builtinId="0"/>
    <cellStyle name="常规 10" xfId="21"/>
    <cellStyle name="常规 10 3 2"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瑞驰调整" xfId="18"/>
    <cellStyle name="超链接" xfId="22" builtinId="8"/>
    <cellStyle name="超链接 2" xfId="19"/>
    <cellStyle name="千位分隔 2" xfId="16"/>
    <cellStyle name="样式 1" xfId="20"/>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180974</xdr:rowOff>
    </xdr:from>
    <xdr:to>
      <xdr:col>10</xdr:col>
      <xdr:colOff>74389</xdr:colOff>
      <xdr:row>49</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33599"/>
          <a:ext cx="7189564" cy="6743701"/>
        </a:xfrm>
        <a:prstGeom prst="rect">
          <a:avLst/>
        </a:prstGeom>
      </xdr:spPr>
    </xdr:pic>
    <xdr:clientData/>
  </xdr:twoCellAnchor>
  <xdr:twoCellAnchor editAs="oneCell">
    <xdr:from>
      <xdr:col>10</xdr:col>
      <xdr:colOff>285751</xdr:colOff>
      <xdr:row>11</xdr:row>
      <xdr:rowOff>142876</xdr:rowOff>
    </xdr:from>
    <xdr:to>
      <xdr:col>18</xdr:col>
      <xdr:colOff>414991</xdr:colOff>
      <xdr:row>43</xdr:row>
      <xdr:rowOff>95250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0926" y="2095501"/>
          <a:ext cx="5615640" cy="5743574"/>
        </a:xfrm>
        <a:prstGeom prst="rect">
          <a:avLst/>
        </a:prstGeom>
      </xdr:spPr>
    </xdr:pic>
    <xdr:clientData/>
  </xdr:twoCellAnchor>
  <xdr:twoCellAnchor editAs="oneCell">
    <xdr:from>
      <xdr:col>19</xdr:col>
      <xdr:colOff>47625</xdr:colOff>
      <xdr:row>11</xdr:row>
      <xdr:rowOff>104776</xdr:rowOff>
    </xdr:from>
    <xdr:to>
      <xdr:col>26</xdr:col>
      <xdr:colOff>240706</xdr:colOff>
      <xdr:row>33</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00" y="2057401"/>
          <a:ext cx="4993681" cy="3876674"/>
        </a:xfrm>
        <a:prstGeom prst="rect">
          <a:avLst/>
        </a:prstGeom>
      </xdr:spPr>
    </xdr:pic>
    <xdr:clientData/>
  </xdr:twoCellAnchor>
  <xdr:twoCellAnchor editAs="oneCell">
    <xdr:from>
      <xdr:col>10</xdr:col>
      <xdr:colOff>533401</xdr:colOff>
      <xdr:row>44</xdr:row>
      <xdr:rowOff>133350</xdr:rowOff>
    </xdr:from>
    <xdr:to>
      <xdr:col>18</xdr:col>
      <xdr:colOff>98467</xdr:colOff>
      <xdr:row>74</xdr:row>
      <xdr:rowOff>161925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48576" y="8058150"/>
          <a:ext cx="5051466" cy="5457825"/>
        </a:xfrm>
        <a:prstGeom prst="rect">
          <a:avLst/>
        </a:prstGeom>
      </xdr:spPr>
    </xdr:pic>
    <xdr:clientData/>
  </xdr:twoCellAnchor>
  <xdr:twoCellAnchor editAs="oneCell">
    <xdr:from>
      <xdr:col>0</xdr:col>
      <xdr:colOff>0</xdr:colOff>
      <xdr:row>77</xdr:row>
      <xdr:rowOff>180974</xdr:rowOff>
    </xdr:from>
    <xdr:to>
      <xdr:col>8</xdr:col>
      <xdr:colOff>495300</xdr:colOff>
      <xdr:row>107</xdr:row>
      <xdr:rowOff>74359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4077949"/>
          <a:ext cx="6238875" cy="5322635"/>
        </a:xfrm>
        <a:prstGeom prst="rect">
          <a:avLst/>
        </a:prstGeom>
      </xdr:spPr>
    </xdr:pic>
    <xdr:clientData/>
  </xdr:twoCellAnchor>
  <xdr:twoCellAnchor editAs="oneCell">
    <xdr:from>
      <xdr:col>0</xdr:col>
      <xdr:colOff>0</xdr:colOff>
      <xdr:row>107</xdr:row>
      <xdr:rowOff>102375</xdr:rowOff>
    </xdr:from>
    <xdr:to>
      <xdr:col>8</xdr:col>
      <xdr:colOff>546882</xdr:colOff>
      <xdr:row>125</xdr:row>
      <xdr:rowOff>171450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428600"/>
          <a:ext cx="6290457" cy="3326625"/>
        </a:xfrm>
        <a:prstGeom prst="rect">
          <a:avLst/>
        </a:prstGeom>
      </xdr:spPr>
    </xdr:pic>
    <xdr:clientData/>
  </xdr:twoCellAnchor>
  <xdr:twoCellAnchor editAs="oneCell">
    <xdr:from>
      <xdr:col>10</xdr:col>
      <xdr:colOff>0</xdr:colOff>
      <xdr:row>78</xdr:row>
      <xdr:rowOff>0</xdr:rowOff>
    </xdr:from>
    <xdr:to>
      <xdr:col>20</xdr:col>
      <xdr:colOff>44763</xdr:colOff>
      <xdr:row>109</xdr:row>
      <xdr:rowOff>38100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15175" y="14077950"/>
          <a:ext cx="6902763" cy="5648325"/>
        </a:xfrm>
        <a:prstGeom prst="rect">
          <a:avLst/>
        </a:prstGeom>
      </xdr:spPr>
    </xdr:pic>
    <xdr:clientData/>
  </xdr:twoCellAnchor>
  <xdr:twoCellAnchor editAs="oneCell">
    <xdr:from>
      <xdr:col>10</xdr:col>
      <xdr:colOff>45226</xdr:colOff>
      <xdr:row>109</xdr:row>
      <xdr:rowOff>54750</xdr:rowOff>
    </xdr:from>
    <xdr:to>
      <xdr:col>20</xdr:col>
      <xdr:colOff>104776</xdr:colOff>
      <xdr:row>129</xdr:row>
      <xdr:rowOff>103544</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60401" y="19742925"/>
          <a:ext cx="6917550" cy="3668294"/>
        </a:xfrm>
        <a:prstGeom prst="rect">
          <a:avLst/>
        </a:prstGeom>
      </xdr:spPr>
    </xdr:pic>
    <xdr:clientData/>
  </xdr:twoCellAnchor>
  <xdr:twoCellAnchor editAs="oneCell">
    <xdr:from>
      <xdr:col>10</xdr:col>
      <xdr:colOff>0</xdr:colOff>
      <xdr:row>162</xdr:row>
      <xdr:rowOff>133350</xdr:rowOff>
    </xdr:from>
    <xdr:to>
      <xdr:col>20</xdr:col>
      <xdr:colOff>227756</xdr:colOff>
      <xdr:row>183</xdr:row>
      <xdr:rowOff>142875</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15175" y="29413200"/>
          <a:ext cx="7085756" cy="3810000"/>
        </a:xfrm>
        <a:prstGeom prst="rect">
          <a:avLst/>
        </a:prstGeom>
      </xdr:spPr>
    </xdr:pic>
    <xdr:clientData/>
  </xdr:twoCellAnchor>
  <xdr:twoCellAnchor editAs="oneCell">
    <xdr:from>
      <xdr:col>10</xdr:col>
      <xdr:colOff>7126</xdr:colOff>
      <xdr:row>130</xdr:row>
      <xdr:rowOff>121425</xdr:rowOff>
    </xdr:from>
    <xdr:to>
      <xdr:col>20</xdr:col>
      <xdr:colOff>114300</xdr:colOff>
      <xdr:row>162</xdr:row>
      <xdr:rowOff>122763</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2301" y="23610075"/>
          <a:ext cx="6965174" cy="5792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409904</xdr:colOff>
      <xdr:row>38</xdr:row>
      <xdr:rowOff>161924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11104" cy="6677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9640;&#26032;&#19990;&#3353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640;&#26032;23%23&#22320;&#21487;&#30740;&#25253;&#21578;/&#21487;&#30740;&#35745;&#31639;&#34920;&#26684;&#65288;&#39640;&#26032;23%23&#22320;&#65289;07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63;&#22696;&#39033;&#30446;/&#34701;&#36164;/&#21487;&#30740;&#25253;&#21578;/&#25237;&#36164;&#27979;&#31639;&#34920;-&#21363;&#22696;&#22269;&#38469;&#22478;05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363;&#22696;&#39033;&#30446;/&#21363;&#22696;&#39033;&#30446;&#22303;&#22320;&#27454;&#25903;&#20184;&#35745;&#21010;0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指标"/>
      <sheetName val="数据-汇总表"/>
      <sheetName val="数据-取费表"/>
      <sheetName val="估价对象房地状况"/>
      <sheetName val="系统读取表"/>
      <sheetName val="建设投资估算"/>
      <sheetName val="结果表"/>
      <sheetName val="比较法-住宅、综合"/>
      <sheetName val="土地案例1"/>
      <sheetName val="土地案例2"/>
      <sheetName val="案例位置"/>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经营收入及税金"/>
      <sheetName val="不动产比较法-住宅（高层）"/>
      <sheetName val="不动产比较法-住宅（联排）"/>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位）"/>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不动产收益法（车位）</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住宅（高层）</v>
          </cell>
        </row>
        <row r="20">
          <cell r="C20" t="str">
            <v>住宅（联排）</v>
          </cell>
        </row>
        <row r="21">
          <cell r="C21" t="str">
            <v>商业</v>
          </cell>
        </row>
        <row r="22">
          <cell r="C22" t="str">
            <v>人才公寓</v>
          </cell>
        </row>
        <row r="23">
          <cell r="C23"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sheetData sheetId="18" refreshError="1"/>
      <sheetData sheetId="19">
        <row r="75">
          <cell r="A75" t="str">
            <v>交易情况</v>
          </cell>
          <cell r="C75" t="str">
            <v>正常</v>
          </cell>
        </row>
        <row r="77">
          <cell r="B77" t="str">
            <v>用途</v>
          </cell>
          <cell r="C77" t="str">
            <v>其他普通商品住房、批发零售</v>
          </cell>
          <cell r="D77" t="str">
            <v>城镇住宅用地、零售商业用地</v>
          </cell>
          <cell r="E77" t="str">
            <v>其他普通商品住房用地</v>
          </cell>
          <cell r="F77" t="str">
            <v>城镇住宅用地</v>
          </cell>
        </row>
        <row r="108">
          <cell r="B108" t="str">
            <v>毗邻道路的类型与等级</v>
          </cell>
          <cell r="C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较好</v>
          </cell>
        </row>
      </sheetData>
      <sheetData sheetId="20" refreshError="1"/>
      <sheetData sheetId="21" refreshError="1"/>
      <sheetData sheetId="22" refreshError="1"/>
      <sheetData sheetId="23" refreshError="1"/>
      <sheetData sheetId="24" refreshError="1"/>
      <sheetData sheetId="25">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6" refreshError="1"/>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row>
        <row r="118">
          <cell r="B118" t="str">
            <v>房型</v>
          </cell>
          <cell r="C118" t="str">
            <v>平层</v>
          </cell>
        </row>
        <row r="122">
          <cell r="B122" t="str">
            <v>内部装修</v>
          </cell>
          <cell r="C122" t="str">
            <v>精装修</v>
          </cell>
          <cell r="D122" t="str">
            <v>简装</v>
          </cell>
          <cell r="E122" t="str">
            <v>毛坯</v>
          </cell>
        </row>
      </sheetData>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指标"/>
      <sheetName val="财务指标"/>
      <sheetName val="建设投资估算"/>
      <sheetName val="总投资"/>
      <sheetName val="总成本"/>
      <sheetName val="还本付息表"/>
      <sheetName val="经营收入及税金"/>
      <sheetName val="利润表 (区域总部)"/>
      <sheetName val="利润表 (动漫产业公司)"/>
      <sheetName val="利润表"/>
      <sheetName val="资金使用与筹措"/>
      <sheetName val="计划现金流量"/>
      <sheetName val="项目现金流量"/>
      <sheetName val="资本金现金流量"/>
      <sheetName val="敏感性分析"/>
      <sheetName val="折旧摊销"/>
      <sheetName val="土地增值税"/>
      <sheetName val="分类表"/>
      <sheetName val="进度计划"/>
    </sheetNames>
    <sheetDataSet>
      <sheetData sheetId="0">
        <row r="3">
          <cell r="D3">
            <v>72846.2</v>
          </cell>
        </row>
        <row r="4">
          <cell r="D4">
            <v>180792</v>
          </cell>
        </row>
        <row r="5">
          <cell r="D5">
            <v>131123</v>
          </cell>
        </row>
        <row r="6">
          <cell r="C6" t="str">
            <v>高层</v>
          </cell>
          <cell r="D6">
            <v>34304</v>
          </cell>
        </row>
        <row r="7">
          <cell r="C7" t="str">
            <v>人才公寓</v>
          </cell>
          <cell r="D7">
            <v>50129</v>
          </cell>
        </row>
        <row r="8">
          <cell r="C8" t="str">
            <v>联排别墅</v>
          </cell>
          <cell r="D8">
            <v>40890</v>
          </cell>
        </row>
        <row r="9">
          <cell r="C9" t="str">
            <v>商业</v>
          </cell>
          <cell r="D9">
            <v>3738</v>
          </cell>
        </row>
        <row r="10">
          <cell r="C10" t="str">
            <v>公建配套</v>
          </cell>
          <cell r="D10">
            <v>2062</v>
          </cell>
        </row>
        <row r="18">
          <cell r="D18">
            <v>49669</v>
          </cell>
        </row>
        <row r="19">
          <cell r="C19" t="str">
            <v>人防车库（40%）</v>
          </cell>
        </row>
        <row r="20">
          <cell r="C20" t="str">
            <v>非人防车库（60%）</v>
          </cell>
        </row>
        <row r="23">
          <cell r="D23">
            <v>18212</v>
          </cell>
        </row>
        <row r="26">
          <cell r="D26">
            <v>0.25000617739840925</v>
          </cell>
        </row>
        <row r="27">
          <cell r="D27">
            <v>0.30000192185728292</v>
          </cell>
        </row>
        <row r="28">
          <cell r="D28">
            <v>1206</v>
          </cell>
        </row>
        <row r="29">
          <cell r="D29">
            <v>1009</v>
          </cell>
        </row>
        <row r="30">
          <cell r="F30">
            <v>0</v>
          </cell>
          <cell r="G30">
            <v>1</v>
          </cell>
        </row>
      </sheetData>
      <sheetData sheetId="1" refreshError="1"/>
      <sheetData sheetId="2"/>
      <sheetData sheetId="3">
        <row r="6">
          <cell r="D6">
            <v>52239.586600000002</v>
          </cell>
        </row>
        <row r="10">
          <cell r="D10">
            <v>2700</v>
          </cell>
        </row>
        <row r="12">
          <cell r="F12">
            <v>79131.600316999989</v>
          </cell>
        </row>
        <row r="17">
          <cell r="D17">
            <v>8809.2778890162263</v>
          </cell>
        </row>
      </sheetData>
      <sheetData sheetId="4">
        <row r="29">
          <cell r="E29">
            <v>1498.358968</v>
          </cell>
          <cell r="F29">
            <v>2602.126968</v>
          </cell>
          <cell r="G29">
            <v>320.78400000000005</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2">
          <cell r="C32">
            <v>1</v>
          </cell>
        </row>
      </sheetData>
      <sheetData sheetId="5">
        <row r="8">
          <cell r="D8">
            <v>1274.0000000000002</v>
          </cell>
          <cell r="E8">
            <v>3822.0000000000009</v>
          </cell>
          <cell r="F8">
            <v>5733.0000000000009</v>
          </cell>
          <cell r="G8">
            <v>0</v>
          </cell>
        </row>
      </sheetData>
      <sheetData sheetId="6"/>
      <sheetData sheetId="7" refreshError="1"/>
      <sheetData sheetId="8" refreshError="1"/>
      <sheetData sheetId="9" refreshError="1"/>
      <sheetData sheetId="10">
        <row r="6">
          <cell r="E6">
            <v>0.55000000000000004</v>
          </cell>
          <cell r="F6">
            <v>0.3</v>
          </cell>
          <cell r="G6">
            <v>0.15</v>
          </cell>
        </row>
      </sheetData>
      <sheetData sheetId="11" refreshError="1"/>
      <sheetData sheetId="12" refreshError="1"/>
      <sheetData sheetId="13" refreshError="1"/>
      <sheetData sheetId="14">
        <row r="14">
          <cell r="I14">
            <v>1</v>
          </cell>
        </row>
        <row r="24">
          <cell r="I24">
            <v>1</v>
          </cell>
        </row>
      </sheetData>
      <sheetData sheetId="15" refreshError="1"/>
      <sheetData sheetId="16">
        <row r="35">
          <cell r="D35">
            <v>5122.6211615576958</v>
          </cell>
        </row>
      </sheetData>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总投资"/>
      <sheetName val="资金拼盘"/>
      <sheetName val="项目货值"/>
      <sheetName val="利润测算"/>
      <sheetName val="利润测算表"/>
      <sheetName val="现金流量表"/>
      <sheetName val="年度现金流量表"/>
      <sheetName val="Sheet1"/>
      <sheetName val="Sheet2"/>
    </sheetNames>
    <sheetDataSet>
      <sheetData sheetId="0">
        <row r="15">
          <cell r="C15">
            <v>124321.003360052</v>
          </cell>
        </row>
      </sheetData>
      <sheetData sheetId="1"/>
      <sheetData sheetId="2">
        <row r="15">
          <cell r="B15" t="str">
            <v>商业街</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版"/>
      <sheetName val="权益前"/>
      <sheetName val="权益后"/>
      <sheetName val="面积数据"/>
      <sheetName val="中纺城土地付款计划表"/>
      <sheetName val="即墨城土地付款计划表"/>
      <sheetName val="Sheet3"/>
      <sheetName val="Sheet4"/>
      <sheetName val="汇总土地款铺排计划"/>
    </sheetNames>
    <sheetDataSet>
      <sheetData sheetId="0"/>
      <sheetData sheetId="1"/>
      <sheetData sheetId="2">
        <row r="4">
          <cell r="F4">
            <v>8964.4800000000014</v>
          </cell>
          <cell r="J4">
            <v>4193.28</v>
          </cell>
        </row>
        <row r="5">
          <cell r="F5">
            <v>10832.080000000002</v>
          </cell>
          <cell r="J5">
            <v>5066.88</v>
          </cell>
        </row>
        <row r="6">
          <cell r="F6">
            <v>4215.4400000000005</v>
          </cell>
          <cell r="J6">
            <v>1971.84</v>
          </cell>
        </row>
        <row r="7">
          <cell r="F7">
            <v>13233.60016</v>
          </cell>
          <cell r="J7">
            <v>6190.2297600000002</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javascript:top.main.DataEdit('37',20);"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qdsdu.com/dongtai/148085.html" TargetMode="External"/><Relationship Id="rId2" Type="http://schemas.openxmlformats.org/officeDocument/2006/relationships/hyperlink" Target="http://qd.news.fang.com/2018-03-30/28112354.htm" TargetMode="External"/><Relationship Id="rId1" Type="http://schemas.openxmlformats.org/officeDocument/2006/relationships/hyperlink" Target="http://qd.newhouse.fang.com/2018-07-30/29114913.htm" TargetMode="External"/><Relationship Id="rId6" Type="http://schemas.openxmlformats.org/officeDocument/2006/relationships/drawing" Target="../drawings/drawing1.xml"/><Relationship Id="rId5" Type="http://schemas.openxmlformats.org/officeDocument/2006/relationships/printerSettings" Target="../printerSettings/printerSettings20.bin"/><Relationship Id="rId4" Type="http://schemas.openxmlformats.org/officeDocument/2006/relationships/hyperlink" Target="http://qd.leju.com/news/2016-09-19/10376183463755587055557.shtml"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山东省青岛市高新区火炬路以北、规划中32号线以西370214005030GB00261号一宗住宅、商业用地出让国有建设用地使用权抵押价格预评估</v>
      </c>
      <c r="AX2" s="2894"/>
      <c r="AZ2" s="2894"/>
      <c r="BA2" s="2895"/>
      <c r="BC2" s="2895"/>
    </row>
    <row r="3" spans="1:55" s="2896" customFormat="1">
      <c r="A3" s="2875" t="s">
        <v>2660</v>
      </c>
      <c r="B3" s="2878" t="str">
        <f>'预评函-封皮'!B40</f>
        <v>大业信托有限责任公司</v>
      </c>
    </row>
    <row r="4" spans="1:55" s="2877" customFormat="1">
      <c r="A4" s="2875" t="s">
        <v>2661</v>
      </c>
      <c r="B4" s="2876" t="str">
        <f>'预评函-封皮'!B46</f>
        <v>王鹏、崔锴</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受贵公司委托，我公司对山东省青岛市高新区火炬路以北、规划中32号线以西370214005030GB00261号一宗住宅、商业用地出让国有建设用地使用权抵押价格进行了预评估。</v>
      </c>
      <c r="AM6" s="2900"/>
    </row>
    <row r="7" spans="1:55" s="2874" customFormat="1">
      <c r="A7" s="2875" t="s">
        <v>2656</v>
      </c>
      <c r="B7" s="2876" t="str">
        <f>'预评函-1'!A6</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2658</v>
      </c>
      <c r="B10" s="2876" t="str">
        <f>'预评函-1'!A11</f>
        <v>2018年9月3日（评估专业人员勘察现场之日）</v>
      </c>
    </row>
    <row r="11" spans="1:55" s="2874" customFormat="1">
      <c r="A11" s="2875" t="s">
        <v>2664</v>
      </c>
      <c r="B11" s="2876" t="str">
        <f>'预评函-1'!A14</f>
        <v>根据《国有土地使用证》[]，本次评估估价对象证载（地类）用途为其他普通商品住房、批发零售。</v>
      </c>
    </row>
    <row r="12" spans="1:55" s="2874" customFormat="1">
      <c r="A12" s="2875" t="s">
        <v>2665</v>
      </c>
      <c r="B12" s="2876" t="str">
        <f>'预评函-1'!A15</f>
        <v>本次评估设定用途即为证载用途其他普通商品住房、批发零售。</v>
      </c>
    </row>
    <row r="13" spans="1:55" s="2874" customFormat="1">
      <c r="A13" s="2875" t="s">
        <v>2666</v>
      </c>
      <c r="B13" s="2876" t="str">
        <f>'预评函-1'!A17</f>
        <v>根据委托估价方介绍及评估专业人员现场勘查，本次评估估价对象实际土地开发程度为红线外市政基础设施达“七通”（即通路、通电、通讯、通上水、通下水、通热、燃气）、宗地红线内场地平整。</v>
      </c>
    </row>
    <row r="14" spans="1:55" s="2874" customFormat="1">
      <c r="A14" s="2875" t="s">
        <v>2667</v>
      </c>
      <c r="B14" s="2876" t="str">
        <f>'预评函-1'!A18</f>
        <v>本次评估设定土地开发程度为红线外市政基础设施达“七通”、宗地红线内场地平整。</v>
      </c>
    </row>
    <row r="15" spans="1:55" s="2874" customFormat="1">
      <c r="A15" s="2875" t="s">
        <v>2663</v>
      </c>
      <c r="B15" s="2876" t="str">
        <f>'预评函-1'!A20</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16" spans="1:55" s="2874" customFormat="1">
      <c r="A16" s="2875" t="s">
        <v>2668</v>
      </c>
      <c r="B16" s="28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14日、商业2058年8月14日车库2068年8月14日。截至估价期日，出让国有建设用地使用权剩余土地使用年限为。</v>
      </c>
    </row>
    <row r="17" spans="1:48" s="2874" customFormat="1">
      <c r="A17" s="2875" t="s">
        <v>2669</v>
      </c>
      <c r="B17" s="2876" t="str">
        <f>'预评函-1'!A23</f>
        <v>本次评估设定估价对象剩余土地使用年限为。</v>
      </c>
    </row>
    <row r="18" spans="1:48" s="2874" customFormat="1">
      <c r="A18" s="2875" t="s">
        <v>2670</v>
      </c>
      <c r="B18" s="2876" t="str">
        <f>'预评函-1'!A25</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估价期日：2018年9月3日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其他普通商品住房、批发零售</v>
      </c>
      <c r="AV32" s="2880"/>
    </row>
    <row r="33" spans="1:2">
      <c r="A33" s="2875" t="s">
        <v>2712</v>
      </c>
      <c r="B33" s="2876">
        <f>'预评函-2'!F5</f>
        <v>258</v>
      </c>
    </row>
    <row r="34" spans="1:2">
      <c r="A34" s="2875" t="s">
        <v>2713</v>
      </c>
      <c r="B34" s="2876" t="str">
        <f>'预评函-2'!G5</f>
        <v>其他普通商品住房、批发零售</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红线外七通、宗地红线内场地平整</v>
      </c>
    </row>
    <row r="39" spans="1:2">
      <c r="A39" s="2875" t="s">
        <v>2718</v>
      </c>
      <c r="B39" s="2876" t="str">
        <f>'预评函-2'!L5</f>
        <v>红线外七通、宗地红线内场地平整</v>
      </c>
    </row>
    <row r="40" spans="1:2">
      <c r="A40" s="2875" t="s">
        <v>2737</v>
      </c>
      <c r="B40" s="2876" t="str">
        <f>'预评函-2'!M3</f>
        <v>（剩余）土地使用年限/年</v>
      </c>
    </row>
    <row r="41" spans="1:2">
      <c r="A41" s="2875" t="s">
        <v>2719</v>
      </c>
      <c r="B41" s="2876">
        <f>'预评函-2'!M5</f>
        <v>0</v>
      </c>
    </row>
    <row r="42" spans="1:2">
      <c r="A42" s="2875" t="s">
        <v>2738</v>
      </c>
      <c r="B42" s="2876" t="str">
        <f>'预评函-2'!N3</f>
        <v>（分摊）出让国有建设用地使用权面积/㎡</v>
      </c>
    </row>
    <row r="43" spans="1:2">
      <c r="A43" s="2875" t="s">
        <v>2720</v>
      </c>
      <c r="B43" s="2876">
        <f>'预评函-2'!N5</f>
        <v>72846.2</v>
      </c>
    </row>
    <row r="44" spans="1:2">
      <c r="A44" s="2875" t="s">
        <v>2739</v>
      </c>
      <c r="B44" s="2876" t="str">
        <f>'预评函-2'!O3</f>
        <v>规划建筑面积/㎡</v>
      </c>
    </row>
    <row r="45" spans="1:2">
      <c r="A45" s="2875" t="s">
        <v>2721</v>
      </c>
      <c r="B45" s="2876">
        <f>'预评函-2'!O5</f>
        <v>180792</v>
      </c>
    </row>
    <row r="46" spans="1:2">
      <c r="A46" s="2875" t="s">
        <v>2722</v>
      </c>
      <c r="B46" s="2876">
        <f ca="1">'预评函-2'!P5</f>
        <v>10539</v>
      </c>
    </row>
    <row r="47" spans="1:2">
      <c r="A47" s="2875" t="s">
        <v>2723</v>
      </c>
      <c r="B47" s="2876">
        <f ca="1">'预评函-2'!Q5</f>
        <v>4247</v>
      </c>
    </row>
    <row r="48" spans="1:2">
      <c r="A48" s="2875" t="s">
        <v>2724</v>
      </c>
      <c r="B48" s="2876">
        <f ca="1">'预评函-2'!R5</f>
        <v>76775</v>
      </c>
    </row>
    <row r="49" spans="1:2">
      <c r="A49" s="2875" t="s">
        <v>2740</v>
      </c>
      <c r="B49" s="2876" t="str">
        <f>'预评函-2'!A6</f>
        <v>抵押价格</v>
      </c>
    </row>
    <row r="50" spans="1:2">
      <c r="A50" s="2875" t="s">
        <v>2725</v>
      </c>
      <c r="B50" s="2876">
        <f ca="1">'预评函-2'!R6</f>
        <v>76775</v>
      </c>
    </row>
    <row r="51" spans="1:2">
      <c r="A51" s="2875" t="s">
        <v>2741</v>
      </c>
      <c r="B51" s="2876" t="str">
        <f>'预评函-2'!A7</f>
        <v>——</v>
      </c>
    </row>
    <row r="52" spans="1:2">
      <c r="A52" s="2875" t="s">
        <v>2726</v>
      </c>
      <c r="B52" s="2876" t="str">
        <f>'预评函-2'!R7</f>
        <v>——</v>
      </c>
    </row>
    <row r="53" spans="1:2">
      <c r="A53" s="2875" t="s">
        <v>2742</v>
      </c>
      <c r="B53" s="2876">
        <f>'预评函-2'!A8</f>
        <v>0</v>
      </c>
    </row>
    <row r="54" spans="1:2" s="2890" customFormat="1" ht="15" thickBot="1">
      <c r="A54" s="2897" t="s">
        <v>2727</v>
      </c>
      <c r="B54" s="2898" t="str">
        <f>'预评函-2'!R8</f>
        <v>——</v>
      </c>
    </row>
    <row r="55" spans="1:2" ht="15" thickTop="1">
      <c r="A55" s="2886" t="s">
        <v>2677</v>
      </c>
      <c r="B55" s="2887" t="str">
        <f>'预评函-3'!A2</f>
        <v>1.权利限制：根据估价对象《不动产权证书》复印件、，截至估价期日，估价对象抵押权未见登记。未设定租赁等其他他项权利。</v>
      </c>
    </row>
    <row r="56" spans="1:2">
      <c r="A56" s="2875" t="s">
        <v>2678</v>
      </c>
      <c r="B56" s="2876" t="str">
        <f>'预评函-3'!A3</f>
        <v>2.基础设施条件：估价对象实际开发程度为红线外七通、宗地红线内场地平整；本次评估设定开发程度为红线外七通、宗地红线内场地平整。</v>
      </c>
    </row>
    <row r="57" spans="1:2">
      <c r="A57" s="2875" t="s">
        <v>2679</v>
      </c>
      <c r="B57" s="2876" t="str">
        <f>'预评函-3'!A4</f>
        <v>3.估价规划限制条件：详见《国有建设用地使用权出让合同》[]及附件、《北京市规划委员会关于同意XX项目的规划设计方案的规划意见复函》[]以及《建设工程规划许可证》[]。</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（1）根据估价对象《不动产权证书》复印件、，截至估价期日，估价对象抵押权未见登记。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综上，本次评估不存在估价师知悉的法定优先受偿款</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崔锴</v>
      </c>
    </row>
    <row r="72" spans="1:2" s="2890" customFormat="1" ht="15" thickBot="1">
      <c r="A72" s="2897" t="s">
        <v>2690</v>
      </c>
      <c r="B72" s="2903">
        <f ca="1">'预评函-3'!B21</f>
        <v>2010110070</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504" t="str">
        <f>IF(B10="北京市","北京市",C10)&amp;F10&amp;B16&amp;"国有建设用地使用权"&amp;B9&amp;"预评估"</f>
        <v>山东省青岛市高新区火炬路以北、规划中32号线以西370214005030GB00261号一宗住宅、商业用地出让国有建设用地使用权抵押价格预评估</v>
      </c>
      <c r="C1" s="3505"/>
      <c r="D1" s="3505"/>
      <c r="E1" s="3505"/>
      <c r="F1" s="3505"/>
      <c r="G1" s="3505"/>
      <c r="H1" s="3505"/>
      <c r="I1" s="3506"/>
      <c r="J1" s="1690"/>
      <c r="K1" s="2452" t="str">
        <f>IF(B10="北京市","北京市",C10)&amp;F10&amp;B16&amp;"国有建设用地使用权"&amp;B9</f>
        <v>山东省青岛市高新区火炬路以北、规划中32号线以西370214005030GB00261号一宗住宅、商业用地出让国有建设用地使用权抵押价格</v>
      </c>
      <c r="L1" s="1719"/>
      <c r="M1" s="1719"/>
      <c r="N1" s="1690"/>
      <c r="O1" s="1691"/>
      <c r="P1" s="1690"/>
      <c r="Q1" s="1690"/>
      <c r="R1" s="1690"/>
      <c r="S1" s="1690"/>
      <c r="T1" s="1690"/>
      <c r="U1" s="1690"/>
    </row>
    <row r="2" spans="1:21">
      <c r="A2" s="1656" t="s">
        <v>1941</v>
      </c>
      <c r="B2" s="1838"/>
      <c r="D2" s="1690"/>
      <c r="E2" s="1690"/>
      <c r="F2" s="1690"/>
      <c r="G2" s="1690"/>
      <c r="H2" s="1656"/>
      <c r="I2" s="1691"/>
      <c r="J2" s="1690"/>
      <c r="K2" s="2452" t="str">
        <f>IF(B10="北京市","北京市",C10)&amp;F10&amp;B16&amp;"国有建设用地使用权"</f>
        <v>山东省青岛市高新区火炬路以北、规划中32号线以西370214005030GB00261号一宗住宅、商业用地出让国有建设用地使用权</v>
      </c>
      <c r="L2" s="1719"/>
      <c r="M2" s="1719"/>
      <c r="N2" s="1690"/>
      <c r="O2" s="1691"/>
      <c r="P2" s="1690"/>
      <c r="Q2" s="1690"/>
      <c r="R2" s="1690"/>
      <c r="S2" s="1690"/>
      <c r="T2" s="1690"/>
      <c r="U2" s="1690"/>
    </row>
    <row r="3" spans="1:21">
      <c r="A3" s="1657" t="s">
        <v>1942</v>
      </c>
      <c r="B3" s="1658">
        <v>43346</v>
      </c>
      <c r="C3" s="1659" t="s">
        <v>1996</v>
      </c>
      <c r="D3" s="1658">
        <f>B3</f>
        <v>43346</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2983</v>
      </c>
      <c r="C4" s="1842">
        <f ca="1">SUMIF(土地估价师,B4,估价师及机构信息!E3:E24)</f>
        <v>2002110030</v>
      </c>
      <c r="D4" s="1839" t="s">
        <v>2984</v>
      </c>
      <c r="E4" s="1842">
        <f ca="1">SUMIF(土地估价师,D4,估价师及机构信息!E3:E24)</f>
        <v>2010110070</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王鹏、崔锴</v>
      </c>
      <c r="L4" s="1719"/>
      <c r="M4" s="1719"/>
      <c r="N4" s="1690"/>
      <c r="O4" s="1691"/>
      <c r="P4" s="1690"/>
      <c r="Q4" s="1690"/>
      <c r="R4" s="1690"/>
      <c r="S4" s="1690"/>
      <c r="T4" s="1690"/>
      <c r="U4" s="1690"/>
    </row>
    <row r="5" spans="1:21" ht="15" thickTop="1">
      <c r="A5" s="1661" t="s">
        <v>1944</v>
      </c>
      <c r="B5" s="1785" t="str">
        <f>B6</f>
        <v>大业信托有限责任公司</v>
      </c>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t="s">
        <v>2985</v>
      </c>
      <c r="C6" s="1757"/>
      <c r="D6" s="1664"/>
      <c r="E6" s="1690"/>
      <c r="F6" s="1690"/>
      <c r="G6" s="1690"/>
      <c r="H6" s="1656"/>
      <c r="I6" s="1691"/>
      <c r="J6" s="1690"/>
      <c r="K6" s="3053" t="str">
        <f>IF(COUNTIF(B6,"*上海银行*"),"上海银行","")</f>
        <v/>
      </c>
      <c r="L6" s="1719"/>
      <c r="M6" s="1719"/>
      <c r="N6" s="1690"/>
      <c r="O6" s="1691"/>
      <c r="P6" s="1690"/>
      <c r="Q6" s="1690"/>
      <c r="R6" s="1690"/>
      <c r="S6" s="1690"/>
      <c r="T6" s="1690"/>
      <c r="U6" s="1690"/>
    </row>
    <row r="7" spans="1:21">
      <c r="A7" s="1665" t="s">
        <v>2706</v>
      </c>
      <c r="B7" s="1785" t="str">
        <f>C11</f>
        <v>青岛世茂世悦置业有限公司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2986</v>
      </c>
      <c r="C8" s="1667"/>
      <c r="D8" s="3510" t="s">
        <v>1947</v>
      </c>
      <c r="E8" s="1840" t="s">
        <v>2991</v>
      </c>
      <c r="F8" s="1668"/>
      <c r="G8" s="1656"/>
      <c r="H8" s="1656"/>
      <c r="I8" s="1703"/>
      <c r="J8" s="1690"/>
      <c r="K8" s="1770"/>
      <c r="L8" s="1719"/>
      <c r="M8" s="1719"/>
      <c r="N8" s="1690"/>
      <c r="O8" s="1691"/>
      <c r="P8" s="1690"/>
      <c r="Q8" s="1690"/>
      <c r="R8" s="1690"/>
      <c r="S8" s="1690"/>
      <c r="T8" s="1690"/>
      <c r="U8" s="1690"/>
    </row>
    <row r="9" spans="1:21" ht="15" thickBot="1">
      <c r="A9" s="1669" t="s">
        <v>1946</v>
      </c>
      <c r="B9" s="1670" t="s">
        <v>2991</v>
      </c>
      <c r="C9" s="1671"/>
      <c r="D9" s="3511"/>
      <c r="E9" s="1670"/>
      <c r="F9" s="1743"/>
      <c r="G9" s="1738"/>
      <c r="H9" s="1738"/>
      <c r="I9" s="1739"/>
      <c r="J9" s="1690"/>
      <c r="K9" s="1770"/>
      <c r="L9" s="1719"/>
      <c r="M9" s="1719"/>
      <c r="N9" s="1690"/>
      <c r="O9" s="1691"/>
      <c r="P9" s="1690"/>
      <c r="Q9" s="1690"/>
      <c r="R9" s="1690"/>
      <c r="S9" s="1690"/>
      <c r="T9" s="1690"/>
      <c r="U9" s="1690"/>
    </row>
    <row r="10" spans="1:21" ht="15" thickTop="1">
      <c r="A10" s="1740" t="s">
        <v>1999</v>
      </c>
      <c r="B10" s="3177" t="s">
        <v>2987</v>
      </c>
      <c r="C10" s="1672" t="s">
        <v>2989</v>
      </c>
      <c r="D10" s="1663"/>
      <c r="E10" s="1673" t="s">
        <v>1949</v>
      </c>
      <c r="F10" s="1674" t="s">
        <v>2993</v>
      </c>
      <c r="G10" s="1741"/>
      <c r="H10" s="1742"/>
      <c r="I10" s="1663"/>
      <c r="J10" s="1690"/>
      <c r="K10" s="1770"/>
      <c r="L10" s="1719"/>
      <c r="M10" s="1719"/>
      <c r="N10" s="1690"/>
      <c r="O10" s="1691"/>
      <c r="P10" s="1690"/>
      <c r="Q10" s="1690"/>
      <c r="R10" s="1690"/>
      <c r="S10" s="1690"/>
      <c r="T10" s="1690"/>
      <c r="U10" s="1690"/>
    </row>
    <row r="11" spans="1:21" ht="28.5">
      <c r="A11" s="1693" t="s">
        <v>2000</v>
      </c>
      <c r="B11" s="1694" t="s">
        <v>2988</v>
      </c>
      <c r="C11" s="1675" t="s">
        <v>2990</v>
      </c>
      <c r="D11" s="1758"/>
      <c r="E11" s="1656"/>
      <c r="F11" s="1656"/>
      <c r="G11" s="1656"/>
      <c r="H11" s="1656"/>
      <c r="I11" s="1656"/>
      <c r="J11" s="1690"/>
      <c r="K11" s="1770"/>
      <c r="L11" s="1719"/>
      <c r="M11" s="1719"/>
      <c r="N11" s="1690"/>
      <c r="O11" s="1691"/>
      <c r="P11" s="1690"/>
      <c r="Q11" s="1690"/>
      <c r="R11" s="1690"/>
      <c r="S11" s="1690"/>
      <c r="T11" s="1690"/>
      <c r="U11" s="1690"/>
    </row>
    <row r="12" spans="1:21">
      <c r="A12" s="1781" t="s">
        <v>2058</v>
      </c>
      <c r="B12" s="3507" t="s">
        <v>2992</v>
      </c>
      <c r="C12" s="3508"/>
      <c r="D12" s="3509"/>
      <c r="E12" s="1695" t="s">
        <v>2061</v>
      </c>
      <c r="F12" s="3525" t="s">
        <v>2888</v>
      </c>
      <c r="G12" s="3526"/>
      <c r="H12" s="3526"/>
      <c r="I12" s="3527"/>
      <c r="J12" s="1690"/>
      <c r="K12" s="1770"/>
      <c r="L12" s="1719"/>
      <c r="M12" s="1719"/>
      <c r="N12" s="1690"/>
      <c r="O12" s="1691"/>
      <c r="P12" s="1690"/>
      <c r="Q12" s="1690"/>
      <c r="R12" s="1690"/>
      <c r="S12" s="1690"/>
      <c r="T12" s="1690"/>
      <c r="U12" s="1690"/>
    </row>
    <row r="13" spans="1:21">
      <c r="A13" s="1683" t="s">
        <v>2059</v>
      </c>
      <c r="B13" s="3507" t="str">
        <f>B12</f>
        <v>其他普通商品住房、批发零售</v>
      </c>
      <c r="C13" s="3508"/>
      <c r="D13" s="3509"/>
      <c r="E13" s="1695" t="s">
        <v>2061</v>
      </c>
      <c r="F13" s="3525" t="s">
        <v>2889</v>
      </c>
      <c r="G13" s="3526"/>
      <c r="H13" s="3526"/>
      <c r="I13" s="3527"/>
      <c r="J13" s="1690"/>
      <c r="K13" s="1770"/>
      <c r="L13" s="1719"/>
      <c r="M13" s="1719"/>
      <c r="N13" s="1690"/>
      <c r="O13" s="1691"/>
      <c r="P13" s="1690"/>
      <c r="Q13" s="1690"/>
      <c r="R13" s="1690"/>
      <c r="S13" s="1690"/>
      <c r="T13" s="1690"/>
      <c r="U13" s="1690"/>
    </row>
    <row r="14" spans="1:21">
      <c r="A14" s="1657" t="s">
        <v>2062</v>
      </c>
      <c r="B14" s="1695"/>
      <c r="C14" s="1841"/>
      <c r="D14" s="1729" t="str">
        <f>IF(C14="不一致","是否符合证载地类范围","")</f>
        <v/>
      </c>
      <c r="E14" s="1695"/>
      <c r="F14" s="1786" t="s">
        <v>2997</v>
      </c>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28.5">
      <c r="A16" s="1676" t="s">
        <v>1950</v>
      </c>
      <c r="B16" s="1677" t="s">
        <v>2996</v>
      </c>
      <c r="C16" s="1695" t="s">
        <v>1951</v>
      </c>
      <c r="D16" s="2643" t="s">
        <v>1952</v>
      </c>
      <c r="E16" s="1718" t="s">
        <v>2994</v>
      </c>
      <c r="F16" s="1718"/>
      <c r="G16" s="1718" t="s">
        <v>2995</v>
      </c>
      <c r="H16" s="1718"/>
      <c r="I16" s="1682" t="s">
        <v>1957</v>
      </c>
      <c r="J16" s="1690"/>
      <c r="K16" s="2453" t="str">
        <f>IF(D17="","",D16&amp;TEXT(D17,"yyyy年m月d日;;"))</f>
        <v>住宅2088年8月14日</v>
      </c>
      <c r="L16" s="1695" t="str">
        <f>IF(OR(K16="",M16=""),"","、")</f>
        <v>、</v>
      </c>
      <c r="M16" s="2453" t="str">
        <f>IF(E17="","",E16&amp;TEXT(E17,"yyyy年m月d日;;"))</f>
        <v>商业2058年8月14日</v>
      </c>
      <c r="N16" s="1695" t="str">
        <f>IF(OR(M16="",O16=""),"","、")</f>
        <v/>
      </c>
      <c r="O16" s="2453" t="str">
        <f>IF(F17="","",F16&amp;TEXT(F17,"yyyy年m月d日;;"))</f>
        <v/>
      </c>
      <c r="P16" s="1695" t="str">
        <f>IF(OR(O16="",Q16=""),"","、")</f>
        <v/>
      </c>
      <c r="Q16" s="2453" t="str">
        <f>IF(G17="","",G16&amp;TEXT(G17,"yyyy年m月d日;;"))</f>
        <v>车库2068年8月14日</v>
      </c>
      <c r="R16" s="1695" t="str">
        <f>IF(OR(Q16="",S16=""),"","、")</f>
        <v/>
      </c>
      <c r="S16" s="2453" t="str">
        <f>IF(H17="","",H16&amp;TEXT(H17,"yyyy年m月d日;;"))</f>
        <v/>
      </c>
      <c r="T16" s="1695" t="str">
        <f>IF(OR(S16="",U16=""),"","、")</f>
        <v/>
      </c>
      <c r="U16" s="2453" t="str">
        <f>IF(I17="","",I16&amp;TEXT(I17,"yyyy年m月d日;;"))</f>
        <v/>
      </c>
    </row>
    <row r="17" spans="1:21">
      <c r="A17" s="1759"/>
      <c r="B17" s="1678"/>
      <c r="C17" s="1679" t="s">
        <v>1958</v>
      </c>
      <c r="D17" s="1696">
        <v>68894</v>
      </c>
      <c r="E17" s="1696">
        <v>57936</v>
      </c>
      <c r="F17" s="1696"/>
      <c r="G17" s="1696">
        <v>61589</v>
      </c>
      <c r="H17" s="1696"/>
      <c r="I17" s="1696"/>
      <c r="J17" s="1690"/>
      <c r="K17" s="2452" t="str">
        <f>CONCATENATE(K16,L16,M16,N16,O16,P16,Q16,R16,S16,T16,,U16)</f>
        <v>住宅2088年8月14日、商业2058年8月14日车库2068年8月14日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69.989999999999995</v>
      </c>
      <c r="E19" s="1681">
        <f>IF(B16="出让",IF(E17="","",ROUNDDOWN(MIN((E17-$D$3)/365,E18),2)),E18)</f>
        <v>39.97</v>
      </c>
      <c r="F19" s="1681" t="str">
        <f>IF(B16="出让",IF(F17="","",ROUNDDOWN(MIN((F17-$D$3)/365,F18),2)),F18)</f>
        <v/>
      </c>
      <c r="G19" s="1681">
        <f>IF(B16="出让",IF(G17="","",ROUNDDOWN(MIN((G17-$D$3)/365,G18),2)),G18)</f>
        <v>49.98</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522"/>
      <c r="E20" s="3523"/>
      <c r="F20" s="3523"/>
      <c r="G20" s="3523"/>
      <c r="H20" s="3523"/>
      <c r="I20" s="3524"/>
      <c r="J20" s="1690"/>
      <c r="K20" s="1770"/>
      <c r="L20" s="1719"/>
      <c r="M20" s="1719"/>
      <c r="N20" s="1690"/>
      <c r="O20" s="1691"/>
      <c r="P20" s="1690"/>
      <c r="Q20" s="1690"/>
      <c r="R20" s="1690"/>
      <c r="S20" s="1690"/>
      <c r="T20" s="1690"/>
      <c r="U20" s="1690"/>
    </row>
    <row r="21" spans="1:21">
      <c r="A21" s="1759" t="s">
        <v>1961</v>
      </c>
      <c r="B21" s="1760" t="s">
        <v>1962</v>
      </c>
      <c r="C21" s="1755">
        <f>'数据-汇总表'!E3</f>
        <v>180792</v>
      </c>
      <c r="D21" s="1756" t="s">
        <v>1963</v>
      </c>
      <c r="E21" s="3512" t="str">
        <f>F13</f>
        <v>《国有建设用地使用权出让合同》[]及附件、《北京市规划委员会关于同意XX项目的规划设计方案的规划意见复函》[]以及《建设工程规划许可证》[]</v>
      </c>
      <c r="F21" s="3513"/>
      <c r="G21" s="3513"/>
      <c r="H21" s="3513"/>
      <c r="I21" s="3514"/>
      <c r="J21" s="1690"/>
      <c r="K21" s="1770"/>
      <c r="L21" s="1719"/>
      <c r="M21" s="1719"/>
      <c r="N21" s="1690"/>
      <c r="O21" s="1691"/>
      <c r="P21" s="1690"/>
      <c r="Q21" s="1690"/>
      <c r="R21" s="1690"/>
      <c r="S21" s="1690"/>
      <c r="T21" s="1690"/>
      <c r="U21" s="1690"/>
    </row>
    <row r="22" spans="1:21">
      <c r="A22" s="3146" t="s">
        <v>952</v>
      </c>
      <c r="B22" s="1657" t="s">
        <v>1964</v>
      </c>
      <c r="C22" s="1682">
        <f>'数据-汇总表'!D3</f>
        <v>72846.2</v>
      </c>
      <c r="D22" s="1683" t="s">
        <v>1963</v>
      </c>
      <c r="E22" s="3512" t="str">
        <f>E21</f>
        <v>《国有建设用地使用权出让合同》[]及附件、《北京市规划委员会关于同意XX项目的规划设计方案的规划意见复函》[]以及《建设工程规划许可证》[]</v>
      </c>
      <c r="F22" s="3513"/>
      <c r="G22" s="3513"/>
      <c r="H22" s="3513"/>
      <c r="I22" s="3514"/>
      <c r="J22" s="1690"/>
      <c r="K22" s="1770"/>
      <c r="L22" s="1719"/>
      <c r="M22" s="1719"/>
      <c r="N22" s="1690"/>
      <c r="O22" s="1691"/>
      <c r="P22" s="1690"/>
      <c r="Q22" s="1690"/>
      <c r="R22" s="1690"/>
      <c r="S22" s="1690"/>
      <c r="T22" s="1690"/>
      <c r="U22" s="1690"/>
    </row>
    <row r="23" spans="1:21" ht="43.5" thickBot="1">
      <c r="A23" s="1761" t="s">
        <v>1965</v>
      </c>
      <c r="B23" s="1697" t="s">
        <v>1966</v>
      </c>
      <c r="C23" s="1698" t="s">
        <v>2998</v>
      </c>
      <c r="D23" s="1699" t="s">
        <v>1967</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515" t="s">
        <v>1969</v>
      </c>
      <c r="C24" s="3516"/>
      <c r="D24" s="3517" t="s">
        <v>1970</v>
      </c>
      <c r="E24" s="3518"/>
      <c r="F24" s="1704" t="s">
        <v>1971</v>
      </c>
      <c r="G24" s="1690"/>
      <c r="H24" s="1690"/>
      <c r="I24" s="1703"/>
      <c r="J24" s="1690"/>
      <c r="K24" s="3503" t="s">
        <v>1972</v>
      </c>
      <c r="L24" s="245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2325</v>
      </c>
      <c r="C25" s="1705" t="s">
        <v>2326</v>
      </c>
      <c r="D25" s="1706"/>
      <c r="E25" s="1707"/>
      <c r="F25" s="1708"/>
      <c r="G25" s="1690"/>
      <c r="H25" s="1690"/>
      <c r="I25" s="1703"/>
      <c r="J25" s="1690"/>
      <c r="K25" s="3503"/>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6"/>
      <c r="E26" s="1656"/>
      <c r="F26" s="1684"/>
      <c r="G26" s="1690"/>
      <c r="H26" s="1690"/>
      <c r="I26" s="1703"/>
      <c r="J26" s="1690"/>
      <c r="K26" s="3503"/>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530" t="s">
        <v>2001</v>
      </c>
      <c r="B31" s="1760" t="s">
        <v>2002</v>
      </c>
      <c r="C31" s="3528" t="s">
        <v>2999</v>
      </c>
      <c r="D31" s="3529"/>
      <c r="E31" s="1690"/>
      <c r="F31" s="1690"/>
      <c r="G31" s="1690"/>
      <c r="H31" s="1690"/>
      <c r="I31" s="1703"/>
      <c r="J31" s="1690"/>
      <c r="K31" s="2455"/>
      <c r="L31" s="1690"/>
      <c r="M31" s="1690"/>
      <c r="N31" s="1690"/>
      <c r="O31" s="1690"/>
      <c r="P31" s="1690"/>
      <c r="Q31" s="1690"/>
      <c r="R31" s="1690"/>
      <c r="S31" s="1690"/>
      <c r="T31" s="1690"/>
      <c r="U31" s="1690"/>
    </row>
    <row r="32" spans="1:21">
      <c r="A32" s="3530"/>
      <c r="B32" s="1657" t="s">
        <v>2003</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530"/>
      <c r="B33" s="1657" t="s">
        <v>2004</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531"/>
      <c r="B34" s="1657" t="s">
        <v>2005</v>
      </c>
      <c r="C34" s="3532"/>
      <c r="D34" s="3533"/>
      <c r="E34" s="1690"/>
      <c r="F34" s="1690"/>
      <c r="G34" s="1690"/>
      <c r="H34" s="1690"/>
      <c r="I34" s="1703"/>
      <c r="J34" s="1690"/>
      <c r="K34" s="2455"/>
      <c r="L34" s="1690"/>
      <c r="M34" s="1690"/>
      <c r="N34" s="1690"/>
      <c r="O34" s="1690"/>
      <c r="P34" s="1690"/>
      <c r="Q34" s="1690"/>
      <c r="R34" s="1690"/>
      <c r="S34" s="1690"/>
      <c r="T34" s="1690"/>
      <c r="U34" s="1690"/>
    </row>
    <row r="35" spans="1:21">
      <c r="A35" s="3534" t="s">
        <v>847</v>
      </c>
      <c r="B35" s="1718" t="s">
        <v>3000</v>
      </c>
      <c r="C35" s="1772" t="str">
        <f>IF(B35="场地平整","——","具体情况：")</f>
        <v>——</v>
      </c>
      <c r="D35" s="3536"/>
      <c r="E35" s="3537"/>
      <c r="F35" s="3537"/>
      <c r="G35" s="3537"/>
      <c r="H35" s="3537"/>
      <c r="I35" s="3538"/>
      <c r="J35" s="1690"/>
      <c r="K35" s="1771"/>
      <c r="L35" s="1719"/>
      <c r="M35" s="1719"/>
      <c r="N35" s="1690"/>
      <c r="O35" s="1691"/>
      <c r="P35" s="1690"/>
      <c r="Q35" s="1690"/>
      <c r="R35" s="1690"/>
      <c r="S35" s="1690"/>
      <c r="T35" s="1690"/>
      <c r="U35" s="1690"/>
    </row>
    <row r="36" spans="1:21">
      <c r="A36" s="3530"/>
      <c r="B36" s="3539" t="s">
        <v>2054</v>
      </c>
      <c r="C36" s="3540"/>
      <c r="D36" s="1788" t="s">
        <v>3001</v>
      </c>
      <c r="E36" s="3541"/>
      <c r="F36" s="3541"/>
      <c r="G36" s="1683" t="str">
        <f>IF(B35="场地未平整","估价结果处理","")</f>
        <v/>
      </c>
      <c r="H36" s="3542"/>
      <c r="I36" s="3542"/>
      <c r="J36" s="1690"/>
      <c r="K36" s="1771"/>
      <c r="L36" s="1719"/>
      <c r="M36" s="1719"/>
      <c r="N36" s="1690"/>
      <c r="O36" s="1691"/>
      <c r="P36" s="1690"/>
      <c r="Q36" s="1690"/>
      <c r="R36" s="1690"/>
      <c r="S36" s="1690"/>
      <c r="T36" s="1690"/>
      <c r="U36" s="1690"/>
    </row>
    <row r="37" spans="1:21" ht="28.5">
      <c r="A37" s="3530"/>
      <c r="B37" s="3519"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530"/>
      <c r="B38" s="3520"/>
      <c r="C38" s="1665" t="s">
        <v>850</v>
      </c>
      <c r="D38" s="1787">
        <f>ROUNDDOWN(MIN(('数据-取费表'!$B$2-D37)/365,D34),1)</f>
        <v>118.7</v>
      </c>
      <c r="E38" s="1723" t="s">
        <v>851</v>
      </c>
      <c r="F38" s="1690"/>
      <c r="G38" s="1690"/>
      <c r="H38" s="1690"/>
      <c r="I38" s="1703"/>
      <c r="J38" s="1690"/>
      <c r="K38" s="1771"/>
      <c r="L38" s="1690"/>
      <c r="M38" s="1690"/>
      <c r="N38" s="1690"/>
      <c r="O38" s="1690"/>
      <c r="P38" s="1690"/>
      <c r="Q38" s="1690"/>
      <c r="R38" s="1690"/>
      <c r="S38" s="1690"/>
      <c r="T38" s="1690"/>
      <c r="U38" s="1690"/>
    </row>
    <row r="39" spans="1:21">
      <c r="A39" s="3531"/>
      <c r="B39" s="3521"/>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3002</v>
      </c>
      <c r="C40" s="1686" t="s">
        <v>3003</v>
      </c>
      <c r="D40" s="1686" t="s">
        <v>3004</v>
      </c>
      <c r="E40" s="1686" t="s">
        <v>3005</v>
      </c>
      <c r="F40" s="1686" t="s">
        <v>3006</v>
      </c>
      <c r="G40" s="1686" t="s">
        <v>3007</v>
      </c>
      <c r="H40" s="1686" t="s">
        <v>3008</v>
      </c>
      <c r="I40" s="1703"/>
      <c r="J40" s="1690"/>
      <c r="K40" s="1726">
        <f>COUNTIF(B40:H40,"——")</f>
        <v>0</v>
      </c>
      <c r="L40" s="1695" t="s">
        <v>1979</v>
      </c>
      <c r="M40" s="1692" t="s">
        <v>1980</v>
      </c>
      <c r="N40" s="1692" t="s">
        <v>1981</v>
      </c>
      <c r="O40" s="1692" t="s">
        <v>1982</v>
      </c>
      <c r="P40" s="1692" t="s">
        <v>1983</v>
      </c>
      <c r="Q40" s="1692" t="s">
        <v>1984</v>
      </c>
      <c r="R40" s="1692" t="s">
        <v>1985</v>
      </c>
      <c r="S40" s="3502" t="s">
        <v>1986</v>
      </c>
      <c r="T40" s="1727" t="str">
        <f>NUMBERSTRING(7-K40,1)&amp;"通"</f>
        <v>七通</v>
      </c>
      <c r="U40" s="1690"/>
    </row>
    <row r="41" spans="1:21" ht="28.5">
      <c r="A41" s="1659"/>
      <c r="B41" s="3535" t="s">
        <v>1722</v>
      </c>
      <c r="C41" s="3535"/>
      <c r="D41" s="3535"/>
      <c r="E41" s="3535"/>
      <c r="F41" s="1728" t="str">
        <f>C10</f>
        <v>山东省青岛市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通路、通电、通讯、通上水、通下水、通热</v>
      </c>
      <c r="R41" s="1730" t="str">
        <f>B40&amp;"、"&amp;C40&amp;"、"&amp;D40&amp;"、"&amp;E40&amp;"、"&amp;F40&amp;"、"&amp;G40&amp;"、"&amp;H40</f>
        <v>通路、通电、通讯、通上水、通下水、通热、燃气</v>
      </c>
      <c r="S41" s="3502"/>
      <c r="T41" s="1729" t="str">
        <f>IF(T40="一通",L41,IF(T40="二通",M41,IF(T40="三通",N41,IF(T40="四通",O41,IF(T40="五通",P41,IF(T40="六通",Q41,R41))))))</f>
        <v>通路、通电、通讯、通上水、通下水、通热、燃气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70" customFormat="1" ht="21" thickBot="1">
      <c r="A45" s="3071" t="s">
        <v>2890</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E19" sqref="AE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2333</v>
      </c>
      <c r="BA2" s="235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72846.2</v>
      </c>
      <c r="B3" s="22">
        <f>IF(C3="否",G5-AT5,G5)</f>
        <v>180792</v>
      </c>
      <c r="C3" s="23" t="s">
        <v>2998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180792</v>
      </c>
      <c r="H5" s="27">
        <f t="shared" ref="H5:AT5" si="0">SUM(H13:H641)</f>
        <v>157165</v>
      </c>
      <c r="I5" s="27">
        <f t="shared" si="0"/>
        <v>34304</v>
      </c>
      <c r="J5" s="27">
        <f t="shared" si="0"/>
        <v>0</v>
      </c>
      <c r="K5" s="27">
        <f t="shared" si="0"/>
        <v>40890</v>
      </c>
      <c r="L5" s="27">
        <f t="shared" si="0"/>
        <v>0</v>
      </c>
      <c r="M5" s="27">
        <f t="shared" si="0"/>
        <v>3738</v>
      </c>
      <c r="N5" s="27">
        <f t="shared" si="0"/>
        <v>0</v>
      </c>
      <c r="O5" s="27">
        <f t="shared" si="0"/>
        <v>50129</v>
      </c>
      <c r="P5" s="27">
        <f t="shared" si="0"/>
        <v>0</v>
      </c>
      <c r="Q5" s="27">
        <f t="shared" si="0"/>
        <v>28104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23627</v>
      </c>
      <c r="AD5" s="27">
        <f t="shared" si="0"/>
        <v>2062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21565</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180792</v>
      </c>
      <c r="BA5" s="29">
        <f t="shared" si="1"/>
        <v>157165</v>
      </c>
      <c r="BB5" s="29">
        <f t="shared" si="1"/>
        <v>34304</v>
      </c>
      <c r="BC5" s="29">
        <f t="shared" si="1"/>
        <v>40890</v>
      </c>
      <c r="BD5" s="29">
        <f t="shared" si="1"/>
        <v>3738</v>
      </c>
      <c r="BE5" s="29">
        <f t="shared" si="1"/>
        <v>50129</v>
      </c>
      <c r="BF5" s="29">
        <f t="shared" si="1"/>
        <v>28104</v>
      </c>
      <c r="BG5" s="29">
        <f t="shared" si="1"/>
        <v>0</v>
      </c>
      <c r="BH5" s="29">
        <f t="shared" si="1"/>
        <v>0</v>
      </c>
      <c r="BI5" s="29">
        <f t="shared" si="1"/>
        <v>0</v>
      </c>
      <c r="BJ5" s="29">
        <f t="shared" si="1"/>
        <v>0</v>
      </c>
      <c r="BK5" s="29">
        <f t="shared" si="1"/>
        <v>0</v>
      </c>
      <c r="BL5" s="29">
        <f t="shared" si="1"/>
        <v>23627</v>
      </c>
      <c r="BM5" s="29">
        <f t="shared" si="1"/>
        <v>2062</v>
      </c>
      <c r="BN5" s="29">
        <f t="shared" si="1"/>
        <v>0</v>
      </c>
      <c r="BO5" s="29">
        <f t="shared" si="1"/>
        <v>0</v>
      </c>
      <c r="BP5" s="29">
        <f t="shared" si="1"/>
        <v>0</v>
      </c>
      <c r="BQ5" s="29">
        <f t="shared" si="1"/>
        <v>0</v>
      </c>
      <c r="BR5" s="29">
        <f t="shared" si="1"/>
        <v>21565</v>
      </c>
      <c r="BS5" s="29">
        <f t="shared" si="1"/>
        <v>0</v>
      </c>
      <c r="BT5" s="30">
        <f t="shared" si="1"/>
        <v>0</v>
      </c>
    </row>
    <row r="6" spans="1:72" s="37" customFormat="1" ht="12.75">
      <c r="A6" s="26" t="s">
        <v>169</v>
      </c>
      <c r="B6" s="31"/>
      <c r="C6" s="31"/>
      <c r="D6" s="32"/>
      <c r="E6" s="27">
        <f>H6+AC6+AT6</f>
        <v>72846.210000000006</v>
      </c>
      <c r="F6" s="27" t="s">
        <v>1</v>
      </c>
      <c r="G6" s="27" t="s">
        <v>2</v>
      </c>
      <c r="H6" s="33">
        <f>SUMIF(I$12:AB$12,"总值",I6:AB6)</f>
        <v>63326.22</v>
      </c>
      <c r="I6" s="27">
        <f t="shared" ref="I6:AB6" si="2">ROUND($A$3*I5/$B$3,2)</f>
        <v>13822.05</v>
      </c>
      <c r="J6" s="27">
        <f t="shared" si="2"/>
        <v>0</v>
      </c>
      <c r="K6" s="27">
        <f t="shared" si="2"/>
        <v>16475.740000000002</v>
      </c>
      <c r="L6" s="27">
        <f t="shared" si="2"/>
        <v>0</v>
      </c>
      <c r="M6" s="27">
        <f t="shared" si="2"/>
        <v>1506.15</v>
      </c>
      <c r="N6" s="27">
        <f t="shared" si="2"/>
        <v>0</v>
      </c>
      <c r="O6" s="27">
        <f t="shared" si="2"/>
        <v>20198.39</v>
      </c>
      <c r="P6" s="27">
        <f t="shared" si="2"/>
        <v>0</v>
      </c>
      <c r="Q6" s="27">
        <f t="shared" si="2"/>
        <v>11323.89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9519.99</v>
      </c>
      <c r="AD6" s="27">
        <f t="shared" ref="AD6:AS6" si="3">ROUND($A$3*AD5/$B$3,2)</f>
        <v>830.84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8689.15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72846.2</v>
      </c>
      <c r="AZ6" s="27" t="s">
        <v>3</v>
      </c>
      <c r="BA6" s="27">
        <f>ROUND($AY$6*BA5/$AZ$5,2)</f>
        <v>63326.21</v>
      </c>
      <c r="BB6" s="27">
        <f>ROUND($AY$6*BB5/$AZ$5,2)</f>
        <v>13822.05</v>
      </c>
      <c r="BC6" s="27">
        <f t="shared" ref="BC6:BH6" si="4">ROUND($AY$6*BC5/$AZ$5,2)</f>
        <v>16475.740000000002</v>
      </c>
      <c r="BD6" s="27">
        <f t="shared" si="4"/>
        <v>1506.15</v>
      </c>
      <c r="BE6" s="27">
        <f t="shared" si="4"/>
        <v>20198.39</v>
      </c>
      <c r="BF6" s="27">
        <f t="shared" si="4"/>
        <v>11323.89</v>
      </c>
      <c r="BG6" s="27">
        <f t="shared" si="4"/>
        <v>0</v>
      </c>
      <c r="BH6" s="27">
        <f t="shared" si="4"/>
        <v>0</v>
      </c>
      <c r="BI6" s="27">
        <f t="shared" ref="BI6:BT6" si="5">ROUND($AY$6*BI5/$AZ$5,2)</f>
        <v>0</v>
      </c>
      <c r="BJ6" s="27">
        <f t="shared" si="5"/>
        <v>0</v>
      </c>
      <c r="BK6" s="27">
        <f t="shared" si="5"/>
        <v>0</v>
      </c>
      <c r="BL6" s="27">
        <f t="shared" si="5"/>
        <v>9519.99</v>
      </c>
      <c r="BM6" s="27">
        <f t="shared" si="5"/>
        <v>830.84</v>
      </c>
      <c r="BN6" s="27">
        <f t="shared" si="5"/>
        <v>0</v>
      </c>
      <c r="BO6" s="27">
        <f t="shared" si="5"/>
        <v>0</v>
      </c>
      <c r="BP6" s="27">
        <f t="shared" si="5"/>
        <v>0</v>
      </c>
      <c r="BQ6" s="27">
        <f t="shared" si="5"/>
        <v>0</v>
      </c>
      <c r="BR6" s="27">
        <f t="shared" si="5"/>
        <v>8689.15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6" t="s">
        <v>3165</v>
      </c>
      <c r="J9" s="51"/>
      <c r="K9" s="3016" t="s">
        <v>3165</v>
      </c>
      <c r="L9" s="51"/>
      <c r="M9" s="3016" t="s">
        <v>3165</v>
      </c>
      <c r="N9" s="51"/>
      <c r="O9" s="59" t="s">
        <v>3165</v>
      </c>
      <c r="P9" s="51"/>
      <c r="Q9" s="59" t="s">
        <v>3168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6" t="s">
        <v>923</v>
      </c>
      <c r="J10" s="51"/>
      <c r="K10" s="3018" t="s">
        <v>923</v>
      </c>
      <c r="L10" s="51"/>
      <c r="M10" s="3018" t="s">
        <v>2994</v>
      </c>
      <c r="N10" s="51"/>
      <c r="O10" s="66" t="s">
        <v>923</v>
      </c>
      <c r="P10" s="51"/>
      <c r="Q10" s="66" t="s">
        <v>2995</v>
      </c>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7" t="s">
        <v>3166</v>
      </c>
      <c r="J11" s="71"/>
      <c r="K11" s="3017" t="s">
        <v>3167</v>
      </c>
      <c r="L11" s="71"/>
      <c r="M11" s="70"/>
      <c r="N11" s="71"/>
      <c r="O11" s="70" t="s">
        <v>22</v>
      </c>
      <c r="P11" s="71"/>
      <c r="Q11" s="70"/>
      <c r="R11" s="71"/>
      <c r="S11" s="70"/>
      <c r="T11" s="71"/>
      <c r="U11" s="70"/>
      <c r="V11" s="71"/>
      <c r="W11" s="70"/>
      <c r="X11" s="71"/>
      <c r="Y11" s="70"/>
      <c r="Z11" s="71"/>
      <c r="AA11" s="70"/>
      <c r="AB11" s="71"/>
      <c r="AC11" s="55"/>
      <c r="AD11" s="2331" t="s">
        <v>2330</v>
      </c>
      <c r="AE11" s="1000"/>
      <c r="AF11" s="2331" t="s">
        <v>2330</v>
      </c>
      <c r="AG11" s="1000"/>
      <c r="AH11" s="2331" t="s">
        <v>2329</v>
      </c>
      <c r="AI11" s="2332"/>
      <c r="AJ11" s="2331" t="s">
        <v>2329</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住宅</v>
      </c>
      <c r="BF11" s="50" t="str">
        <f>Q10</f>
        <v>车库</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联排</v>
      </c>
      <c r="BD12" s="79">
        <f>M11</f>
        <v>0</v>
      </c>
      <c r="BE12" s="50" t="str">
        <f>O11</f>
        <v>限价商品房</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1"/>
      <c r="B13" s="3011"/>
      <c r="C13" s="3011"/>
      <c r="D13" s="3012" t="s">
        <v>1679</v>
      </c>
      <c r="E13" s="27">
        <f t="shared" ref="E13:E20" si="6">IF($C$3="是",ROUND($A$3*G13/$B$3,2),ROUND($A$3*(G13-AT13)/$B$3,2))</f>
        <v>72846.2</v>
      </c>
      <c r="F13" s="81"/>
      <c r="G13" s="82">
        <f t="shared" ref="G13:G20" si="7">H13+AC13+AT13</f>
        <v>180792</v>
      </c>
      <c r="H13" s="33">
        <f t="shared" ref="H13:H20" si="8">SUMIF(I$12:AB$12,"总值",I13:AB13)</f>
        <v>157165</v>
      </c>
      <c r="I13" s="3015">
        <f>经济指标!D6</f>
        <v>34304</v>
      </c>
      <c r="J13" s="3015"/>
      <c r="K13" s="3015">
        <f>经济指标!D8</f>
        <v>40890</v>
      </c>
      <c r="L13" s="3015"/>
      <c r="M13" s="3015">
        <f>经济指标!D9</f>
        <v>3738</v>
      </c>
      <c r="N13" s="83"/>
      <c r="O13" s="83">
        <f>经济指标!D7</f>
        <v>50129</v>
      </c>
      <c r="P13" s="83"/>
      <c r="Q13" s="83">
        <f>经济指标!D20</f>
        <v>28104</v>
      </c>
      <c r="R13" s="83"/>
      <c r="S13" s="83"/>
      <c r="T13" s="83"/>
      <c r="U13" s="83"/>
      <c r="V13" s="83"/>
      <c r="W13" s="83"/>
      <c r="X13" s="83"/>
      <c r="Y13" s="83"/>
      <c r="Z13" s="83"/>
      <c r="AA13" s="83"/>
      <c r="AB13" s="83"/>
      <c r="AC13" s="27">
        <f t="shared" ref="AC13:AC20" si="9">SUMIF(AD$12:AS$12,"总值",AD13:AS13)</f>
        <v>23627</v>
      </c>
      <c r="AD13" s="3019">
        <f>经济指标!D10</f>
        <v>2062</v>
      </c>
      <c r="AE13" s="3019"/>
      <c r="AF13" s="3019"/>
      <c r="AG13" s="3019"/>
      <c r="AH13" s="3019"/>
      <c r="AI13" s="3019"/>
      <c r="AJ13" s="3019"/>
      <c r="AK13" s="3019"/>
      <c r="AL13" s="3019"/>
      <c r="AM13" s="3019"/>
      <c r="AN13" s="3019">
        <f>经济指标!D19</f>
        <v>21565</v>
      </c>
      <c r="AO13" s="3019"/>
      <c r="AP13" s="3019"/>
      <c r="AQ13" s="3019"/>
      <c r="AR13" s="3019"/>
      <c r="AS13" s="3019"/>
      <c r="AT13" s="3020"/>
      <c r="AU13" s="3021"/>
      <c r="AV13" s="17">
        <f t="shared" ref="AV13:AX20" si="10">A13</f>
        <v>0</v>
      </c>
      <c r="AW13" s="17">
        <f t="shared" si="10"/>
        <v>0</v>
      </c>
      <c r="AX13" s="17">
        <f t="shared" si="10"/>
        <v>0</v>
      </c>
      <c r="AY13" s="994">
        <f t="shared" ref="AY13:AY20" si="11">ROUND($AY$6*AZ13/$AZ$5,2)</f>
        <v>72846.2</v>
      </c>
      <c r="AZ13" s="27">
        <f t="shared" ref="AZ13:AZ20" si="12">BA13+BL13</f>
        <v>180792</v>
      </c>
      <c r="BA13" s="27">
        <f t="shared" ref="BA13:BA20" si="13">SUM(BB13:BK13)</f>
        <v>157165</v>
      </c>
      <c r="BB13" s="27">
        <f t="shared" ref="BB13:BB20" si="14">IF($D13="是",I13-J13,0)</f>
        <v>34304</v>
      </c>
      <c r="BC13" s="27">
        <f t="shared" ref="BC13:BC20" si="15">IF($D13="是",K13-L13,0)</f>
        <v>40890</v>
      </c>
      <c r="BD13" s="27">
        <f t="shared" ref="BD13:BD20" si="16">IF($D13="是",M13-N13,0)</f>
        <v>3738</v>
      </c>
      <c r="BE13" s="27">
        <f t="shared" ref="BE13:BE20" si="17">IF($D13="是",O13-P13,0)</f>
        <v>50129</v>
      </c>
      <c r="BF13" s="27">
        <f t="shared" ref="BF13:BF20" si="18">IF($D13="是",Q13-R13,0)</f>
        <v>28104</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23627</v>
      </c>
      <c r="BM13" s="27">
        <f t="shared" ref="BM13:BM20" si="25">IF($D13="是",AD13-AE13,0)</f>
        <v>2062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21565</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3" t="s">
        <v>0</v>
      </c>
      <c r="B1" s="3543" t="s">
        <v>4</v>
      </c>
      <c r="C1" s="3543" t="s">
        <v>5</v>
      </c>
      <c r="D1" s="3544" t="s">
        <v>40</v>
      </c>
      <c r="E1" s="3544" t="s">
        <v>41</v>
      </c>
      <c r="F1" s="3544"/>
      <c r="G1" s="3544"/>
      <c r="H1" s="3544"/>
      <c r="I1" s="3544"/>
      <c r="J1" s="3544"/>
      <c r="K1" s="3544"/>
      <c r="L1" s="3544"/>
      <c r="M1" s="3544"/>
    </row>
    <row r="2" spans="1:13" ht="27" customHeight="1">
      <c r="A2" s="3543"/>
      <c r="B2" s="3543"/>
      <c r="C2" s="3543"/>
      <c r="D2" s="3544"/>
      <c r="E2" s="3544" t="s">
        <v>24</v>
      </c>
      <c r="F2" s="3544" t="s">
        <v>25</v>
      </c>
      <c r="G2" s="3544"/>
      <c r="H2" s="3544"/>
      <c r="I2" s="3544"/>
      <c r="J2" s="3544" t="s">
        <v>26</v>
      </c>
      <c r="K2" s="3544"/>
      <c r="L2" s="3544"/>
      <c r="M2" s="3544"/>
    </row>
    <row r="3" spans="1:13" ht="28.5">
      <c r="A3" s="3543"/>
      <c r="B3" s="3543"/>
      <c r="C3" s="3543"/>
      <c r="D3" s="3544"/>
      <c r="E3" s="354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4" t="s">
        <v>42</v>
      </c>
      <c r="B9" s="3544"/>
      <c r="C9" s="35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0"/>
  <sheetViews>
    <sheetView workbookViewId="0">
      <selection activeCell="K10" sqref="K10"/>
    </sheetView>
  </sheetViews>
  <sheetFormatPr defaultRowHeight="15.75"/>
  <cols>
    <col min="1" max="1" width="4" style="3192" customWidth="1"/>
    <col min="2" max="2" width="4.5" style="3192" customWidth="1"/>
    <col min="3" max="3" width="24.5" style="3192" customWidth="1"/>
    <col min="4" max="4" width="14.125" style="3192" customWidth="1"/>
    <col min="5" max="5" width="13.375" style="3192" customWidth="1"/>
    <col min="6" max="6" width="11.875" style="3235" customWidth="1"/>
    <col min="7" max="7" width="10.875" style="3192" customWidth="1"/>
    <col min="8" max="8" width="12.125" style="3191" customWidth="1"/>
    <col min="9" max="16384" width="9" style="3192"/>
  </cols>
  <sheetData>
    <row r="1" spans="1:8" ht="26.25" customHeight="1" thickBot="1">
      <c r="A1" s="3551" t="s">
        <v>3009</v>
      </c>
      <c r="B1" s="3551"/>
      <c r="C1" s="3551"/>
      <c r="D1" s="3551"/>
      <c r="E1" s="3551"/>
      <c r="F1" s="3190"/>
      <c r="G1" s="3190"/>
    </row>
    <row r="2" spans="1:8" ht="18" customHeight="1">
      <c r="A2" s="3193"/>
      <c r="B2" s="3552" t="s">
        <v>3010</v>
      </c>
      <c r="C2" s="3552"/>
      <c r="D2" s="3194" t="s">
        <v>3011</v>
      </c>
      <c r="E2" s="3195" t="s">
        <v>3012</v>
      </c>
      <c r="F2" s="3196" t="s">
        <v>3013</v>
      </c>
      <c r="G2" s="3197" t="s">
        <v>3014</v>
      </c>
    </row>
    <row r="3" spans="1:8" ht="18" customHeight="1">
      <c r="A3" s="3553" t="s">
        <v>3015</v>
      </c>
      <c r="B3" s="3548" t="s">
        <v>3016</v>
      </c>
      <c r="C3" s="3548"/>
      <c r="D3" s="3198">
        <v>72846.2</v>
      </c>
      <c r="E3" s="3199" t="s">
        <v>3017</v>
      </c>
      <c r="F3" s="3200"/>
      <c r="G3" s="3201"/>
    </row>
    <row r="4" spans="1:8" ht="18" customHeight="1">
      <c r="A4" s="3553"/>
      <c r="B4" s="3548" t="s">
        <v>3018</v>
      </c>
      <c r="C4" s="3548"/>
      <c r="D4" s="3202">
        <f>D5+D18</f>
        <v>180792</v>
      </c>
      <c r="E4" s="3199" t="s">
        <v>3017</v>
      </c>
      <c r="F4" s="3203"/>
      <c r="G4" s="3201"/>
    </row>
    <row r="5" spans="1:8" ht="18" customHeight="1">
      <c r="A5" s="3553"/>
      <c r="B5" s="3555" t="s">
        <v>3019</v>
      </c>
      <c r="C5" s="3555"/>
      <c r="D5" s="3202">
        <f>SUM(D6:D17)</f>
        <v>131123</v>
      </c>
      <c r="E5" s="3199" t="s">
        <v>3017</v>
      </c>
      <c r="F5" s="3204">
        <f>SUM(F6:F17)</f>
        <v>0</v>
      </c>
      <c r="G5" s="3205">
        <f>SUM(G6:G17)</f>
        <v>131123</v>
      </c>
    </row>
    <row r="6" spans="1:8" ht="18" customHeight="1">
      <c r="A6" s="3553"/>
      <c r="B6" s="3556" t="s">
        <v>3020</v>
      </c>
      <c r="C6" s="3206" t="s">
        <v>3021</v>
      </c>
      <c r="D6" s="3207">
        <v>34304</v>
      </c>
      <c r="E6" s="3208" t="s">
        <v>3017</v>
      </c>
      <c r="F6" s="3209"/>
      <c r="G6" s="3205">
        <f t="shared" ref="G6:G10" si="0">D6</f>
        <v>34304</v>
      </c>
      <c r="H6" s="3207">
        <f>D6+D7</f>
        <v>84433</v>
      </c>
    </row>
    <row r="7" spans="1:8" ht="18" customHeight="1">
      <c r="A7" s="3553"/>
      <c r="B7" s="3556"/>
      <c r="C7" s="3210" t="s">
        <v>3022</v>
      </c>
      <c r="D7" s="3207">
        <v>50129</v>
      </c>
      <c r="E7" s="3208" t="s">
        <v>3017</v>
      </c>
      <c r="F7" s="3204"/>
      <c r="G7" s="3205">
        <f t="shared" si="0"/>
        <v>50129</v>
      </c>
      <c r="H7" s="3211"/>
    </row>
    <row r="8" spans="1:8" ht="18" customHeight="1">
      <c r="A8" s="3553"/>
      <c r="B8" s="3556"/>
      <c r="C8" s="3212" t="s">
        <v>3023</v>
      </c>
      <c r="D8" s="3207">
        <v>40890</v>
      </c>
      <c r="E8" s="3208" t="s">
        <v>3017</v>
      </c>
      <c r="F8" s="3204"/>
      <c r="G8" s="3205">
        <f t="shared" si="0"/>
        <v>40890</v>
      </c>
      <c r="H8" s="3211"/>
    </row>
    <row r="9" spans="1:8" ht="18" customHeight="1">
      <c r="A9" s="3553"/>
      <c r="B9" s="3556"/>
      <c r="C9" s="3213" t="s">
        <v>3024</v>
      </c>
      <c r="D9" s="3214">
        <v>3738</v>
      </c>
      <c r="E9" s="3208" t="s">
        <v>3017</v>
      </c>
      <c r="F9" s="3204"/>
      <c r="G9" s="3205">
        <f t="shared" si="0"/>
        <v>3738</v>
      </c>
      <c r="H9" s="3215"/>
    </row>
    <row r="10" spans="1:8" ht="18" customHeight="1">
      <c r="A10" s="3553"/>
      <c r="B10" s="3556"/>
      <c r="C10" s="3213" t="s">
        <v>3025</v>
      </c>
      <c r="D10" s="3214">
        <v>2062</v>
      </c>
      <c r="E10" s="3208" t="s">
        <v>3017</v>
      </c>
      <c r="F10" s="3204"/>
      <c r="G10" s="3205">
        <f t="shared" si="0"/>
        <v>2062</v>
      </c>
      <c r="H10" s="3215"/>
    </row>
    <row r="11" spans="1:8" ht="18" customHeight="1">
      <c r="A11" s="3553"/>
      <c r="B11" s="3556"/>
      <c r="C11" s="3213"/>
      <c r="D11" s="3216"/>
      <c r="E11" s="3208" t="s">
        <v>3017</v>
      </c>
      <c r="F11" s="3217"/>
      <c r="G11" s="3205"/>
      <c r="H11" s="3215"/>
    </row>
    <row r="12" spans="1:8" ht="18" hidden="1" customHeight="1">
      <c r="A12" s="3553"/>
      <c r="B12" s="3556"/>
      <c r="C12" s="3213"/>
      <c r="D12" s="3216"/>
      <c r="E12" s="3208" t="s">
        <v>3017</v>
      </c>
      <c r="F12" s="3217"/>
      <c r="G12" s="3205"/>
      <c r="H12" s="3218"/>
    </row>
    <row r="13" spans="1:8" ht="18" hidden="1" customHeight="1">
      <c r="A13" s="3553"/>
      <c r="B13" s="3556"/>
      <c r="C13" s="3213"/>
      <c r="D13" s="3219"/>
      <c r="E13" s="3208" t="s">
        <v>3017</v>
      </c>
      <c r="F13" s="3209"/>
      <c r="G13" s="3220"/>
      <c r="H13" s="3215"/>
    </row>
    <row r="14" spans="1:8" ht="18" hidden="1" customHeight="1">
      <c r="A14" s="3553"/>
      <c r="B14" s="3556"/>
      <c r="C14" s="3213"/>
      <c r="D14" s="3219"/>
      <c r="E14" s="3208" t="s">
        <v>3017</v>
      </c>
      <c r="F14" s="3209"/>
      <c r="G14" s="3220"/>
      <c r="H14" s="3215"/>
    </row>
    <row r="15" spans="1:8" ht="18" hidden="1" customHeight="1">
      <c r="A15" s="3553"/>
      <c r="B15" s="3556"/>
      <c r="C15" s="3213"/>
      <c r="D15" s="3219"/>
      <c r="E15" s="3208" t="s">
        <v>3017</v>
      </c>
      <c r="F15" s="3209"/>
      <c r="G15" s="3220"/>
      <c r="H15" s="3215"/>
    </row>
    <row r="16" spans="1:8" ht="18" hidden="1" customHeight="1">
      <c r="A16" s="3553"/>
      <c r="B16" s="3556"/>
      <c r="C16" s="3213"/>
      <c r="D16" s="3219"/>
      <c r="E16" s="3208" t="s">
        <v>3017</v>
      </c>
      <c r="F16" s="3209"/>
      <c r="G16" s="3220"/>
      <c r="H16" s="3215"/>
    </row>
    <row r="17" spans="1:8" ht="18" hidden="1" customHeight="1">
      <c r="A17" s="3553"/>
      <c r="B17" s="3556"/>
      <c r="C17" s="3221"/>
      <c r="D17" s="3222"/>
      <c r="E17" s="3208" t="s">
        <v>3017</v>
      </c>
      <c r="F17" s="3209"/>
      <c r="G17" s="3220"/>
      <c r="H17" s="3215"/>
    </row>
    <row r="18" spans="1:8" ht="18" customHeight="1">
      <c r="A18" s="3553"/>
      <c r="B18" s="3556" t="s">
        <v>3026</v>
      </c>
      <c r="C18" s="3556"/>
      <c r="D18" s="3214">
        <f>SUM(D19:D22)</f>
        <v>49669</v>
      </c>
      <c r="E18" s="3208" t="s">
        <v>3017</v>
      </c>
      <c r="F18" s="3204">
        <f>SUM(F19:F22)</f>
        <v>0</v>
      </c>
      <c r="G18" s="3205">
        <f>G19+G20+G22</f>
        <v>49669</v>
      </c>
      <c r="H18" s="3215"/>
    </row>
    <row r="19" spans="1:8" ht="18" customHeight="1">
      <c r="A19" s="3553"/>
      <c r="B19" s="3557" t="s">
        <v>3027</v>
      </c>
      <c r="C19" s="3223" t="s">
        <v>3028</v>
      </c>
      <c r="D19" s="3207">
        <v>21565</v>
      </c>
      <c r="E19" s="3208" t="s">
        <v>3017</v>
      </c>
      <c r="F19" s="3204"/>
      <c r="G19" s="3205">
        <f>D19</f>
        <v>21565</v>
      </c>
      <c r="H19" s="3215"/>
    </row>
    <row r="20" spans="1:8" ht="18" customHeight="1">
      <c r="A20" s="3553"/>
      <c r="B20" s="3557"/>
      <c r="C20" s="3223" t="s">
        <v>3029</v>
      </c>
      <c r="D20" s="3207">
        <v>28104</v>
      </c>
      <c r="E20" s="3208" t="s">
        <v>3017</v>
      </c>
      <c r="F20" s="3204"/>
      <c r="G20" s="3205">
        <f>D20</f>
        <v>28104</v>
      </c>
      <c r="H20" s="3215"/>
    </row>
    <row r="21" spans="1:8" ht="18" customHeight="1">
      <c r="A21" s="3553"/>
      <c r="B21" s="3557"/>
      <c r="C21" s="3223"/>
      <c r="D21" s="3207"/>
      <c r="E21" s="3208" t="s">
        <v>3017</v>
      </c>
      <c r="F21" s="3204">
        <f>D21-G21</f>
        <v>0</v>
      </c>
      <c r="G21" s="3224"/>
      <c r="H21" s="3215"/>
    </row>
    <row r="22" spans="1:8" ht="18" hidden="1" customHeight="1">
      <c r="A22" s="3553"/>
      <c r="B22" s="3557"/>
      <c r="C22" s="3223"/>
      <c r="D22" s="3207"/>
      <c r="E22" s="3208" t="s">
        <v>3017</v>
      </c>
      <c r="F22" s="3204">
        <f>D22-G22</f>
        <v>0</v>
      </c>
      <c r="G22" s="3220"/>
      <c r="H22" s="3215"/>
    </row>
    <row r="23" spans="1:8" ht="18" customHeight="1">
      <c r="A23" s="3553"/>
      <c r="B23" s="3558" t="s">
        <v>3030</v>
      </c>
      <c r="C23" s="3559"/>
      <c r="D23" s="3225">
        <v>18212</v>
      </c>
      <c r="E23" s="3208" t="s">
        <v>3017</v>
      </c>
      <c r="F23" s="3226"/>
      <c r="G23" s="3201"/>
    </row>
    <row r="24" spans="1:8" ht="18" customHeight="1">
      <c r="A24" s="3553"/>
      <c r="B24" s="3545" t="s">
        <v>3031</v>
      </c>
      <c r="C24" s="3546"/>
      <c r="D24" s="3225">
        <v>21854</v>
      </c>
      <c r="E24" s="3208" t="s">
        <v>3017</v>
      </c>
      <c r="F24" s="3226"/>
      <c r="G24" s="3201"/>
    </row>
    <row r="25" spans="1:8" ht="18" customHeight="1">
      <c r="A25" s="3553"/>
      <c r="B25" s="3547" t="s">
        <v>2032</v>
      </c>
      <c r="C25" s="3548"/>
      <c r="D25" s="3227">
        <v>1.8</v>
      </c>
      <c r="E25" s="3199"/>
      <c r="F25" s="3203"/>
      <c r="G25" s="3201"/>
    </row>
    <row r="26" spans="1:8" ht="18" customHeight="1">
      <c r="A26" s="3553"/>
      <c r="B26" s="3547" t="s">
        <v>3032</v>
      </c>
      <c r="C26" s="3548"/>
      <c r="D26" s="3228">
        <f>D23/D3</f>
        <v>0.25000617739840925</v>
      </c>
      <c r="E26" s="3199"/>
      <c r="F26" s="3203"/>
      <c r="G26" s="3229"/>
    </row>
    <row r="27" spans="1:8" ht="18" customHeight="1">
      <c r="A27" s="3553"/>
      <c r="B27" s="3548" t="s">
        <v>3033</v>
      </c>
      <c r="C27" s="3548"/>
      <c r="D27" s="3228">
        <f>D24/D3</f>
        <v>0.30000192185728292</v>
      </c>
      <c r="E27" s="3199"/>
      <c r="F27" s="3203"/>
      <c r="G27" s="3229"/>
    </row>
    <row r="28" spans="1:8" ht="18" customHeight="1" thickBot="1">
      <c r="A28" s="3553"/>
      <c r="B28" s="3230" t="s">
        <v>3034</v>
      </c>
      <c r="C28" s="3230"/>
      <c r="D28" s="3225">
        <v>1206</v>
      </c>
      <c r="E28" s="3199" t="s">
        <v>3035</v>
      </c>
      <c r="F28" s="3231"/>
      <c r="G28" s="3232"/>
    </row>
    <row r="29" spans="1:8" ht="16.5" thickBot="1">
      <c r="A29" s="3554"/>
      <c r="B29" s="3549" t="s">
        <v>3036</v>
      </c>
      <c r="C29" s="3550"/>
      <c r="D29" s="3233">
        <v>1009</v>
      </c>
      <c r="E29" s="3234" t="s">
        <v>3037</v>
      </c>
    </row>
    <row r="30" spans="1:8">
      <c r="F30" s="3236">
        <f>F5/D5</f>
        <v>0</v>
      </c>
      <c r="G30" s="3237">
        <f>G5/D5</f>
        <v>1</v>
      </c>
    </row>
  </sheetData>
  <mergeCells count="15">
    <mergeCell ref="A1:E1"/>
    <mergeCell ref="B2:C2"/>
    <mergeCell ref="A3:A29"/>
    <mergeCell ref="B3:C3"/>
    <mergeCell ref="B4:C4"/>
    <mergeCell ref="B5:C5"/>
    <mergeCell ref="B6:B17"/>
    <mergeCell ref="B18:C18"/>
    <mergeCell ref="B19:B22"/>
    <mergeCell ref="B23:C23"/>
    <mergeCell ref="B24:C24"/>
    <mergeCell ref="B25:C25"/>
    <mergeCell ref="B26:C26"/>
    <mergeCell ref="B27:C27"/>
    <mergeCell ref="B29:C29"/>
  </mergeCells>
  <phoneticPr fontId="23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4" sqref="I1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569" t="s">
        <v>203</v>
      </c>
      <c r="B2" s="3569"/>
      <c r="C2" s="3569"/>
      <c r="D2" s="1972" t="s">
        <v>204</v>
      </c>
      <c r="E2" s="106" t="s">
        <v>205</v>
      </c>
      <c r="F2" s="1981"/>
      <c r="G2" s="1196"/>
      <c r="H2" s="1197"/>
      <c r="I2" s="1198" t="s">
        <v>857</v>
      </c>
      <c r="J2" s="1981"/>
      <c r="K2" s="1981"/>
      <c r="L2" s="1981"/>
    </row>
    <row r="3" spans="1:16" ht="15.75" thickBot="1">
      <c r="A3" s="3570" t="s">
        <v>206</v>
      </c>
      <c r="B3" s="3570"/>
      <c r="C3" s="3570"/>
      <c r="D3" s="107">
        <f>'数据-基础表'!AY6</f>
        <v>72846.2</v>
      </c>
      <c r="E3" s="107">
        <f>'数据-基础表'!AZ5</f>
        <v>180792</v>
      </c>
      <c r="F3" s="1981"/>
      <c r="G3" s="279" t="s">
        <v>858</v>
      </c>
      <c r="H3" s="274" t="s">
        <v>859</v>
      </c>
      <c r="I3" s="1973">
        <f>ROUND('数据-基础表'!B3/'数据-基础表'!A3,2)</f>
        <v>2.48</v>
      </c>
      <c r="J3" s="1981"/>
      <c r="K3" s="1981"/>
      <c r="L3" s="1981"/>
    </row>
    <row r="4" spans="1:16" ht="15">
      <c r="A4" s="3571"/>
      <c r="B4" s="3572"/>
      <c r="C4" s="3573"/>
      <c r="D4" s="108" t="s">
        <v>204</v>
      </c>
      <c r="E4" s="109" t="s">
        <v>205</v>
      </c>
      <c r="F4" s="1981"/>
      <c r="G4" s="1199"/>
      <c r="H4" s="274" t="s">
        <v>860</v>
      </c>
      <c r="I4" s="1973">
        <f>ROUND(SUMIF('数据-基础表'!I9:AS9,"地上",'数据-基础表'!I5:AS5)/'数据-基础表'!A3,2)</f>
        <v>1.8</v>
      </c>
      <c r="J4" s="1981"/>
      <c r="K4" s="1981"/>
      <c r="L4" s="1981"/>
    </row>
    <row r="5" spans="1:16">
      <c r="A5" s="110" t="s">
        <v>207</v>
      </c>
      <c r="B5" s="3574" t="s">
        <v>230</v>
      </c>
      <c r="C5" s="3574"/>
      <c r="D5" s="111">
        <f>ROUND($D$3*E5/$E$3,2)</f>
        <v>50496.17</v>
      </c>
      <c r="E5" s="112">
        <f>SUMIF('数据-基础表'!$11:$11,"住宅",'数据-基础表'!$5:$5)</f>
        <v>125323</v>
      </c>
      <c r="F5" s="1981"/>
      <c r="G5" s="279" t="s">
        <v>861</v>
      </c>
      <c r="H5" s="274" t="s">
        <v>859</v>
      </c>
      <c r="I5" s="1973">
        <f>ROUND(E31/D31,2)</f>
        <v>2.48</v>
      </c>
      <c r="J5" s="1981"/>
      <c r="K5" s="1981"/>
      <c r="L5" s="1981"/>
    </row>
    <row r="6" spans="1:16" ht="15" thickBot="1">
      <c r="A6" s="113"/>
      <c r="B6" s="3574" t="s">
        <v>208</v>
      </c>
      <c r="C6" s="3574"/>
      <c r="D6" s="111">
        <f>ROUND($D$3*E6/$E$3,2)</f>
        <v>22350.03</v>
      </c>
      <c r="E6" s="112">
        <f>E3-E5</f>
        <v>55469</v>
      </c>
      <c r="F6" s="1981"/>
      <c r="G6" s="1199"/>
      <c r="H6" s="274" t="s">
        <v>860</v>
      </c>
      <c r="I6" s="1973">
        <f>ROUND(F31/D31,2)</f>
        <v>1.8</v>
      </c>
      <c r="J6" s="1981"/>
      <c r="K6" s="1981"/>
      <c r="L6" s="1981"/>
    </row>
    <row r="7" spans="1:16" ht="15">
      <c r="A7" s="3566"/>
      <c r="B7" s="3567"/>
      <c r="C7" s="3568"/>
      <c r="D7" s="108" t="s">
        <v>204</v>
      </c>
      <c r="E7" s="114" t="s">
        <v>231</v>
      </c>
      <c r="F7" s="1981"/>
      <c r="G7" s="1154" t="s">
        <v>1646</v>
      </c>
      <c r="H7" s="1155"/>
      <c r="I7" s="1843"/>
      <c r="J7" s="1981"/>
      <c r="K7" s="1981"/>
      <c r="L7" s="1981"/>
    </row>
    <row r="8" spans="1:16">
      <c r="A8" s="110" t="s">
        <v>209</v>
      </c>
      <c r="B8" s="115" t="s">
        <v>210</v>
      </c>
      <c r="C8" s="111" t="s">
        <v>211</v>
      </c>
      <c r="D8" s="111">
        <f t="shared" ref="D8:D15" si="0">ROUND($D$3*E8/$E$3,2)</f>
        <v>52002.32</v>
      </c>
      <c r="E8" s="116">
        <f>SUMIF('数据-基础表'!BB10:BK10,"地上",'数据-基础表'!BB5:BK5)</f>
        <v>129061</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11323.89</v>
      </c>
      <c r="E13" s="116">
        <f>SUMPRODUCT(('数据-基础表'!BB10:BK10="地下")*('数据-基础表'!BB11:BK11="车库")*('数据-基础表'!BB5:BK5))</f>
        <v>28104</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63326.21</v>
      </c>
      <c r="E16" s="120">
        <f>SUM(E8:E15)</f>
        <v>157165</v>
      </c>
      <c r="F16" s="1981"/>
      <c r="G16" s="1983"/>
      <c r="H16" s="966" t="s">
        <v>219</v>
      </c>
      <c r="I16" s="967"/>
      <c r="J16" s="1981"/>
      <c r="K16" s="3560" t="s">
        <v>2566</v>
      </c>
      <c r="L16" s="3561"/>
      <c r="M16" s="3561"/>
      <c r="N16" s="3561"/>
      <c r="O16" s="3561"/>
      <c r="P16" s="3562"/>
    </row>
    <row r="17" spans="1:19" ht="15">
      <c r="A17" s="121" t="s">
        <v>216</v>
      </c>
      <c r="B17" s="122" t="s">
        <v>217</v>
      </c>
      <c r="C17" s="2295" t="s">
        <v>2313</v>
      </c>
      <c r="D17" s="108" t="s">
        <v>204</v>
      </c>
      <c r="E17" s="124" t="s">
        <v>205</v>
      </c>
      <c r="F17" s="125"/>
      <c r="G17" s="1363"/>
      <c r="H17" s="968" t="s">
        <v>218</v>
      </c>
      <c r="I17" s="969" t="s">
        <v>2312</v>
      </c>
      <c r="J17" s="1981"/>
      <c r="K17" s="3563" t="s">
        <v>2567</v>
      </c>
      <c r="L17" s="3564"/>
      <c r="M17" s="3565"/>
      <c r="N17" s="3563" t="s">
        <v>2568</v>
      </c>
      <c r="O17" s="3564"/>
      <c r="P17" s="3565"/>
      <c r="R17" s="2296" t="s">
        <v>2311</v>
      </c>
      <c r="S17" s="144"/>
    </row>
    <row r="18" spans="1:19" ht="15">
      <c r="A18" s="117"/>
      <c r="B18" s="128"/>
      <c r="C18" s="129"/>
      <c r="D18" s="2639"/>
      <c r="E18" s="130" t="s">
        <v>220</v>
      </c>
      <c r="F18" s="131" t="s">
        <v>221</v>
      </c>
      <c r="G18" s="1364" t="s">
        <v>222</v>
      </c>
      <c r="H18" s="970" t="s">
        <v>223</v>
      </c>
      <c r="I18" s="971" t="s">
        <v>224</v>
      </c>
      <c r="J18" s="1981"/>
      <c r="K18" s="2602" t="s">
        <v>2569</v>
      </c>
      <c r="L18" s="2603" t="s">
        <v>2570</v>
      </c>
      <c r="M18" s="2604" t="s">
        <v>2571</v>
      </c>
      <c r="N18" s="2602" t="s">
        <v>2569</v>
      </c>
      <c r="O18" s="2603" t="s">
        <v>2570</v>
      </c>
      <c r="P18" s="2604" t="s">
        <v>2571</v>
      </c>
      <c r="R18" s="2297" t="s">
        <v>2309</v>
      </c>
      <c r="S18" s="2297" t="s">
        <v>2310</v>
      </c>
    </row>
    <row r="19" spans="1:19">
      <c r="A19" s="133"/>
      <c r="B19" s="115" t="s">
        <v>225</v>
      </c>
      <c r="C19" s="3022" t="s">
        <v>3170</v>
      </c>
      <c r="D19" s="111">
        <f t="shared" ref="D19:D26" si="1">ROUND($D$3*E19/$E$3,2)</f>
        <v>13822.05</v>
      </c>
      <c r="E19" s="134">
        <f t="shared" ref="E19:E26" si="2">SUM(F19:G19)</f>
        <v>34304</v>
      </c>
      <c r="F19" s="135">
        <f>'数据-基础表'!I13</f>
        <v>34304</v>
      </c>
      <c r="G19" s="1365"/>
      <c r="H19" s="972">
        <f>ROUND($D$3*I19/$E$3,2)</f>
        <v>2275.59</v>
      </c>
      <c r="I19" s="116">
        <f>IF($I$17="自定义",P19,M19)</f>
        <v>5647.6399999999994</v>
      </c>
      <c r="J19" s="1981"/>
      <c r="K19" s="2605">
        <f t="shared" ref="K19:K26" si="3">ROUND(E$28*E19/E$27,2)</f>
        <v>4706.9399999999996</v>
      </c>
      <c r="L19" s="274">
        <f t="shared" ref="L19:L26" si="4">ROUND(IF(COUNTIF(C19,"*住宅*")&gt;0,E$29*E19/E$32,0),2)</f>
        <v>940.7</v>
      </c>
      <c r="M19" s="2606">
        <f>K19+L19</f>
        <v>5647.6399999999994</v>
      </c>
      <c r="N19" s="2607"/>
      <c r="O19" s="2608"/>
      <c r="P19" s="2609">
        <f>N19+O19</f>
        <v>0</v>
      </c>
      <c r="R19" s="274">
        <f t="shared" ref="R19:S26" si="5">D19+H19</f>
        <v>16097.64</v>
      </c>
      <c r="S19" s="2298">
        <f t="shared" si="5"/>
        <v>39951.64</v>
      </c>
    </row>
    <row r="20" spans="1:19">
      <c r="A20" s="138"/>
      <c r="B20" s="115" t="s">
        <v>226</v>
      </c>
      <c r="C20" s="3022" t="s">
        <v>3172</v>
      </c>
      <c r="D20" s="111">
        <f t="shared" si="1"/>
        <v>16475.740000000002</v>
      </c>
      <c r="E20" s="134">
        <f t="shared" si="2"/>
        <v>40890</v>
      </c>
      <c r="F20" s="135">
        <f>'数据-基础表'!K13</f>
        <v>40890</v>
      </c>
      <c r="G20" s="1365"/>
      <c r="H20" s="972">
        <f t="shared" ref="H20:H26" si="6">ROUND($D$3*I20/$E$3,2)</f>
        <v>2712.48</v>
      </c>
      <c r="I20" s="116">
        <f t="shared" ref="I20:I26" si="7">IF($I$17="自定义",P20,M20)</f>
        <v>6731.92</v>
      </c>
      <c r="J20" s="1981"/>
      <c r="K20" s="2605">
        <f t="shared" si="3"/>
        <v>5610.62</v>
      </c>
      <c r="L20" s="274">
        <f t="shared" si="4"/>
        <v>1121.3</v>
      </c>
      <c r="M20" s="2606">
        <f t="shared" ref="M20:M26" si="8">K20+L20</f>
        <v>6731.92</v>
      </c>
      <c r="N20" s="2607"/>
      <c r="O20" s="2608"/>
      <c r="P20" s="2609">
        <f t="shared" ref="P20:P26" si="9">N20+O20</f>
        <v>0</v>
      </c>
      <c r="R20" s="274">
        <f t="shared" si="5"/>
        <v>19188.22</v>
      </c>
      <c r="S20" s="2298">
        <f t="shared" si="5"/>
        <v>47621.919999999998</v>
      </c>
    </row>
    <row r="21" spans="1:19">
      <c r="A21" s="138"/>
      <c r="B21" s="115" t="s">
        <v>226</v>
      </c>
      <c r="C21" s="3022" t="s">
        <v>3173</v>
      </c>
      <c r="D21" s="111">
        <f t="shared" si="1"/>
        <v>1506.15</v>
      </c>
      <c r="E21" s="134">
        <f t="shared" si="2"/>
        <v>3738</v>
      </c>
      <c r="F21" s="135">
        <f>'数据-基础表'!M13</f>
        <v>3738</v>
      </c>
      <c r="G21" s="1365"/>
      <c r="H21" s="972">
        <f t="shared" si="6"/>
        <v>206.66</v>
      </c>
      <c r="I21" s="116">
        <f t="shared" si="7"/>
        <v>512.9</v>
      </c>
      <c r="J21" s="1981"/>
      <c r="K21" s="2605">
        <f t="shared" si="3"/>
        <v>512.9</v>
      </c>
      <c r="L21" s="274">
        <f t="shared" si="4"/>
        <v>0</v>
      </c>
      <c r="M21" s="2606">
        <f t="shared" si="8"/>
        <v>512.9</v>
      </c>
      <c r="N21" s="2607"/>
      <c r="O21" s="2608"/>
      <c r="P21" s="2609">
        <f t="shared" si="9"/>
        <v>0</v>
      </c>
      <c r="R21" s="274">
        <f t="shared" si="5"/>
        <v>1712.8100000000002</v>
      </c>
      <c r="S21" s="2298">
        <f t="shared" si="5"/>
        <v>4250.8999999999996</v>
      </c>
    </row>
    <row r="22" spans="1:19">
      <c r="A22" s="138"/>
      <c r="B22" s="115" t="s">
        <v>226</v>
      </c>
      <c r="C22" s="3341" t="s">
        <v>3175</v>
      </c>
      <c r="D22" s="111">
        <f t="shared" si="1"/>
        <v>11323.89</v>
      </c>
      <c r="E22" s="134">
        <f t="shared" si="2"/>
        <v>28104</v>
      </c>
      <c r="F22" s="140"/>
      <c r="G22" s="1366">
        <f>'数据-基础表'!Q13</f>
        <v>28104</v>
      </c>
      <c r="H22" s="972">
        <f t="shared" si="6"/>
        <v>1553.78</v>
      </c>
      <c r="I22" s="116">
        <f t="shared" si="7"/>
        <v>3856.22</v>
      </c>
      <c r="J22" s="1981"/>
      <c r="K22" s="2605">
        <f t="shared" si="3"/>
        <v>3856.22</v>
      </c>
      <c r="L22" s="274">
        <f t="shared" si="4"/>
        <v>0</v>
      </c>
      <c r="M22" s="2606">
        <f t="shared" si="8"/>
        <v>3856.22</v>
      </c>
      <c r="N22" s="2607"/>
      <c r="O22" s="2608"/>
      <c r="P22" s="2609">
        <f t="shared" si="9"/>
        <v>0</v>
      </c>
      <c r="R22" s="274">
        <f t="shared" si="5"/>
        <v>12877.67</v>
      </c>
      <c r="S22" s="2298">
        <f t="shared" si="5"/>
        <v>31960.22</v>
      </c>
    </row>
    <row r="23" spans="1:19">
      <c r="A23" s="138"/>
      <c r="B23" s="115" t="s">
        <v>226</v>
      </c>
      <c r="C23" s="3341" t="s">
        <v>3177</v>
      </c>
      <c r="D23" s="111">
        <f>ROUND($D$3*E23/$E$3,2)</f>
        <v>20198.39</v>
      </c>
      <c r="E23" s="134">
        <f>SUM(F23:G23)</f>
        <v>50129</v>
      </c>
      <c r="F23" s="140">
        <f>'数据-基础表'!O13</f>
        <v>50129</v>
      </c>
      <c r="G23" s="1366"/>
      <c r="H23" s="972">
        <f>ROUND($D$3*I23/$E$3,2)</f>
        <v>2771.47</v>
      </c>
      <c r="I23" s="116">
        <f t="shared" si="7"/>
        <v>6878.32</v>
      </c>
      <c r="J23" s="1981"/>
      <c r="K23" s="2605">
        <f t="shared" si="3"/>
        <v>6878.32</v>
      </c>
      <c r="L23" s="274">
        <f t="shared" si="4"/>
        <v>0</v>
      </c>
      <c r="M23" s="2606">
        <f t="shared" si="8"/>
        <v>6878.32</v>
      </c>
      <c r="N23" s="2607"/>
      <c r="O23" s="2608"/>
      <c r="P23" s="2609">
        <f t="shared" si="9"/>
        <v>0</v>
      </c>
      <c r="R23" s="274">
        <f t="shared" si="5"/>
        <v>22969.86</v>
      </c>
      <c r="S23" s="2298">
        <f t="shared" si="5"/>
        <v>57007.32</v>
      </c>
    </row>
    <row r="24" spans="1:19">
      <c r="A24" s="138"/>
      <c r="B24" s="115" t="s">
        <v>226</v>
      </c>
      <c r="C24" s="139"/>
      <c r="D24" s="111">
        <f>ROUND($D$3*E24/$E$3,2)</f>
        <v>0</v>
      </c>
      <c r="E24" s="134">
        <f>SUM(F24:G24)</f>
        <v>0</v>
      </c>
      <c r="F24" s="140"/>
      <c r="G24" s="1366"/>
      <c r="H24" s="972">
        <f>ROUND($D$3*I24/$E$3,2)</f>
        <v>0</v>
      </c>
      <c r="I24" s="116">
        <f t="shared" si="7"/>
        <v>0</v>
      </c>
      <c r="J24" s="1981"/>
      <c r="K24" s="2605">
        <f t="shared" si="3"/>
        <v>0</v>
      </c>
      <c r="L24" s="274">
        <f t="shared" si="4"/>
        <v>0</v>
      </c>
      <c r="M24" s="2606">
        <f t="shared" si="8"/>
        <v>0</v>
      </c>
      <c r="N24" s="2607"/>
      <c r="O24" s="2608"/>
      <c r="P24" s="2609">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605">
        <f t="shared" si="3"/>
        <v>0</v>
      </c>
      <c r="L25" s="274">
        <f t="shared" si="4"/>
        <v>0</v>
      </c>
      <c r="M25" s="2606">
        <f t="shared" si="8"/>
        <v>0</v>
      </c>
      <c r="N25" s="2607"/>
      <c r="O25" s="2608"/>
      <c r="P25" s="2609">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610">
        <f t="shared" si="3"/>
        <v>0</v>
      </c>
      <c r="L26" s="279">
        <f t="shared" si="4"/>
        <v>0</v>
      </c>
      <c r="M26" s="146">
        <f t="shared" si="8"/>
        <v>0</v>
      </c>
      <c r="N26" s="2611"/>
      <c r="O26" s="2612"/>
      <c r="P26" s="2613">
        <f t="shared" si="9"/>
        <v>0</v>
      </c>
      <c r="R26" s="274">
        <f t="shared" si="5"/>
        <v>0</v>
      </c>
      <c r="S26" s="2298">
        <f t="shared" si="5"/>
        <v>0</v>
      </c>
    </row>
    <row r="27" spans="1:19" ht="15.75" thickBot="1">
      <c r="A27" s="138"/>
      <c r="B27" s="111"/>
      <c r="C27" s="127" t="s">
        <v>215</v>
      </c>
      <c r="D27" s="134">
        <f>SUM(D19:D26)</f>
        <v>63326.22</v>
      </c>
      <c r="E27" s="143">
        <f>IF(SUM(E19:E26)='数据-基础表'!BA5,SUM(E19:E26),IF(F27="地上面积有误","面积有误","地下面积有误"))</f>
        <v>157165</v>
      </c>
      <c r="F27" s="134">
        <f>IF(SUM(F19:F26)=E8,SUM(F19:F26),"地上面积有误")</f>
        <v>129061</v>
      </c>
      <c r="G27" s="112">
        <f>SUM(G19:G26)</f>
        <v>28104</v>
      </c>
      <c r="H27" s="973">
        <f>SUM(H19:H26)</f>
        <v>9519.98</v>
      </c>
      <c r="I27" s="974">
        <f>SUM(I19:I26)</f>
        <v>23627</v>
      </c>
      <c r="J27" s="1981"/>
      <c r="K27" s="2614">
        <f>SUM(K19:K26)</f>
        <v>21565</v>
      </c>
      <c r="L27" s="2615">
        <f>SUM(L19:L26)</f>
        <v>2062</v>
      </c>
      <c r="M27" s="2616">
        <f>SUM(M19:M26)</f>
        <v>23627</v>
      </c>
      <c r="N27" s="2614">
        <f t="shared" ref="N27:O27" si="10">SUM(N19:N26)</f>
        <v>0</v>
      </c>
      <c r="O27" s="2615">
        <f t="shared" si="10"/>
        <v>0</v>
      </c>
      <c r="P27" s="2617">
        <f>SUM(P19:P26)</f>
        <v>0</v>
      </c>
      <c r="R27" s="2302">
        <f>IF(SUM(R19:R26)=$D$3,SUM(R19:R26),SUM(R19:R26)&amp;"误差"&amp;ROUND(SUM(R19:R26)-$D$3,2))</f>
        <v>72846.2</v>
      </c>
      <c r="S27" s="274">
        <f>IF(SUM(S19:S26)=$E$3,SUM(S19:S26),SUM(S19:S26)&amp;"误差"&amp;ROUND(SUM(S19:S26)-E3,2))</f>
        <v>180792</v>
      </c>
    </row>
    <row r="28" spans="1:19">
      <c r="A28" s="138"/>
      <c r="B28" s="115" t="s">
        <v>227</v>
      </c>
      <c r="C28" s="136" t="s">
        <v>228</v>
      </c>
      <c r="D28" s="111">
        <f>ROUND($D$3*E28/$E$3,2)</f>
        <v>8689.15</v>
      </c>
      <c r="E28" s="134">
        <f>SUM(F28:G28)</f>
        <v>21565</v>
      </c>
      <c r="F28" s="144">
        <f>'数据-基础表'!BQ5+'数据-基础表'!BS5</f>
        <v>0</v>
      </c>
      <c r="G28" s="145">
        <f>'数据-基础表'!BR5+'数据-基础表'!BT5</f>
        <v>21565</v>
      </c>
      <c r="H28" s="1981"/>
      <c r="I28" s="1981"/>
      <c r="J28" s="1981"/>
      <c r="K28" s="1981"/>
      <c r="L28" s="1981"/>
    </row>
    <row r="29" spans="1:19">
      <c r="A29" s="138"/>
      <c r="B29" s="115" t="s">
        <v>227</v>
      </c>
      <c r="C29" s="2310" t="s">
        <v>2320</v>
      </c>
      <c r="D29" s="111">
        <f>ROUND($D$3*E29/$E$3,2)</f>
        <v>830.84</v>
      </c>
      <c r="E29" s="134">
        <f>SUM(F29:G29)</f>
        <v>2062</v>
      </c>
      <c r="F29" s="144">
        <f>'数据-基础表'!BM5+'数据-基础表'!BO5</f>
        <v>2062</v>
      </c>
      <c r="G29" s="146">
        <f>'数据-基础表'!BN5+'数据-基础表'!BP5</f>
        <v>0</v>
      </c>
      <c r="H29" s="1981"/>
      <c r="I29" s="1981"/>
      <c r="J29" s="1981"/>
      <c r="K29" s="1981"/>
      <c r="L29" s="1981"/>
    </row>
    <row r="30" spans="1:19">
      <c r="A30" s="138"/>
      <c r="B30" s="111"/>
      <c r="C30" s="147" t="s">
        <v>215</v>
      </c>
      <c r="D30" s="134">
        <f>SUM(D28:D29)</f>
        <v>9519.99</v>
      </c>
      <c r="E30" s="134">
        <f>SUM(E28:E29)</f>
        <v>23627</v>
      </c>
      <c r="F30" s="134">
        <f>SUM(F28:F29)</f>
        <v>2062</v>
      </c>
      <c r="G30" s="112">
        <f>SUM(G28:G29)</f>
        <v>21565</v>
      </c>
      <c r="H30" s="1981"/>
      <c r="I30" s="1981"/>
      <c r="J30" s="1981"/>
      <c r="K30" s="1981"/>
      <c r="L30" s="1981"/>
    </row>
    <row r="31" spans="1:19" ht="32.25" customHeight="1" thickBot="1">
      <c r="A31" s="1367"/>
      <c r="B31" s="1368" t="s">
        <v>229</v>
      </c>
      <c r="C31" s="2327" t="s">
        <v>2322</v>
      </c>
      <c r="D31" s="1369">
        <f>D27+D30</f>
        <v>72846.210000000006</v>
      </c>
      <c r="E31" s="1369">
        <f>E27+E30</f>
        <v>180792</v>
      </c>
      <c r="F31" s="1370">
        <f>F27+F30</f>
        <v>131123</v>
      </c>
      <c r="G31" s="1371">
        <f>G27+G30</f>
        <v>49669</v>
      </c>
      <c r="H31" s="1981"/>
      <c r="I31" s="1981"/>
      <c r="J31" s="1981"/>
      <c r="K31" s="1981"/>
      <c r="L31" s="1981"/>
    </row>
    <row r="32" spans="1:19">
      <c r="A32" s="1981"/>
      <c r="B32" s="2360" t="s">
        <v>2321</v>
      </c>
      <c r="C32" s="2644"/>
      <c r="D32" s="1199"/>
      <c r="E32" s="1199">
        <f>SUMIF(C19:C26,"*住宅*",E19:E26)</f>
        <v>75194</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E37" sqref="E3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43346</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2827</v>
      </c>
      <c r="O5" s="163" t="s">
        <v>246</v>
      </c>
      <c r="P5" s="165" t="s">
        <v>247</v>
      </c>
      <c r="Q5" s="166" t="s">
        <v>248</v>
      </c>
      <c r="R5" s="167" t="s">
        <v>249</v>
      </c>
      <c r="S5" s="2618" t="s">
        <v>2572</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2323</v>
      </c>
      <c r="AI5" s="171" t="s">
        <v>2292</v>
      </c>
      <c r="AJ5" s="171" t="s">
        <v>258</v>
      </c>
      <c r="AK5" s="159" t="s">
        <v>259</v>
      </c>
      <c r="AL5" s="159" t="s">
        <v>260</v>
      </c>
      <c r="AM5" s="172" t="s">
        <v>261</v>
      </c>
      <c r="AN5" s="2388"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住宅（高层）</v>
      </c>
      <c r="B6" s="2334" t="str">
        <f>IF(A6=0,"","经营性")</f>
        <v>经营性</v>
      </c>
      <c r="C6" s="173" t="s">
        <v>923</v>
      </c>
      <c r="D6" s="2305">
        <f>SUMIF(项目基本情况!D$15:I$15,C6,项目基本情况!D$18:I$18)</f>
        <v>70</v>
      </c>
      <c r="E6" s="2306">
        <f>IF(B6="","",SUMIF(项目基本情况!D$15:I$15,C6,项目基本情况!D$17:I$17))</f>
        <v>68894</v>
      </c>
      <c r="F6" s="174">
        <f>SUMIF(项目基本情况!D$15:I$15,C6,项目基本情况!D$19:I$19)</f>
        <v>69.989999999999995</v>
      </c>
      <c r="G6" s="175">
        <f>IF(ISERROR(ROUND(POWER(1+H6,D6-F6)*(POWER(1+H6,F6)-1)/(POWER(1+H6,D6)-1),3)),0,ROUND(POWER(1+H6,D6-F6)*(POWER(1+H6,F6)-1)/(POWER(1+H6,D6)-1),3))</f>
        <v>1</v>
      </c>
      <c r="H6" s="3023">
        <v>4.4999999999999998E-2</v>
      </c>
      <c r="I6" s="3023">
        <v>5.5E-2</v>
      </c>
      <c r="J6" s="176">
        <v>8.5000000000000006E-2</v>
      </c>
      <c r="K6" s="179">
        <f>SUMIF('数据-汇总表'!C$19:C$33,'数据-取费表'!A6,'数据-汇总表'!E$19:E$33)</f>
        <v>34304</v>
      </c>
      <c r="L6" s="3024">
        <v>2600</v>
      </c>
      <c r="M6" s="177">
        <f t="shared" ref="M6:M14" si="0">ROUND(K6*L6/10000,0)</f>
        <v>8919</v>
      </c>
      <c r="N6" s="3025">
        <v>0</v>
      </c>
      <c r="O6" s="177">
        <f>IF($N$5="成新度","——",ROUND(M6*N6,0))</f>
        <v>0</v>
      </c>
      <c r="P6" s="178">
        <f>IF($N$5="成新度","——",M6-O6)</f>
        <v>8919</v>
      </c>
      <c r="Q6" s="3026">
        <v>0.1</v>
      </c>
      <c r="R6" s="179">
        <f>SUMIF('数据-汇总表'!C$19:C$33,A6,'数据-汇总表'!R$19:R$33)</f>
        <v>16097.64</v>
      </c>
      <c r="S6" s="132">
        <f>IF('数据-汇总表'!$I$17="按面积比例",SUMIF('数据-汇总表'!C$19:C$33,A6,'数据-汇总表'!K$19:K$33),SUMIF('数据-汇总表'!C$19:C$33,A6,'数据-汇总表'!N$19:N$33))</f>
        <v>4706.9399999999996</v>
      </c>
      <c r="T6" s="2231">
        <f>IF($T$4="按面积比例",IF(ISERROR(ROUND($M$14*S6/S$16,0)),"0",ROUND($M$14*S6/S$16,0)),"需自行计算录入")</f>
        <v>1412</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37"/>
      <c r="AN6" s="2389"/>
      <c r="AO6" s="1997"/>
      <c r="AP6" s="1202">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住宅（联排）</v>
      </c>
      <c r="B7" s="2334" t="str">
        <f t="shared" ref="B7:B13" si="1">IF(A7=0,"","经营性")</f>
        <v>经营性</v>
      </c>
      <c r="C7" s="173" t="s">
        <v>923</v>
      </c>
      <c r="D7" s="2305">
        <f>SUMIF(项目基本情况!D$15:I$15,C7,项目基本情况!D$18:I$18)</f>
        <v>70</v>
      </c>
      <c r="E7" s="2306">
        <f>IF(B7="","",SUMIF(项目基本情况!D$15:I$15,C7,项目基本情况!D$17:I$17))</f>
        <v>68894</v>
      </c>
      <c r="F7" s="174">
        <f>SUMIF(项目基本情况!D$15:I$15,C7,项目基本情况!D$19:I$19)</f>
        <v>69.989999999999995</v>
      </c>
      <c r="G7" s="175">
        <f t="shared" ref="G7:G11" si="2">IF(ISERROR(ROUND(POWER(1+H7,D7-F7)*(POWER(1+H7,F7)-1)/(POWER(1+H7,D7)-1),3)),0,ROUND(POWER(1+H7,D7-F7)*(POWER(1+H7,F7)-1)/(POWER(1+H7,D7)-1),3))</f>
        <v>1</v>
      </c>
      <c r="H7" s="3023">
        <v>4.4999999999999998E-2</v>
      </c>
      <c r="I7" s="3023">
        <v>5.5E-2</v>
      </c>
      <c r="J7" s="176">
        <v>8.5000000000000006E-2</v>
      </c>
      <c r="K7" s="179">
        <f>SUMIF('数据-汇总表'!C$19:C$33,'数据-取费表'!A7,'数据-汇总表'!E$19:E$33)</f>
        <v>40890</v>
      </c>
      <c r="L7" s="3024">
        <v>2600</v>
      </c>
      <c r="M7" s="177">
        <f t="shared" si="0"/>
        <v>10631</v>
      </c>
      <c r="N7" s="3025">
        <v>0</v>
      </c>
      <c r="O7" s="177">
        <f t="shared" ref="O7:O14" si="3">IF($N$5="成新度","——",ROUND(M7*N7,0))</f>
        <v>0</v>
      </c>
      <c r="P7" s="178">
        <f t="shared" ref="P7:P14" si="4">IF($N$5="成新度","——",M7-O7)</f>
        <v>10631</v>
      </c>
      <c r="Q7" s="3026">
        <v>0.2</v>
      </c>
      <c r="R7" s="179">
        <f>SUMIF('数据-汇总表'!C$19:C$33,A7,'数据-汇总表'!R$19:R$33)</f>
        <v>19188.22</v>
      </c>
      <c r="S7" s="132">
        <f>IF('数据-汇总表'!$I$17="按面积比例",SUMIF('数据-汇总表'!C$19:C$33,A7,'数据-汇总表'!K$19:K$33),SUMIF('数据-汇总表'!C$19:C$33,A7,'数据-汇总表'!N$19:N$33))</f>
        <v>5610.62</v>
      </c>
      <c r="T7" s="2231">
        <f t="shared" ref="T7:T13" si="5">IF($T$4="按面积比例",IF(ISERROR(ROUND($M$14*S7/S$16,0)),"0",ROUND($M$14*S7/S$16,0)),"需自行计算录入")</f>
        <v>1683</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387"/>
      <c r="AN7" s="2389"/>
      <c r="AO7" s="1997"/>
      <c r="AP7" s="1202">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2994</v>
      </c>
      <c r="D8" s="2305">
        <f>SUMIF(项目基本情况!D$15:I$15,C8,项目基本情况!D$18:I$18)</f>
        <v>40</v>
      </c>
      <c r="E8" s="2306">
        <f>IF(B8="","",SUMIF(项目基本情况!D$15:I$15,C8,项目基本情况!D$17:I$17))</f>
        <v>57936</v>
      </c>
      <c r="F8" s="174">
        <f>SUMIF(项目基本情况!D$15:I$15,C8,项目基本情况!D$19:I$19)</f>
        <v>39.97</v>
      </c>
      <c r="G8" s="175">
        <f t="shared" si="2"/>
        <v>1</v>
      </c>
      <c r="H8" s="3023">
        <v>0.05</v>
      </c>
      <c r="I8" s="3023">
        <v>5.5E-2</v>
      </c>
      <c r="J8" s="176">
        <v>8.5000000000000006E-2</v>
      </c>
      <c r="K8" s="179">
        <f>SUMIF('数据-汇总表'!C$19:C$33,'数据-取费表'!A8,'数据-汇总表'!E$19:E$33)</f>
        <v>3738</v>
      </c>
      <c r="L8" s="3024">
        <v>2400</v>
      </c>
      <c r="M8" s="177">
        <f>ROUND(K8*L8/10000,0)</f>
        <v>897</v>
      </c>
      <c r="N8" s="3025">
        <v>0</v>
      </c>
      <c r="O8" s="177">
        <f t="shared" si="3"/>
        <v>0</v>
      </c>
      <c r="P8" s="178">
        <f t="shared" si="4"/>
        <v>897</v>
      </c>
      <c r="Q8" s="3026">
        <v>0.2</v>
      </c>
      <c r="R8" s="179">
        <f>SUMIF('数据-汇总表'!C$19:C$33,A8,'数据-汇总表'!R$19:R$33)</f>
        <v>1712.8100000000002</v>
      </c>
      <c r="S8" s="132">
        <f>IF('数据-汇总表'!$I$17="按面积比例",SUMIF('数据-汇总表'!C$19:C$33,A8,'数据-汇总表'!K$19:K$33),SUMIF('数据-汇总表'!C$19:C$33,A8,'数据-汇总表'!N$19:N$33))</f>
        <v>512.9</v>
      </c>
      <c r="T8" s="2231">
        <f t="shared" si="5"/>
        <v>154</v>
      </c>
      <c r="U8" s="180">
        <v>2.5</v>
      </c>
      <c r="V8" s="181">
        <v>0.03</v>
      </c>
      <c r="W8" s="181">
        <v>0.1</v>
      </c>
      <c r="X8" s="2318"/>
      <c r="Y8" s="182">
        <v>1</v>
      </c>
      <c r="Z8" s="183"/>
      <c r="AA8" s="176"/>
      <c r="AB8" s="176"/>
      <c r="AC8" s="2321"/>
      <c r="AD8" s="184"/>
      <c r="AE8" s="970">
        <f t="shared" ca="1" si="6"/>
        <v>38.47</v>
      </c>
      <c r="AF8" s="141"/>
      <c r="AG8" s="1211">
        <f t="shared" si="7"/>
        <v>0</v>
      </c>
      <c r="AH8" s="141"/>
      <c r="AI8" s="187">
        <v>365</v>
      </c>
      <c r="AJ8" s="188"/>
      <c r="AK8" s="189">
        <v>1.4999999999999999E-2</v>
      </c>
      <c r="AL8" s="190">
        <v>1.5E-3</v>
      </c>
      <c r="AM8" s="2387">
        <v>0.01</v>
      </c>
      <c r="AN8" s="2389" t="s">
        <v>3191</v>
      </c>
      <c r="AO8" s="1997"/>
      <c r="AP8" s="1202">
        <f t="shared" si="8"/>
        <v>0.85799999999999998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车位</v>
      </c>
      <c r="B9" s="2334" t="str">
        <f t="shared" si="1"/>
        <v>经营性</v>
      </c>
      <c r="C9" s="173" t="s">
        <v>2995</v>
      </c>
      <c r="D9" s="2305">
        <f>SUMIF(项目基本情况!D$15:I$15,C9,项目基本情况!D$18:I$18)</f>
        <v>50</v>
      </c>
      <c r="E9" s="2306">
        <f>IF(B9="","",SUMIF(项目基本情况!D$15:I$15,C9,项目基本情况!D$17:I$17))</f>
        <v>61589</v>
      </c>
      <c r="F9" s="174">
        <f>SUMIF(项目基本情况!D$15:I$15,C9,项目基本情况!D$19:I$19)</f>
        <v>49.98</v>
      </c>
      <c r="G9" s="175">
        <f t="shared" si="2"/>
        <v>1</v>
      </c>
      <c r="H9" s="3023">
        <v>4.4999999999999998E-2</v>
      </c>
      <c r="I9" s="3023">
        <v>5.5E-2</v>
      </c>
      <c r="J9" s="176">
        <v>8.5000000000000006E-2</v>
      </c>
      <c r="K9" s="179">
        <f>SUMIF('数据-汇总表'!C$19:C$33,'数据-取费表'!A9,'数据-汇总表'!E$19:E$33)</f>
        <v>28104</v>
      </c>
      <c r="L9" s="193">
        <v>3000</v>
      </c>
      <c r="M9" s="177">
        <f t="shared" si="0"/>
        <v>8431</v>
      </c>
      <c r="N9" s="3025">
        <v>0</v>
      </c>
      <c r="O9" s="177">
        <f t="shared" si="3"/>
        <v>0</v>
      </c>
      <c r="P9" s="178">
        <f t="shared" si="4"/>
        <v>8431</v>
      </c>
      <c r="Q9" s="192">
        <v>0.03</v>
      </c>
      <c r="R9" s="179">
        <f>SUMIF('数据-汇总表'!C$19:C$33,A9,'数据-汇总表'!R$19:R$33)</f>
        <v>12877.67</v>
      </c>
      <c r="S9" s="132">
        <f>IF('数据-汇总表'!$I$17="按面积比例",SUMIF('数据-汇总表'!C$19:C$33,A9,'数据-汇总表'!K$19:K$33),SUMIF('数据-汇总表'!C$19:C$33,A9,'数据-汇总表'!N$19:N$33))</f>
        <v>3856.22</v>
      </c>
      <c r="T9" s="2231">
        <f t="shared" si="5"/>
        <v>1157</v>
      </c>
      <c r="U9" s="180">
        <v>0.8</v>
      </c>
      <c r="V9" s="181">
        <v>0.03</v>
      </c>
      <c r="W9" s="181">
        <v>0.1</v>
      </c>
      <c r="X9" s="2318"/>
      <c r="Y9" s="182">
        <v>1</v>
      </c>
      <c r="Z9" s="183"/>
      <c r="AA9" s="176"/>
      <c r="AB9" s="176"/>
      <c r="AC9" s="2321"/>
      <c r="AD9" s="184"/>
      <c r="AE9" s="970">
        <f t="shared" ca="1" si="6"/>
        <v>48.48</v>
      </c>
      <c r="AF9" s="141"/>
      <c r="AG9" s="1211">
        <f t="shared" si="7"/>
        <v>0</v>
      </c>
      <c r="AH9" s="141"/>
      <c r="AI9" s="187">
        <v>365</v>
      </c>
      <c r="AJ9" s="188"/>
      <c r="AK9" s="189">
        <v>1.4999999999999999E-2</v>
      </c>
      <c r="AL9" s="190">
        <v>1.5E-3</v>
      </c>
      <c r="AM9" s="2387">
        <v>0.01</v>
      </c>
      <c r="AN9" s="2389" t="s">
        <v>3190</v>
      </c>
      <c r="AO9" s="1997"/>
      <c r="AP9" s="1202">
        <f t="shared" si="8"/>
        <v>0.88900000000000001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人才公寓</v>
      </c>
      <c r="B10" s="2334" t="str">
        <f t="shared" si="1"/>
        <v>经营性</v>
      </c>
      <c r="C10" s="173" t="s">
        <v>923</v>
      </c>
      <c r="D10" s="2305">
        <f>SUMIF(项目基本情况!D$15:I$15,C10,项目基本情况!D$18:I$18)</f>
        <v>70</v>
      </c>
      <c r="E10" s="2306">
        <f>IF(B10="","",SUMIF(项目基本情况!D$15:I$15,C10,项目基本情况!D$17:I$17))</f>
        <v>68894</v>
      </c>
      <c r="F10" s="174">
        <f>SUMIF(项目基本情况!D$15:I$15,C10,项目基本情况!D$19:I$19)</f>
        <v>69.989999999999995</v>
      </c>
      <c r="G10" s="175">
        <f t="shared" si="2"/>
        <v>1</v>
      </c>
      <c r="H10" s="3023">
        <v>4.4999999999999998E-2</v>
      </c>
      <c r="I10" s="3023">
        <v>5.5E-2</v>
      </c>
      <c r="J10" s="176">
        <v>8.5000000000000006E-2</v>
      </c>
      <c r="K10" s="179">
        <f>SUMIF('数据-汇总表'!C$19:C$33,'数据-取费表'!A10,'数据-汇总表'!E$19:E$33)</f>
        <v>50129</v>
      </c>
      <c r="L10" s="193">
        <v>2400</v>
      </c>
      <c r="M10" s="177">
        <f t="shared" si="0"/>
        <v>12031</v>
      </c>
      <c r="N10" s="3025">
        <v>0</v>
      </c>
      <c r="O10" s="177">
        <f t="shared" si="3"/>
        <v>0</v>
      </c>
      <c r="P10" s="178">
        <f t="shared" si="4"/>
        <v>12031</v>
      </c>
      <c r="Q10" s="192">
        <v>9.9999999999999995E-21</v>
      </c>
      <c r="R10" s="179">
        <f>SUMIF('数据-汇总表'!C$19:C$33,A10,'数据-汇总表'!R$19:R$33)</f>
        <v>22969.86</v>
      </c>
      <c r="S10" s="132">
        <f>IF('数据-汇总表'!$I$17="按面积比例",SUMIF('数据-汇总表'!C$19:C$33,A10,'数据-汇总表'!K$19:K$33),SUMIF('数据-汇总表'!C$19:C$33,A10,'数据-汇总表'!N$19:N$33))</f>
        <v>6878.32</v>
      </c>
      <c r="T10" s="2231">
        <f t="shared" si="5"/>
        <v>2064</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87"/>
      <c r="AN10" s="2389"/>
      <c r="AO10" s="1997"/>
      <c r="AP10" s="1202">
        <f t="shared" si="8"/>
        <v>0.95399999999999996</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025">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0">
        <f t="shared" ca="1" si="6"/>
        <v>0</v>
      </c>
      <c r="AF11" s="141"/>
      <c r="AG11" s="1211">
        <f t="shared" si="7"/>
        <v>0</v>
      </c>
      <c r="AH11" s="141"/>
      <c r="AI11" s="187"/>
      <c r="AJ11" s="188"/>
      <c r="AK11" s="195"/>
      <c r="AL11" s="196"/>
      <c r="AM11" s="1814"/>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025">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0">
        <f t="shared" ca="1" si="6"/>
        <v>0</v>
      </c>
      <c r="AF12" s="141"/>
      <c r="AG12" s="1211">
        <f t="shared" si="7"/>
        <v>0</v>
      </c>
      <c r="AH12" s="141"/>
      <c r="AI12" s="187"/>
      <c r="AJ12" s="188"/>
      <c r="AK12" s="195"/>
      <c r="AL12" s="196"/>
      <c r="AM12" s="1814"/>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025">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2314</v>
      </c>
      <c r="B14" s="2303" t="s">
        <v>1680</v>
      </c>
      <c r="C14" s="2304" t="s">
        <v>2314</v>
      </c>
      <c r="D14" s="2305"/>
      <c r="E14" s="2306"/>
      <c r="F14" s="174"/>
      <c r="G14" s="175"/>
      <c r="H14" s="2307"/>
      <c r="I14" s="2307"/>
      <c r="J14" s="2307"/>
      <c r="K14" s="179">
        <f>SUMIF('数据-汇总表'!C$19:C$33,'数据-取费表'!A14,'数据-汇总表'!E$19:E$33)</f>
        <v>21565</v>
      </c>
      <c r="L14" s="193">
        <v>3000</v>
      </c>
      <c r="M14" s="177">
        <f t="shared" si="0"/>
        <v>6470</v>
      </c>
      <c r="N14" s="3025">
        <v>0</v>
      </c>
      <c r="O14" s="177">
        <f t="shared" si="3"/>
        <v>0</v>
      </c>
      <c r="P14" s="178">
        <f t="shared" si="4"/>
        <v>6470</v>
      </c>
      <c r="Q14" s="2315"/>
      <c r="R14" s="179"/>
      <c r="S14" s="132"/>
      <c r="T14" s="2314"/>
      <c r="U14" s="972"/>
      <c r="V14" s="2317"/>
      <c r="W14" s="2317"/>
      <c r="X14" s="2318"/>
      <c r="Y14" s="2319"/>
      <c r="Z14" s="136"/>
      <c r="AA14" s="2320"/>
      <c r="AB14" s="2320"/>
      <c r="AC14" s="2321"/>
      <c r="AD14" s="2318"/>
      <c r="AE14" s="970"/>
      <c r="AF14" s="2293"/>
      <c r="AG14" s="1211"/>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2316</v>
      </c>
      <c r="B15" s="2303" t="s">
        <v>1680</v>
      </c>
      <c r="C15" s="2304" t="s">
        <v>2315</v>
      </c>
      <c r="D15" s="2305"/>
      <c r="E15" s="2306"/>
      <c r="F15" s="174"/>
      <c r="G15" s="175"/>
      <c r="H15" s="2307"/>
      <c r="I15" s="2307"/>
      <c r="J15" s="2307"/>
      <c r="K15" s="179">
        <f>SUMIF('数据-汇总表'!C$19:C$33,'数据-取费表'!A15,'数据-汇总表'!E$19:E$33)</f>
        <v>2062</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7" t="s">
        <v>262</v>
      </c>
      <c r="B16" s="198"/>
      <c r="C16" s="199"/>
      <c r="D16" s="200"/>
      <c r="E16" s="198"/>
      <c r="F16" s="198"/>
      <c r="G16" s="201">
        <f>ROUND(SUMPRODUCT(G6:G13,K6:K13)/SUMPRODUCT((G6:G13&gt;0)*(K6:K13)),3)</f>
        <v>1</v>
      </c>
      <c r="H16" s="202">
        <f>ROUND(SUMPRODUCT(H6:H13,K6:K13)/SUMPRODUCT((H6:H13&gt;0)*(K6:K13)),3)</f>
        <v>4.4999999999999998E-2</v>
      </c>
      <c r="I16" s="203"/>
      <c r="J16" s="203"/>
      <c r="K16" s="204">
        <f>SUM(K6:K15)</f>
        <v>180792</v>
      </c>
      <c r="L16" s="205">
        <f>ROUND(M16*10000/SUM(K6:K14),0)</f>
        <v>2651</v>
      </c>
      <c r="M16" s="205">
        <f>SUM(M6:M14)</f>
        <v>47379</v>
      </c>
      <c r="N16" s="206">
        <f>ROUND(SUMPRODUCT(M6:M14,N6:N14)/M16,3)</f>
        <v>0</v>
      </c>
      <c r="O16" s="205">
        <f>SUM(O6:O14)</f>
        <v>0</v>
      </c>
      <c r="P16" s="205">
        <f>SUM(P6:P14)</f>
        <v>47379</v>
      </c>
      <c r="Q16" s="207">
        <f>ROUND(SUMPRODUCT(Q6:Q13,K6:K13)/SUMPRODUCT((Q6:Q13&gt;0)*(K6:K13)),2)</f>
        <v>0.08</v>
      </c>
      <c r="R16" s="2308">
        <f>SUM(R6:R13)</f>
        <v>72846.2</v>
      </c>
      <c r="S16" s="208">
        <f>SUM(S6:S13)</f>
        <v>21565</v>
      </c>
      <c r="T16" s="209">
        <f>IF(SUMIF(T6:T13,"&lt;9E307")=M14,SUMIF(T6:T13,"&lt;9E307"),"有误，请检查")</f>
        <v>6470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2">
        <f>ROUND(SUMPRODUCT(AP6:AP13,K6:K13)/SUMPRODUCT((AP6:AP13&gt;0)*(K6:K13)),3)</f>
        <v>0.94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3342" t="s">
        <v>3178</v>
      </c>
      <c r="L18" s="3575" t="s">
        <v>3179</v>
      </c>
      <c r="M18" s="3575"/>
      <c r="N18" s="3575"/>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2336</v>
      </c>
      <c r="D19" s="1990"/>
      <c r="E19" s="1989"/>
      <c r="F19" s="1989"/>
      <c r="G19" s="1989"/>
      <c r="H19" s="1989"/>
      <c r="I19" s="1989"/>
      <c r="J19" s="1989"/>
      <c r="K19" s="3343"/>
      <c r="L19" s="3344" t="s">
        <v>3180</v>
      </c>
      <c r="M19" s="3344" t="s">
        <v>3181</v>
      </c>
      <c r="N19" s="3344" t="s">
        <v>3182</v>
      </c>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1.5</v>
      </c>
      <c r="C20" s="2361" t="s">
        <v>2335</v>
      </c>
      <c r="D20" s="1990"/>
      <c r="E20" s="1989"/>
      <c r="F20" s="1989"/>
      <c r="G20" s="1989"/>
      <c r="H20" s="1989"/>
      <c r="I20" s="1989"/>
      <c r="J20" s="1989"/>
      <c r="K20" s="3345" t="s">
        <v>3183</v>
      </c>
      <c r="L20" s="3345" t="s">
        <v>3184</v>
      </c>
      <c r="M20" s="3345" t="s">
        <v>3185</v>
      </c>
      <c r="N20" s="3345" t="s">
        <v>3186</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5" t="s">
        <v>2338</v>
      </c>
      <c r="B27" s="226">
        <v>293</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2339</v>
      </c>
      <c r="B28" s="228">
        <v>275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2337</v>
      </c>
      <c r="B29" s="231"/>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180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4">
        <v>20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5" t="s">
        <v>278</v>
      </c>
      <c r="B33" s="1375">
        <v>0.03</v>
      </c>
      <c r="C33" s="2362"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62"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2894</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0.01</v>
      </c>
      <c r="C38" s="2362"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2457</v>
      </c>
      <c r="B40" s="2478">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9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62"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72"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73"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3"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7</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1097</v>
      </c>
      <c r="C53" s="3074" t="s">
        <v>2902</v>
      </c>
      <c r="D53" s="3075"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7" t="s">
        <v>2904</v>
      </c>
      <c r="B54" s="186">
        <v>7</v>
      </c>
      <c r="C54" s="1991">
        <v>30</v>
      </c>
      <c r="D54" s="307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7" t="s">
        <v>2905</v>
      </c>
      <c r="B55" s="186"/>
      <c r="C55" s="1991">
        <v>24</v>
      </c>
      <c r="D55" s="307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7" t="s">
        <v>2906</v>
      </c>
      <c r="B56" s="186"/>
      <c r="C56" s="1991">
        <v>18</v>
      </c>
      <c r="D56" s="307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7" t="s">
        <v>2907</v>
      </c>
      <c r="B57" s="186"/>
      <c r="C57" s="1991">
        <v>12</v>
      </c>
      <c r="D57" s="307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7" t="s">
        <v>2908</v>
      </c>
      <c r="B58" s="186"/>
      <c r="C58" s="1991">
        <v>3</v>
      </c>
      <c r="D58" s="307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7" t="s">
        <v>2909</v>
      </c>
      <c r="B59" s="186"/>
      <c r="C59" s="1991">
        <v>1.5</v>
      </c>
      <c r="D59" s="307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7"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7"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7"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8" t="s">
        <v>2913</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0);"/>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S120"/>
  <sheetViews>
    <sheetView zoomScale="115" zoomScaleNormal="115" workbookViewId="0">
      <pane xSplit="7" ySplit="5" topLeftCell="H28" activePane="bottomRight" state="frozen"/>
      <selection activeCell="K10" sqref="K10"/>
      <selection pane="topRight" activeCell="K10" sqref="K10"/>
      <selection pane="bottomLeft" activeCell="K10" sqref="K10"/>
      <selection pane="bottomRight" activeCell="H81" sqref="H81"/>
    </sheetView>
  </sheetViews>
  <sheetFormatPr defaultRowHeight="15" customHeight="1"/>
  <cols>
    <col min="1" max="1" width="5.25" style="3239" customWidth="1"/>
    <col min="2" max="2" width="20.25" style="3239" customWidth="1"/>
    <col min="3" max="3" width="11" style="3239" customWidth="1"/>
    <col min="4" max="4" width="9.625" style="3239" customWidth="1"/>
    <col min="5" max="5" width="10.625" style="3239" customWidth="1"/>
    <col min="6" max="6" width="9.625" style="3239" customWidth="1"/>
    <col min="7" max="7" width="11.125" style="3239" customWidth="1"/>
    <col min="8" max="10" width="10.75" style="3239" customWidth="1"/>
    <col min="11" max="11" width="10.25" style="3239" customWidth="1"/>
    <col min="12" max="16384" width="9" style="3239"/>
  </cols>
  <sheetData>
    <row r="1" spans="1:19" ht="21.75" customHeight="1">
      <c r="A1" s="3238" t="s">
        <v>3038</v>
      </c>
      <c r="B1" s="3238"/>
      <c r="C1" s="3238"/>
      <c r="D1" s="3238"/>
      <c r="E1" s="3238"/>
      <c r="F1" s="3238"/>
      <c r="G1" s="3238"/>
      <c r="H1" s="3238"/>
      <c r="I1" s="3238"/>
      <c r="J1" s="3238"/>
    </row>
    <row r="2" spans="1:19" ht="15" customHeight="1" thickBot="1">
      <c r="A2" s="3240"/>
      <c r="B2" s="3240"/>
      <c r="C2" s="3240"/>
      <c r="D2" s="3240"/>
      <c r="E2" s="3240"/>
      <c r="F2" s="3240"/>
      <c r="G2" s="3241"/>
      <c r="H2" s="3242" t="s">
        <v>3039</v>
      </c>
      <c r="I2" s="3243">
        <f>[2]经济指标!F30</f>
        <v>0</v>
      </c>
      <c r="J2" s="3243">
        <f>[2]经济指标!G30</f>
        <v>1</v>
      </c>
      <c r="K2" s="3244">
        <f>J4+J50+J103</f>
        <v>148411.4754524162</v>
      </c>
      <c r="L2" s="3239">
        <f>[3]项目总投资!$C$15</f>
        <v>124321.003360052</v>
      </c>
      <c r="M2" s="3244">
        <f>L2-H4</f>
        <v>69381.416760052001</v>
      </c>
    </row>
    <row r="3" spans="1:19" ht="24.75" thickBot="1">
      <c r="A3" s="3245" t="s">
        <v>2375</v>
      </c>
      <c r="B3" s="3246" t="s">
        <v>3040</v>
      </c>
      <c r="C3" s="3246" t="s">
        <v>3041</v>
      </c>
      <c r="D3" s="3246" t="s">
        <v>3042</v>
      </c>
      <c r="E3" s="3246" t="s">
        <v>3043</v>
      </c>
      <c r="F3" s="3246" t="s">
        <v>3044</v>
      </c>
      <c r="G3" s="3246" t="s">
        <v>3045</v>
      </c>
      <c r="H3" s="3247" t="s">
        <v>24</v>
      </c>
      <c r="I3" s="3247" t="s">
        <v>3046</v>
      </c>
      <c r="J3" s="3247" t="s">
        <v>3047</v>
      </c>
    </row>
    <row r="4" spans="1:19" ht="15" customHeight="1">
      <c r="A4" s="3248">
        <v>1</v>
      </c>
      <c r="B4" s="3249" t="s">
        <v>3048</v>
      </c>
      <c r="C4" s="3250"/>
      <c r="D4" s="3251"/>
      <c r="E4" s="3251"/>
      <c r="F4" s="3251"/>
      <c r="G4" s="3250"/>
      <c r="H4" s="3252">
        <f>H5+H22+H29+H46</f>
        <v>54939.586600000002</v>
      </c>
      <c r="I4" s="3252">
        <f>I5+I22+I29+I46</f>
        <v>0</v>
      </c>
      <c r="J4" s="3252">
        <f>J5+J22+J29+J46</f>
        <v>54939.586600000002</v>
      </c>
      <c r="L4" s="3253"/>
      <c r="M4" s="3253"/>
      <c r="N4" s="3253"/>
      <c r="O4" s="3253"/>
      <c r="P4" s="3253"/>
      <c r="Q4" s="3253"/>
      <c r="R4" s="3253"/>
      <c r="S4" s="3253"/>
    </row>
    <row r="5" spans="1:19" ht="15" customHeight="1">
      <c r="A5" s="3254">
        <v>1.1000000000000001</v>
      </c>
      <c r="B5" s="3255" t="s">
        <v>3049</v>
      </c>
      <c r="C5" s="3256"/>
      <c r="D5" s="3257"/>
      <c r="E5" s="3257">
        <f>E6</f>
        <v>48449.508000000002</v>
      </c>
      <c r="F5" s="3257"/>
      <c r="G5" s="3257"/>
      <c r="H5" s="3258">
        <f>SUM(E5:G5)</f>
        <v>48449.508000000002</v>
      </c>
      <c r="I5" s="3258">
        <f>SUM(I6:I21)</f>
        <v>0</v>
      </c>
      <c r="J5" s="3258">
        <f>SUM(J6:J21)</f>
        <v>48449.508000000002</v>
      </c>
      <c r="K5" s="3259"/>
      <c r="L5" s="3260"/>
      <c r="M5" s="3260"/>
      <c r="N5" s="3261"/>
      <c r="O5" s="3260"/>
      <c r="P5" s="3260"/>
      <c r="Q5" s="3262"/>
      <c r="R5" s="3262"/>
      <c r="S5" s="3262"/>
    </row>
    <row r="6" spans="1:19" ht="15" customHeight="1">
      <c r="A6" s="3263"/>
      <c r="B6" s="3264" t="s">
        <v>3050</v>
      </c>
      <c r="C6" s="3265"/>
      <c r="D6" s="3266"/>
      <c r="E6" s="3267">
        <f>SUM(E7:E21)</f>
        <v>48449.508000000002</v>
      </c>
      <c r="F6" s="3267"/>
      <c r="G6" s="3268"/>
      <c r="H6" s="3269"/>
      <c r="I6" s="3269"/>
      <c r="J6" s="3269"/>
      <c r="L6" s="3260"/>
      <c r="M6" s="3270"/>
      <c r="N6" s="3261"/>
      <c r="O6" s="3271"/>
      <c r="P6" s="3260"/>
      <c r="Q6" s="3271"/>
      <c r="R6" s="3271"/>
      <c r="S6" s="3271"/>
    </row>
    <row r="7" spans="1:19" ht="15" customHeight="1">
      <c r="A7" s="3263"/>
      <c r="B7" s="3272" t="s">
        <v>3051</v>
      </c>
      <c r="C7" s="3273">
        <f>[2]经济指标!D18*4</f>
        <v>198676</v>
      </c>
      <c r="D7" s="3266">
        <v>30</v>
      </c>
      <c r="E7" s="3266">
        <f>D7*C7/10000</f>
        <v>596.02800000000002</v>
      </c>
      <c r="F7" s="3267"/>
      <c r="G7" s="3268"/>
      <c r="H7" s="3269"/>
      <c r="I7" s="3269"/>
      <c r="J7" s="3269">
        <f>E7</f>
        <v>596.02800000000002</v>
      </c>
      <c r="L7" s="3260"/>
      <c r="M7" s="3270"/>
      <c r="N7" s="3261"/>
      <c r="O7" s="3271"/>
      <c r="P7" s="3260"/>
      <c r="Q7" s="3271"/>
      <c r="R7" s="3271"/>
      <c r="S7" s="3271"/>
    </row>
    <row r="8" spans="1:19" ht="15" customHeight="1">
      <c r="A8" s="3274"/>
      <c r="B8" s="3275" t="str">
        <f>[2]经济指标!C6</f>
        <v>高层</v>
      </c>
      <c r="C8" s="3276">
        <f>[2]经济指标!D6</f>
        <v>34304</v>
      </c>
      <c r="D8" s="3276">
        <v>2600</v>
      </c>
      <c r="E8" s="3266">
        <f t="shared" ref="E8:E19" si="0">C8*D8/10000</f>
        <v>8919.0400000000009</v>
      </c>
      <c r="F8" s="3266"/>
      <c r="G8" s="3268"/>
      <c r="H8" s="3277"/>
      <c r="I8" s="3277"/>
      <c r="J8" s="3269">
        <f t="shared" ref="J8:J19" si="1">E8</f>
        <v>8919.0400000000009</v>
      </c>
      <c r="L8" s="3260"/>
      <c r="M8" s="3270"/>
      <c r="N8" s="3261"/>
      <c r="O8" s="3271"/>
      <c r="P8" s="3260"/>
      <c r="Q8" s="3271"/>
      <c r="R8" s="3271"/>
      <c r="S8" s="3271"/>
    </row>
    <row r="9" spans="1:19" ht="15" customHeight="1">
      <c r="A9" s="3274"/>
      <c r="B9" s="3275" t="str">
        <f>[2]经济指标!C7</f>
        <v>人才公寓</v>
      </c>
      <c r="C9" s="3276">
        <f>[2]经济指标!D7</f>
        <v>50129</v>
      </c>
      <c r="D9" s="3276">
        <v>2400</v>
      </c>
      <c r="E9" s="3266">
        <f t="shared" si="0"/>
        <v>12030.96</v>
      </c>
      <c r="F9" s="3266"/>
      <c r="G9" s="3268"/>
      <c r="H9" s="3277"/>
      <c r="I9" s="3277"/>
      <c r="J9" s="3269">
        <f t="shared" si="1"/>
        <v>12030.96</v>
      </c>
      <c r="L9" s="3260"/>
      <c r="M9" s="3270"/>
      <c r="N9" s="3261"/>
      <c r="O9" s="3271"/>
      <c r="P9" s="3260"/>
      <c r="Q9" s="3271"/>
      <c r="R9" s="3271"/>
      <c r="S9" s="3271"/>
    </row>
    <row r="10" spans="1:19" ht="15" customHeight="1">
      <c r="A10" s="3274"/>
      <c r="B10" s="3275" t="str">
        <f>[2]经济指标!C8</f>
        <v>联排别墅</v>
      </c>
      <c r="C10" s="3276">
        <f>[2]经济指标!D8</f>
        <v>40890</v>
      </c>
      <c r="D10" s="3276">
        <v>2600</v>
      </c>
      <c r="E10" s="3266">
        <f t="shared" si="0"/>
        <v>10631.4</v>
      </c>
      <c r="F10" s="3266"/>
      <c r="G10" s="3268"/>
      <c r="H10" s="3277"/>
      <c r="I10" s="3277"/>
      <c r="J10" s="3269">
        <f t="shared" si="1"/>
        <v>10631.4</v>
      </c>
      <c r="L10" s="3260"/>
      <c r="M10" s="3270"/>
      <c r="N10" s="3261"/>
      <c r="O10" s="3271"/>
      <c r="P10" s="3260"/>
      <c r="Q10" s="3271"/>
      <c r="R10" s="3271"/>
      <c r="S10" s="3271"/>
    </row>
    <row r="11" spans="1:19" ht="15" customHeight="1">
      <c r="A11" s="3274"/>
      <c r="B11" s="3275" t="str">
        <f>[2]经济指标!C9</f>
        <v>商业</v>
      </c>
      <c r="C11" s="3276">
        <f>[2]经济指标!D9</f>
        <v>3738</v>
      </c>
      <c r="D11" s="3276">
        <v>2400</v>
      </c>
      <c r="E11" s="3266">
        <f t="shared" si="0"/>
        <v>897.12</v>
      </c>
      <c r="F11" s="3266"/>
      <c r="G11" s="3268"/>
      <c r="H11" s="3277"/>
      <c r="I11" s="3277"/>
      <c r="J11" s="3269">
        <f t="shared" si="1"/>
        <v>897.12</v>
      </c>
      <c r="L11" s="3260"/>
      <c r="M11" s="3270"/>
      <c r="N11" s="3261"/>
      <c r="O11" s="3271"/>
      <c r="P11" s="3260"/>
      <c r="Q11" s="3271"/>
      <c r="R11" s="3271"/>
      <c r="S11" s="3271"/>
    </row>
    <row r="12" spans="1:19" ht="15" customHeight="1">
      <c r="A12" s="3274"/>
      <c r="B12" s="3275" t="str">
        <f>[2]经济指标!C10</f>
        <v>公建配套</v>
      </c>
      <c r="C12" s="3276">
        <f>[2]经济指标!D10</f>
        <v>2062</v>
      </c>
      <c r="D12" s="3276">
        <v>2300</v>
      </c>
      <c r="E12" s="3266">
        <f t="shared" si="0"/>
        <v>474.26</v>
      </c>
      <c r="F12" s="3266"/>
      <c r="G12" s="3268"/>
      <c r="H12" s="3277"/>
      <c r="I12" s="3277"/>
      <c r="J12" s="3269">
        <f t="shared" si="1"/>
        <v>474.26</v>
      </c>
      <c r="L12" s="3260"/>
      <c r="M12" s="3270"/>
      <c r="N12" s="3261"/>
      <c r="O12" s="3271"/>
      <c r="P12" s="3260"/>
      <c r="Q12" s="3271"/>
      <c r="R12" s="3271"/>
      <c r="S12" s="3271"/>
    </row>
    <row r="13" spans="1:19" ht="15" hidden="1" customHeight="1">
      <c r="A13" s="3274"/>
      <c r="B13" s="3275">
        <f>[2]经济指标!C11</f>
        <v>0</v>
      </c>
      <c r="C13" s="3276">
        <f>[2]经济指标!D11</f>
        <v>0</v>
      </c>
      <c r="D13" s="3276"/>
      <c r="E13" s="3266">
        <f t="shared" si="0"/>
        <v>0</v>
      </c>
      <c r="F13" s="3266"/>
      <c r="G13" s="3268"/>
      <c r="H13" s="3277"/>
      <c r="I13" s="3277"/>
      <c r="J13" s="3269">
        <f t="shared" si="1"/>
        <v>0</v>
      </c>
      <c r="L13" s="3260"/>
      <c r="M13" s="3270"/>
      <c r="N13" s="3261"/>
      <c r="O13" s="3271"/>
      <c r="P13" s="3260"/>
      <c r="Q13" s="3271"/>
      <c r="R13" s="3271"/>
      <c r="S13" s="3271"/>
    </row>
    <row r="14" spans="1:19" ht="16.5" hidden="1" customHeight="1">
      <c r="A14" s="3274"/>
      <c r="B14" s="3275">
        <f>[2]经济指标!C12</f>
        <v>0</v>
      </c>
      <c r="C14" s="3276">
        <f>[2]经济指标!D12</f>
        <v>0</v>
      </c>
      <c r="D14" s="3276"/>
      <c r="E14" s="3266">
        <f t="shared" si="0"/>
        <v>0</v>
      </c>
      <c r="F14" s="3266"/>
      <c r="G14" s="3268"/>
      <c r="H14" s="3277"/>
      <c r="I14" s="3277"/>
      <c r="J14" s="3269">
        <f t="shared" si="1"/>
        <v>0</v>
      </c>
      <c r="L14" s="3253"/>
      <c r="M14" s="3253"/>
      <c r="N14" s="3253"/>
      <c r="O14" s="3253"/>
      <c r="P14" s="3253"/>
      <c r="Q14" s="3253"/>
      <c r="R14" s="3253"/>
      <c r="S14" s="3253"/>
    </row>
    <row r="15" spans="1:19" ht="16.5" hidden="1" customHeight="1">
      <c r="A15" s="3274"/>
      <c r="B15" s="3275">
        <f>[2]经济指标!C13</f>
        <v>0</v>
      </c>
      <c r="C15" s="3276">
        <f>[2]经济指标!D13</f>
        <v>0</v>
      </c>
      <c r="D15" s="3276"/>
      <c r="E15" s="3266">
        <f t="shared" si="0"/>
        <v>0</v>
      </c>
      <c r="F15" s="3266"/>
      <c r="G15" s="3268"/>
      <c r="H15" s="3277"/>
      <c r="I15" s="3277">
        <f t="shared" ref="I15:I16" si="2">E15</f>
        <v>0</v>
      </c>
      <c r="J15" s="3269"/>
      <c r="L15" s="3253"/>
      <c r="M15" s="3253"/>
      <c r="N15" s="3253"/>
      <c r="O15" s="3253"/>
      <c r="P15" s="3253"/>
      <c r="Q15" s="3253"/>
      <c r="R15" s="3253"/>
      <c r="S15" s="3253"/>
    </row>
    <row r="16" spans="1:19" ht="16.5" hidden="1" customHeight="1">
      <c r="A16" s="3274"/>
      <c r="B16" s="3275">
        <f>[2]经济指标!C14</f>
        <v>0</v>
      </c>
      <c r="C16" s="3276">
        <f>[2]经济指标!D14</f>
        <v>0</v>
      </c>
      <c r="D16" s="3276"/>
      <c r="E16" s="3266">
        <f t="shared" si="0"/>
        <v>0</v>
      </c>
      <c r="F16" s="3266"/>
      <c r="G16" s="3268"/>
      <c r="H16" s="3277"/>
      <c r="I16" s="3277">
        <f t="shared" si="2"/>
        <v>0</v>
      </c>
      <c r="J16" s="3269"/>
      <c r="L16" s="3253"/>
      <c r="M16" s="3253"/>
      <c r="N16" s="3253"/>
      <c r="O16" s="3253"/>
      <c r="P16" s="3253"/>
      <c r="Q16" s="3253"/>
      <c r="R16" s="3253"/>
      <c r="S16" s="3253"/>
    </row>
    <row r="17" spans="1:19" ht="16.5" hidden="1" customHeight="1">
      <c r="A17" s="3274"/>
      <c r="B17" s="3275">
        <f>[2]经济指标!C15</f>
        <v>0</v>
      </c>
      <c r="C17" s="3276">
        <f>[2]经济指标!D15</f>
        <v>0</v>
      </c>
      <c r="D17" s="3276"/>
      <c r="E17" s="3266">
        <f t="shared" si="0"/>
        <v>0</v>
      </c>
      <c r="F17" s="3266"/>
      <c r="G17" s="3268"/>
      <c r="H17" s="3277"/>
      <c r="I17" s="3277"/>
      <c r="J17" s="3269">
        <f t="shared" si="1"/>
        <v>0</v>
      </c>
      <c r="L17" s="3253"/>
      <c r="M17" s="3253"/>
      <c r="N17" s="3253"/>
      <c r="O17" s="3253"/>
      <c r="P17" s="3253"/>
      <c r="Q17" s="3253"/>
      <c r="R17" s="3253"/>
      <c r="S17" s="3253"/>
    </row>
    <row r="18" spans="1:19" ht="16.5" hidden="1" customHeight="1">
      <c r="A18" s="3274"/>
      <c r="B18" s="3275">
        <f>[2]经济指标!C16</f>
        <v>0</v>
      </c>
      <c r="C18" s="3276">
        <f>[2]经济指标!D16</f>
        <v>0</v>
      </c>
      <c r="D18" s="3276"/>
      <c r="E18" s="3266">
        <f t="shared" si="0"/>
        <v>0</v>
      </c>
      <c r="F18" s="3266"/>
      <c r="G18" s="3268"/>
      <c r="H18" s="3277"/>
      <c r="I18" s="3277"/>
      <c r="J18" s="3269">
        <f t="shared" si="1"/>
        <v>0</v>
      </c>
      <c r="L18" s="3253"/>
      <c r="M18" s="3253"/>
      <c r="N18" s="3253"/>
      <c r="O18" s="3253"/>
      <c r="P18" s="3253"/>
      <c r="Q18" s="3253"/>
      <c r="R18" s="3253"/>
      <c r="S18" s="3253"/>
    </row>
    <row r="19" spans="1:19" ht="15" customHeight="1">
      <c r="A19" s="3274"/>
      <c r="B19" s="3275" t="s">
        <v>3052</v>
      </c>
      <c r="C19" s="3276">
        <f>[2]经济指标!D18</f>
        <v>49669</v>
      </c>
      <c r="D19" s="3276">
        <v>3000</v>
      </c>
      <c r="E19" s="3266">
        <f t="shared" si="0"/>
        <v>14900.7</v>
      </c>
      <c r="F19" s="3266"/>
      <c r="G19" s="3268"/>
      <c r="H19" s="3277"/>
      <c r="I19" s="3277"/>
      <c r="J19" s="3269">
        <f t="shared" si="1"/>
        <v>14900.7</v>
      </c>
      <c r="L19" s="3253"/>
      <c r="M19" s="3253"/>
      <c r="N19" s="3253"/>
      <c r="O19" s="3253"/>
      <c r="P19" s="3253"/>
      <c r="Q19" s="3253"/>
      <c r="R19" s="3253"/>
      <c r="S19" s="3253"/>
    </row>
    <row r="20" spans="1:19" ht="15" customHeight="1">
      <c r="A20" s="3274"/>
      <c r="B20" s="3275"/>
      <c r="C20" s="3276"/>
      <c r="D20" s="3276"/>
      <c r="E20" s="3266"/>
      <c r="F20" s="3266"/>
      <c r="G20" s="3268"/>
      <c r="H20" s="3277"/>
      <c r="I20" s="3277"/>
      <c r="J20" s="3277"/>
      <c r="L20" s="3253"/>
      <c r="M20" s="3253"/>
      <c r="N20" s="3253"/>
      <c r="O20" s="3253"/>
      <c r="P20" s="3253"/>
      <c r="Q20" s="3253"/>
      <c r="R20" s="3253"/>
      <c r="S20" s="3253"/>
    </row>
    <row r="21" spans="1:19" ht="15" customHeight="1">
      <c r="A21" s="3274"/>
      <c r="B21" s="3275"/>
      <c r="C21" s="3276"/>
      <c r="D21" s="3276"/>
      <c r="E21" s="3266"/>
      <c r="F21" s="3266"/>
      <c r="G21" s="3268"/>
      <c r="H21" s="3277"/>
      <c r="I21" s="3277"/>
      <c r="J21" s="3277"/>
      <c r="L21" s="3253"/>
      <c r="M21" s="3253"/>
      <c r="N21" s="3253"/>
      <c r="O21" s="3253"/>
      <c r="P21" s="3253"/>
      <c r="Q21" s="3253"/>
      <c r="R21" s="3253"/>
      <c r="S21" s="3253"/>
    </row>
    <row r="22" spans="1:19" ht="15" customHeight="1">
      <c r="A22" s="3254">
        <v>1.2</v>
      </c>
      <c r="B22" s="3255" t="s">
        <v>3053</v>
      </c>
      <c r="C22" s="3256"/>
      <c r="D22" s="3257"/>
      <c r="E22" s="3257">
        <f>SUM(E23:E27)</f>
        <v>0</v>
      </c>
      <c r="F22" s="3257"/>
      <c r="G22" s="3257"/>
      <c r="H22" s="3258">
        <f>SUM(E22:G22)</f>
        <v>0</v>
      </c>
      <c r="I22" s="3258"/>
      <c r="J22" s="3258"/>
      <c r="L22" s="3253"/>
      <c r="M22" s="3253"/>
      <c r="N22" s="3253"/>
      <c r="O22" s="3253"/>
      <c r="P22" s="3253"/>
      <c r="Q22" s="3253"/>
      <c r="R22" s="3253"/>
      <c r="S22" s="3253"/>
    </row>
    <row r="23" spans="1:19" ht="15" customHeight="1">
      <c r="A23" s="3263"/>
      <c r="B23" s="3275" t="s">
        <v>3054</v>
      </c>
      <c r="C23" s="3276"/>
      <c r="D23" s="3276"/>
      <c r="E23" s="3266">
        <f>C23*D23/10000</f>
        <v>0</v>
      </c>
      <c r="F23" s="3266"/>
      <c r="G23" s="3268"/>
      <c r="H23" s="3277"/>
      <c r="I23" s="3277"/>
      <c r="J23" s="3277"/>
      <c r="L23" s="3253"/>
      <c r="M23" s="3253"/>
      <c r="N23" s="3253"/>
      <c r="O23" s="3253"/>
      <c r="P23" s="3253"/>
      <c r="Q23" s="3253"/>
      <c r="R23" s="3253"/>
      <c r="S23" s="3253"/>
    </row>
    <row r="24" spans="1:19" ht="15" customHeight="1">
      <c r="A24" s="3263"/>
      <c r="B24" s="3275" t="s">
        <v>3055</v>
      </c>
      <c r="C24" s="3276"/>
      <c r="D24" s="3276"/>
      <c r="E24" s="3266">
        <f>C24*D24/10000</f>
        <v>0</v>
      </c>
      <c r="F24" s="3266"/>
      <c r="G24" s="3268"/>
      <c r="H24" s="3277"/>
      <c r="I24" s="3277"/>
      <c r="J24" s="3277"/>
    </row>
    <row r="25" spans="1:19" ht="15" customHeight="1">
      <c r="A25" s="3263"/>
      <c r="B25" s="3275" t="s">
        <v>3056</v>
      </c>
      <c r="C25" s="3276"/>
      <c r="D25" s="3276"/>
      <c r="E25" s="3266">
        <f>C25*D25/10000</f>
        <v>0</v>
      </c>
      <c r="F25" s="3266"/>
      <c r="G25" s="3268"/>
      <c r="H25" s="3277"/>
      <c r="I25" s="3277"/>
      <c r="J25" s="3277"/>
    </row>
    <row r="26" spans="1:19" ht="15" customHeight="1">
      <c r="A26" s="3263"/>
      <c r="B26" s="3275" t="s">
        <v>3057</v>
      </c>
      <c r="C26" s="3276"/>
      <c r="D26" s="3276"/>
      <c r="E26" s="3266">
        <f>C26*D26/10000</f>
        <v>0</v>
      </c>
      <c r="F26" s="3266"/>
      <c r="G26" s="3268"/>
      <c r="H26" s="3277"/>
      <c r="I26" s="3277"/>
      <c r="J26" s="3277"/>
    </row>
    <row r="27" spans="1:19" ht="15" customHeight="1">
      <c r="A27" s="3263"/>
      <c r="B27" s="3275" t="s">
        <v>3058</v>
      </c>
      <c r="C27" s="3276"/>
      <c r="D27" s="3276"/>
      <c r="E27" s="3266">
        <f>C27*D27/10000</f>
        <v>0</v>
      </c>
      <c r="F27" s="3266"/>
      <c r="G27" s="3268"/>
      <c r="H27" s="3277"/>
      <c r="I27" s="3277"/>
      <c r="J27" s="3277"/>
    </row>
    <row r="28" spans="1:19" ht="15" customHeight="1">
      <c r="A28" s="3263"/>
      <c r="B28" s="3275"/>
      <c r="C28" s="3276"/>
      <c r="D28" s="3276"/>
      <c r="E28" s="3266"/>
      <c r="F28" s="3266"/>
      <c r="G28" s="3268"/>
      <c r="H28" s="3277"/>
      <c r="I28" s="3277"/>
      <c r="J28" s="3277"/>
    </row>
    <row r="29" spans="1:19" ht="15" customHeight="1">
      <c r="A29" s="3254">
        <v>1.3</v>
      </c>
      <c r="B29" s="3255" t="s">
        <v>3059</v>
      </c>
      <c r="C29" s="3256"/>
      <c r="D29" s="3257"/>
      <c r="E29" s="3257"/>
      <c r="F29" s="3257"/>
      <c r="G29" s="3257">
        <f>G30+G38</f>
        <v>3790.0786000000003</v>
      </c>
      <c r="H29" s="3258">
        <f>SUM(E29:G29)</f>
        <v>3790.0786000000003</v>
      </c>
      <c r="I29" s="3258">
        <f>I30+I38</f>
        <v>0</v>
      </c>
      <c r="J29" s="3258">
        <f>J30+J38</f>
        <v>3790.0786000000003</v>
      </c>
      <c r="K29" s="3259"/>
    </row>
    <row r="30" spans="1:19" ht="15" customHeight="1">
      <c r="A30" s="3263" t="s">
        <v>3060</v>
      </c>
      <c r="B30" s="3264" t="s">
        <v>3061</v>
      </c>
      <c r="C30" s="3267"/>
      <c r="D30" s="3267"/>
      <c r="E30" s="3267"/>
      <c r="F30" s="3267"/>
      <c r="G30" s="3278">
        <f>SUM(G31:G37)</f>
        <v>3243.7366000000002</v>
      </c>
      <c r="H30" s="3269"/>
      <c r="I30" s="3269">
        <f>SUM(I31:I37)</f>
        <v>0</v>
      </c>
      <c r="J30" s="3269">
        <f>SUM(J31:J37)</f>
        <v>3243.7366000000002</v>
      </c>
    </row>
    <row r="31" spans="1:19" ht="15" customHeight="1">
      <c r="A31" s="3274"/>
      <c r="B31" s="3275" t="s">
        <v>3062</v>
      </c>
      <c r="C31" s="3276">
        <f>C61</f>
        <v>180792</v>
      </c>
      <c r="D31" s="3276">
        <v>95</v>
      </c>
      <c r="E31" s="3266"/>
      <c r="F31" s="3266"/>
      <c r="G31" s="3268">
        <f t="shared" ref="G31:G37" si="3">C31*D31/10000</f>
        <v>1717.5239999999999</v>
      </c>
      <c r="H31" s="3277"/>
      <c r="I31" s="3277">
        <f>G31*$I$2</f>
        <v>0</v>
      </c>
      <c r="J31" s="3277">
        <f>G31*$J$2</f>
        <v>1717.5239999999999</v>
      </c>
      <c r="K31" s="3239" t="s">
        <v>3063</v>
      </c>
    </row>
    <row r="32" spans="1:19" ht="15" customHeight="1">
      <c r="A32" s="3263"/>
      <c r="B32" s="3275" t="s">
        <v>3064</v>
      </c>
      <c r="C32" s="3266">
        <f>C61</f>
        <v>180792</v>
      </c>
      <c r="D32" s="3276">
        <v>18</v>
      </c>
      <c r="E32" s="3266"/>
      <c r="F32" s="3266"/>
      <c r="G32" s="3268">
        <f t="shared" si="3"/>
        <v>325.42559999999997</v>
      </c>
      <c r="H32" s="3277"/>
      <c r="I32" s="3277">
        <f t="shared" ref="I32:I40" si="4">G32*$I$2</f>
        <v>0</v>
      </c>
      <c r="J32" s="3277">
        <f t="shared" ref="J32:J40" si="5">G32*$J$2</f>
        <v>325.42559999999997</v>
      </c>
      <c r="K32" s="3239" t="s">
        <v>3065</v>
      </c>
    </row>
    <row r="33" spans="1:19" ht="15" customHeight="1">
      <c r="A33" s="3274"/>
      <c r="B33" s="3275" t="s">
        <v>3066</v>
      </c>
      <c r="C33" s="3276">
        <f>[2]经济指标!D29</f>
        <v>1009</v>
      </c>
      <c r="D33" s="3276">
        <v>1150</v>
      </c>
      <c r="E33" s="3266"/>
      <c r="F33" s="3266"/>
      <c r="G33" s="3268">
        <f t="shared" si="3"/>
        <v>116.035</v>
      </c>
      <c r="H33" s="3277"/>
      <c r="I33" s="3277">
        <f t="shared" si="4"/>
        <v>0</v>
      </c>
      <c r="J33" s="3277">
        <f t="shared" si="5"/>
        <v>116.035</v>
      </c>
      <c r="K33" s="3239" t="s">
        <v>3067</v>
      </c>
    </row>
    <row r="34" spans="1:19" ht="15" customHeight="1">
      <c r="A34" s="3274"/>
      <c r="B34" s="3275" t="s">
        <v>3068</v>
      </c>
      <c r="C34" s="3276">
        <f>C61</f>
        <v>180792</v>
      </c>
      <c r="D34" s="3276">
        <v>30</v>
      </c>
      <c r="E34" s="3266"/>
      <c r="F34" s="3266"/>
      <c r="G34" s="3268">
        <f t="shared" si="3"/>
        <v>542.37599999999998</v>
      </c>
      <c r="H34" s="3277"/>
      <c r="I34" s="3277">
        <f t="shared" si="4"/>
        <v>0</v>
      </c>
      <c r="J34" s="3277">
        <f t="shared" si="5"/>
        <v>542.37599999999998</v>
      </c>
    </row>
    <row r="35" spans="1:19" ht="15" customHeight="1">
      <c r="A35" s="3274"/>
      <c r="B35" s="3275" t="s">
        <v>3069</v>
      </c>
      <c r="C35" s="3276">
        <f>C61</f>
        <v>180792</v>
      </c>
      <c r="D35" s="3276">
        <v>15</v>
      </c>
      <c r="E35" s="3266"/>
      <c r="F35" s="3266"/>
      <c r="G35" s="3268">
        <f t="shared" si="3"/>
        <v>271.18799999999999</v>
      </c>
      <c r="H35" s="3277"/>
      <c r="I35" s="3277">
        <f t="shared" si="4"/>
        <v>0</v>
      </c>
      <c r="J35" s="3277">
        <f t="shared" si="5"/>
        <v>271.18799999999999</v>
      </c>
    </row>
    <row r="36" spans="1:19" ht="15" customHeight="1">
      <c r="A36" s="3274"/>
      <c r="B36" s="3279" t="s">
        <v>3070</v>
      </c>
      <c r="C36" s="3276">
        <f>C61</f>
        <v>180792</v>
      </c>
      <c r="D36" s="3276">
        <v>10</v>
      </c>
      <c r="E36" s="3266"/>
      <c r="F36" s="3266"/>
      <c r="G36" s="3268">
        <f t="shared" si="3"/>
        <v>180.792</v>
      </c>
      <c r="H36" s="3277"/>
      <c r="I36" s="3277">
        <f t="shared" si="4"/>
        <v>0</v>
      </c>
      <c r="J36" s="3277">
        <f t="shared" si="5"/>
        <v>180.792</v>
      </c>
    </row>
    <row r="37" spans="1:19" ht="15" customHeight="1">
      <c r="A37" s="3274"/>
      <c r="B37" s="3275" t="s">
        <v>3071</v>
      </c>
      <c r="C37" s="3276">
        <f>C31</f>
        <v>180792</v>
      </c>
      <c r="D37" s="3276">
        <v>5</v>
      </c>
      <c r="E37" s="3266"/>
      <c r="F37" s="3266"/>
      <c r="G37" s="3268">
        <f t="shared" si="3"/>
        <v>90.396000000000001</v>
      </c>
      <c r="H37" s="3277"/>
      <c r="I37" s="3277">
        <f t="shared" si="4"/>
        <v>0</v>
      </c>
      <c r="J37" s="3277">
        <f t="shared" si="5"/>
        <v>90.396000000000001</v>
      </c>
    </row>
    <row r="38" spans="1:19" ht="15" customHeight="1">
      <c r="A38" s="3263" t="s">
        <v>3072</v>
      </c>
      <c r="B38" s="3264" t="s">
        <v>3073</v>
      </c>
      <c r="C38" s="3280"/>
      <c r="D38" s="3281"/>
      <c r="E38" s="3267"/>
      <c r="F38" s="3267"/>
      <c r="G38" s="3278">
        <f>SUM(G39:G45)</f>
        <v>546.34199999999998</v>
      </c>
      <c r="H38" s="3269"/>
      <c r="I38" s="3269">
        <f>SUM(I39:I40)</f>
        <v>0</v>
      </c>
      <c r="J38" s="3269">
        <f>SUM(J39:J40)</f>
        <v>546.34199999999998</v>
      </c>
    </row>
    <row r="39" spans="1:19" ht="15" customHeight="1">
      <c r="A39" s="3274"/>
      <c r="B39" s="3275" t="s">
        <v>3074</v>
      </c>
      <c r="C39" s="3276">
        <f>[2]经济指标!D3*(1-[2]经济指标!D26-[2]经济指标!D27)</f>
        <v>32780.199999999997</v>
      </c>
      <c r="D39" s="3276">
        <v>100</v>
      </c>
      <c r="E39" s="3266"/>
      <c r="F39" s="3266"/>
      <c r="G39" s="3268">
        <f t="shared" ref="G39:G45" si="6">C39*D39/10000</f>
        <v>327.80199999999996</v>
      </c>
      <c r="H39" s="3277"/>
      <c r="I39" s="3277">
        <f t="shared" si="4"/>
        <v>0</v>
      </c>
      <c r="J39" s="3277">
        <f t="shared" si="5"/>
        <v>327.80199999999996</v>
      </c>
    </row>
    <row r="40" spans="1:19" ht="15" customHeight="1">
      <c r="A40" s="3274"/>
      <c r="B40" s="3275" t="s">
        <v>3075</v>
      </c>
      <c r="C40" s="3276">
        <f>[2]经济指标!D27*[2]经济指标!D3</f>
        <v>21854.000000000004</v>
      </c>
      <c r="D40" s="3276">
        <v>100</v>
      </c>
      <c r="E40" s="3266"/>
      <c r="F40" s="3266"/>
      <c r="G40" s="3268">
        <f t="shared" si="6"/>
        <v>218.54000000000005</v>
      </c>
      <c r="H40" s="3277"/>
      <c r="I40" s="3277">
        <f t="shared" si="4"/>
        <v>0</v>
      </c>
      <c r="J40" s="3277">
        <f t="shared" si="5"/>
        <v>218.54000000000005</v>
      </c>
    </row>
    <row r="41" spans="1:19" ht="15" customHeight="1">
      <c r="A41" s="3274"/>
      <c r="B41" s="3275" t="s">
        <v>3076</v>
      </c>
      <c r="C41" s="3276"/>
      <c r="D41" s="3276"/>
      <c r="E41" s="3266"/>
      <c r="F41" s="3266"/>
      <c r="G41" s="3268">
        <f t="shared" si="6"/>
        <v>0</v>
      </c>
      <c r="H41" s="3277"/>
      <c r="I41" s="3277"/>
      <c r="J41" s="3277"/>
    </row>
    <row r="42" spans="1:19" ht="15" customHeight="1">
      <c r="A42" s="3274"/>
      <c r="B42" s="3275" t="s">
        <v>3077</v>
      </c>
      <c r="C42" s="3276"/>
      <c r="D42" s="3276"/>
      <c r="E42" s="3266"/>
      <c r="F42" s="3266"/>
      <c r="G42" s="3268">
        <f t="shared" si="6"/>
        <v>0</v>
      </c>
      <c r="H42" s="3277"/>
      <c r="I42" s="3277"/>
      <c r="J42" s="3277"/>
    </row>
    <row r="43" spans="1:19" ht="15" customHeight="1">
      <c r="A43" s="3274"/>
      <c r="B43" s="3275" t="s">
        <v>3078</v>
      </c>
      <c r="C43" s="3276"/>
      <c r="D43" s="3276"/>
      <c r="E43" s="3266"/>
      <c r="F43" s="3266"/>
      <c r="G43" s="3268">
        <f t="shared" si="6"/>
        <v>0</v>
      </c>
      <c r="H43" s="3277"/>
      <c r="I43" s="3277"/>
      <c r="J43" s="3277"/>
    </row>
    <row r="44" spans="1:19" ht="15" customHeight="1">
      <c r="A44" s="3274"/>
      <c r="B44" s="3275" t="s">
        <v>3079</v>
      </c>
      <c r="C44" s="3276"/>
      <c r="D44" s="3276"/>
      <c r="E44" s="3266"/>
      <c r="F44" s="3266"/>
      <c r="G44" s="3268">
        <f t="shared" si="6"/>
        <v>0</v>
      </c>
      <c r="H44" s="3277"/>
      <c r="I44" s="3277"/>
      <c r="J44" s="3277"/>
    </row>
    <row r="45" spans="1:19" ht="15" customHeight="1">
      <c r="A45" s="3274"/>
      <c r="B45" s="3275" t="s">
        <v>3080</v>
      </c>
      <c r="C45" s="3276"/>
      <c r="D45" s="3276"/>
      <c r="E45" s="3266"/>
      <c r="F45" s="3266"/>
      <c r="G45" s="3268">
        <f t="shared" si="6"/>
        <v>0</v>
      </c>
      <c r="H45" s="3277"/>
      <c r="I45" s="3277"/>
      <c r="J45" s="3277"/>
    </row>
    <row r="46" spans="1:19" ht="15" customHeight="1">
      <c r="A46" s="3254">
        <v>1.4</v>
      </c>
      <c r="B46" s="3255" t="s">
        <v>3081</v>
      </c>
      <c r="C46" s="3256"/>
      <c r="D46" s="3257"/>
      <c r="E46" s="3257"/>
      <c r="F46" s="3282">
        <f>SUM(F47:F49)</f>
        <v>2700</v>
      </c>
      <c r="G46" s="3257"/>
      <c r="H46" s="3283">
        <f>SUM(E46:G46)</f>
        <v>2700</v>
      </c>
      <c r="I46" s="3283"/>
      <c r="J46" s="3258">
        <f>H46</f>
        <v>2700</v>
      </c>
    </row>
    <row r="47" spans="1:19" ht="15" customHeight="1">
      <c r="A47" s="3263"/>
      <c r="B47" s="3279" t="s">
        <v>3082</v>
      </c>
      <c r="C47" s="3284">
        <v>90</v>
      </c>
      <c r="D47" s="3285">
        <v>300000</v>
      </c>
      <c r="E47" s="3266"/>
      <c r="F47" s="3286">
        <f>C47*D47/10000</f>
        <v>2700</v>
      </c>
      <c r="G47" s="3268"/>
      <c r="H47" s="3277"/>
      <c r="I47" s="3277"/>
      <c r="J47" s="3277"/>
    </row>
    <row r="48" spans="1:19" ht="15" customHeight="1">
      <c r="A48" s="3263"/>
      <c r="B48" s="3275"/>
      <c r="C48" s="3266"/>
      <c r="D48" s="3287"/>
      <c r="E48" s="3266"/>
      <c r="F48" s="3266"/>
      <c r="G48" s="3268"/>
      <c r="H48" s="3277"/>
      <c r="I48" s="3277"/>
      <c r="J48" s="3277"/>
      <c r="L48" s="3288"/>
      <c r="M48" s="3288"/>
      <c r="N48" s="3288"/>
      <c r="O48" s="3288"/>
      <c r="P48" s="3288"/>
      <c r="Q48" s="3288"/>
      <c r="R48" s="3288"/>
      <c r="S48" s="3288"/>
    </row>
    <row r="49" spans="1:19" ht="15" customHeight="1">
      <c r="A49" s="3263"/>
      <c r="B49" s="3275"/>
      <c r="C49" s="3266"/>
      <c r="D49" s="3276"/>
      <c r="E49" s="3266"/>
      <c r="F49" s="3266"/>
      <c r="G49" s="3268"/>
      <c r="H49" s="3277"/>
      <c r="I49" s="3277"/>
      <c r="J49" s="3277"/>
    </row>
    <row r="50" spans="1:19" s="3288" customFormat="1" ht="15" customHeight="1">
      <c r="A50" s="3289">
        <v>2</v>
      </c>
      <c r="B50" s="3290" t="s">
        <v>3083</v>
      </c>
      <c r="C50" s="3291"/>
      <c r="D50" s="3292"/>
      <c r="E50" s="3293"/>
      <c r="F50" s="3293"/>
      <c r="G50" s="3294"/>
      <c r="H50" s="3295">
        <f>H51+H59+H78+H86+H92+H93+H98</f>
        <v>84662.610963399973</v>
      </c>
      <c r="I50" s="3295">
        <f>I51+I59+I78+I86+I92+I93</f>
        <v>0</v>
      </c>
      <c r="J50" s="3295">
        <f>J51+J59+J78+J86+J92+J93</f>
        <v>84662.610963399973</v>
      </c>
      <c r="K50" s="3259"/>
      <c r="L50" s="3239"/>
      <c r="M50" s="3239"/>
      <c r="N50" s="3239"/>
      <c r="O50" s="3239"/>
      <c r="P50" s="3239"/>
      <c r="Q50" s="3239"/>
      <c r="R50" s="3239"/>
      <c r="S50" s="3239"/>
    </row>
    <row r="51" spans="1:19" ht="15" customHeight="1">
      <c r="A51" s="3254">
        <v>2.1</v>
      </c>
      <c r="B51" s="3255" t="s">
        <v>3084</v>
      </c>
      <c r="C51" s="3256"/>
      <c r="D51" s="3257">
        <f>D52/15</f>
        <v>386.66755133220971</v>
      </c>
      <c r="E51" s="3257"/>
      <c r="F51" s="3257"/>
      <c r="G51" s="3296">
        <f>G52+G53+G54+G55+G56+G57</f>
        <v>79131.600316999989</v>
      </c>
      <c r="H51" s="3258">
        <f>SUM(E51:G51)</f>
        <v>79131.600316999989</v>
      </c>
      <c r="I51" s="3258">
        <f>H51*I2</f>
        <v>0</v>
      </c>
      <c r="J51" s="3258">
        <f>H51*J2</f>
        <v>79131.600316999989</v>
      </c>
      <c r="K51" s="3239">
        <f>SUM([4]权益后!$J$4:$J$7)/SUM([4]权益后!$F$4:$F$7)*13000</f>
        <v>6080.9595202398796</v>
      </c>
      <c r="L51" s="3244">
        <f>I51-K51</f>
        <v>-6080.9595202398796</v>
      </c>
    </row>
    <row r="52" spans="1:19" ht="15" customHeight="1">
      <c r="A52" s="3274"/>
      <c r="B52" s="3275" t="s">
        <v>3085</v>
      </c>
      <c r="C52" s="3276">
        <f>[2]经济指标!D5</f>
        <v>131123</v>
      </c>
      <c r="D52" s="3297">
        <f>G52/C52*10000</f>
        <v>5800.0132699831456</v>
      </c>
      <c r="E52" s="3266"/>
      <c r="F52" s="3266"/>
      <c r="G52" s="3298">
        <f>760515140/10000</f>
        <v>76051.513999999996</v>
      </c>
      <c r="H52" s="3277"/>
      <c r="I52" s="3277"/>
      <c r="J52" s="3277"/>
    </row>
    <row r="53" spans="1:19" ht="15" customHeight="1">
      <c r="A53" s="3274"/>
      <c r="B53" s="3275" t="s">
        <v>3086</v>
      </c>
      <c r="C53" s="3276"/>
      <c r="D53" s="3299"/>
      <c r="E53" s="3266"/>
      <c r="F53" s="3266"/>
      <c r="G53" s="3298">
        <f>G52*0.0405</f>
        <v>3080.0863169999998</v>
      </c>
      <c r="H53" s="3277"/>
      <c r="I53" s="3277"/>
      <c r="J53" s="3277"/>
    </row>
    <row r="54" spans="1:19" ht="15" customHeight="1">
      <c r="A54" s="3274"/>
      <c r="B54" s="3275" t="s">
        <v>3087</v>
      </c>
      <c r="C54" s="3276"/>
      <c r="D54" s="3300"/>
      <c r="E54" s="3266"/>
      <c r="F54" s="3266"/>
      <c r="G54" s="3298"/>
      <c r="H54" s="3277"/>
      <c r="I54" s="3277"/>
      <c r="J54" s="3277"/>
    </row>
    <row r="55" spans="1:19" ht="15" customHeight="1">
      <c r="A55" s="3274"/>
      <c r="B55" s="3275" t="s">
        <v>3088</v>
      </c>
      <c r="C55" s="3276"/>
      <c r="D55" s="3300"/>
      <c r="E55" s="3266"/>
      <c r="F55" s="3266"/>
      <c r="G55" s="3298"/>
      <c r="H55" s="3277"/>
      <c r="I55" s="3277"/>
      <c r="J55" s="3277"/>
    </row>
    <row r="56" spans="1:19" ht="15" customHeight="1">
      <c r="A56" s="3274"/>
      <c r="B56" s="3275" t="s">
        <v>3089</v>
      </c>
      <c r="C56" s="3276"/>
      <c r="D56" s="3276"/>
      <c r="E56" s="3266"/>
      <c r="F56" s="3266"/>
      <c r="G56" s="3268"/>
      <c r="H56" s="3277"/>
      <c r="I56" s="3277"/>
      <c r="J56" s="3277"/>
    </row>
    <row r="57" spans="1:19" ht="15" customHeight="1">
      <c r="A57" s="3274"/>
      <c r="B57" s="3301" t="s">
        <v>3090</v>
      </c>
      <c r="C57" s="3302"/>
      <c r="D57" s="3302"/>
      <c r="E57" s="3303"/>
      <c r="F57" s="3303"/>
      <c r="G57" s="3268">
        <f>C57*D57/10000</f>
        <v>0</v>
      </c>
      <c r="H57" s="3304"/>
      <c r="I57" s="3304"/>
      <c r="J57" s="3304"/>
    </row>
    <row r="58" spans="1:19" ht="15" customHeight="1">
      <c r="A58" s="3274"/>
      <c r="B58" s="3301"/>
      <c r="C58" s="3302"/>
      <c r="D58" s="3302"/>
      <c r="E58" s="3303"/>
      <c r="F58" s="3303"/>
      <c r="G58" s="3268"/>
      <c r="H58" s="3304"/>
      <c r="I58" s="3304"/>
      <c r="J58" s="3304"/>
    </row>
    <row r="59" spans="1:19" ht="15" customHeight="1">
      <c r="A59" s="3254">
        <v>2.2000000000000002</v>
      </c>
      <c r="B59" s="3255" t="s">
        <v>3091</v>
      </c>
      <c r="C59" s="3256"/>
      <c r="D59" s="3257"/>
      <c r="E59" s="3257"/>
      <c r="F59" s="3257"/>
      <c r="G59" s="3257">
        <f>SUM(G60:G77)</f>
        <v>943.19850899999994</v>
      </c>
      <c r="H59" s="3258">
        <f>SUM(E59:G59)</f>
        <v>943.19850899999994</v>
      </c>
      <c r="I59" s="3258">
        <f>SUM(I60:I72)</f>
        <v>0</v>
      </c>
      <c r="J59" s="3258">
        <f>SUM(J60:J72)</f>
        <v>943.19850899999994</v>
      </c>
    </row>
    <row r="60" spans="1:19" ht="15" customHeight="1">
      <c r="A60" s="3263"/>
      <c r="B60" s="3275" t="s">
        <v>3092</v>
      </c>
      <c r="C60" s="3266">
        <f>[2]经济指标!D3</f>
        <v>72846.2</v>
      </c>
      <c r="D60" s="3276">
        <v>1.8</v>
      </c>
      <c r="E60" s="3266"/>
      <c r="F60" s="3266"/>
      <c r="G60" s="3268">
        <f>C60*D60/10000</f>
        <v>13.112316</v>
      </c>
      <c r="H60" s="3277"/>
      <c r="I60" s="3277">
        <f>G60*$I$2</f>
        <v>0</v>
      </c>
      <c r="J60" s="3277">
        <f>G60*$J$2</f>
        <v>13.112316</v>
      </c>
      <c r="K60" s="3239" t="s">
        <v>3093</v>
      </c>
    </row>
    <row r="61" spans="1:19" ht="15" customHeight="1">
      <c r="A61" s="3263"/>
      <c r="B61" s="3275" t="s">
        <v>3094</v>
      </c>
      <c r="C61" s="3266">
        <f>[2]经济指标!D4</f>
        <v>180792</v>
      </c>
      <c r="D61" s="3276">
        <v>2</v>
      </c>
      <c r="E61" s="3266"/>
      <c r="F61" s="3266"/>
      <c r="G61" s="3268">
        <f>C61*D61/10000</f>
        <v>36.1584</v>
      </c>
      <c r="H61" s="3277"/>
      <c r="I61" s="3277">
        <f>G61*$I$2</f>
        <v>0</v>
      </c>
      <c r="J61" s="3277">
        <f>G61*$J$2</f>
        <v>36.1584</v>
      </c>
      <c r="K61" s="3239" t="s">
        <v>3095</v>
      </c>
    </row>
    <row r="62" spans="1:19" ht="15" customHeight="1">
      <c r="A62" s="3263"/>
      <c r="B62" s="3275" t="s">
        <v>3096</v>
      </c>
      <c r="C62" s="3266"/>
      <c r="D62" s="3276"/>
      <c r="E62" s="3266"/>
      <c r="F62" s="3266"/>
      <c r="G62" s="3305">
        <v>20</v>
      </c>
      <c r="H62" s="3277"/>
      <c r="I62" s="3277">
        <f>G62*$I$2</f>
        <v>0</v>
      </c>
      <c r="J62" s="3277">
        <f>G62*$J$2</f>
        <v>20</v>
      </c>
    </row>
    <row r="63" spans="1:19" ht="15" customHeight="1">
      <c r="A63" s="3263"/>
      <c r="B63" s="3275" t="s">
        <v>3097</v>
      </c>
      <c r="C63" s="3266">
        <f>C60</f>
        <v>72846.2</v>
      </c>
      <c r="D63" s="3306">
        <v>3</v>
      </c>
      <c r="E63" s="3266"/>
      <c r="F63" s="3266"/>
      <c r="G63" s="3268">
        <f>C63*D63/10000</f>
        <v>21.853859999999997</v>
      </c>
      <c r="H63" s="3277"/>
      <c r="I63" s="3277">
        <f>G63*$I$2</f>
        <v>0</v>
      </c>
      <c r="J63" s="3277">
        <f>G63*$J$2</f>
        <v>21.853859999999997</v>
      </c>
    </row>
    <row r="64" spans="1:19" ht="15" customHeight="1">
      <c r="A64" s="3263"/>
      <c r="B64" s="3275" t="s">
        <v>3098</v>
      </c>
      <c r="C64" s="3266">
        <f>C61</f>
        <v>180792</v>
      </c>
      <c r="D64" s="3307">
        <v>30</v>
      </c>
      <c r="E64" s="3266"/>
      <c r="F64" s="3266"/>
      <c r="G64" s="3268">
        <f>C64*D64/10000</f>
        <v>542.37599999999998</v>
      </c>
      <c r="H64" s="3277"/>
      <c r="I64" s="3277">
        <f t="shared" ref="I64:I77" si="7">G64*$I$2</f>
        <v>0</v>
      </c>
      <c r="J64" s="3277">
        <f t="shared" ref="J64:J77" si="8">G64*$J$2</f>
        <v>542.37599999999998</v>
      </c>
    </row>
    <row r="65" spans="1:19" ht="15" hidden="1" customHeight="1">
      <c r="A65" s="3263"/>
      <c r="B65" s="3275" t="s">
        <v>3099</v>
      </c>
      <c r="C65" s="3266">
        <f>G64</f>
        <v>542.37599999999998</v>
      </c>
      <c r="D65" s="3299"/>
      <c r="E65" s="3266"/>
      <c r="F65" s="3266"/>
      <c r="G65" s="3268">
        <f>C65*D65</f>
        <v>0</v>
      </c>
      <c r="H65" s="3277"/>
      <c r="I65" s="3277">
        <f t="shared" si="7"/>
        <v>0</v>
      </c>
      <c r="J65" s="3277">
        <f t="shared" si="8"/>
        <v>0</v>
      </c>
      <c r="K65" s="3239" t="s">
        <v>3100</v>
      </c>
    </row>
    <row r="66" spans="1:19" ht="15" customHeight="1">
      <c r="A66" s="3263"/>
      <c r="B66" s="3275" t="s">
        <v>3101</v>
      </c>
      <c r="C66" s="3266"/>
      <c r="D66" s="3266"/>
      <c r="E66" s="3266"/>
      <c r="F66" s="3266"/>
      <c r="G66" s="3268">
        <v>20</v>
      </c>
      <c r="H66" s="3277"/>
      <c r="I66" s="3277">
        <f t="shared" si="7"/>
        <v>0</v>
      </c>
      <c r="J66" s="3277">
        <f t="shared" si="8"/>
        <v>20</v>
      </c>
      <c r="L66" s="3308"/>
      <c r="M66" s="3308"/>
      <c r="N66" s="3308"/>
      <c r="O66" s="3308"/>
      <c r="P66" s="3308"/>
      <c r="Q66" s="3308"/>
      <c r="R66" s="3308"/>
      <c r="S66" s="3308"/>
    </row>
    <row r="67" spans="1:19" ht="15" customHeight="1">
      <c r="A67" s="3263"/>
      <c r="B67" s="3275" t="s">
        <v>3102</v>
      </c>
      <c r="C67" s="3266"/>
      <c r="D67" s="3266"/>
      <c r="E67" s="3266"/>
      <c r="F67" s="3266"/>
      <c r="G67" s="3268">
        <v>10</v>
      </c>
      <c r="H67" s="3277"/>
      <c r="I67" s="3277">
        <f t="shared" si="7"/>
        <v>0</v>
      </c>
      <c r="J67" s="3277">
        <f t="shared" si="8"/>
        <v>10</v>
      </c>
      <c r="K67" s="3239" t="s">
        <v>3103</v>
      </c>
      <c r="L67" s="3308"/>
      <c r="M67" s="3308"/>
      <c r="N67" s="3308"/>
      <c r="O67" s="3308"/>
      <c r="P67" s="3308"/>
      <c r="Q67" s="3308"/>
      <c r="R67" s="3308"/>
      <c r="S67" s="3308"/>
    </row>
    <row r="68" spans="1:19" s="3308" customFormat="1" ht="15" customHeight="1">
      <c r="A68" s="3263"/>
      <c r="B68" s="3275" t="s">
        <v>3104</v>
      </c>
      <c r="C68" s="3266">
        <f>H4</f>
        <v>54939.586600000002</v>
      </c>
      <c r="D68" s="3299">
        <v>5.0000000000000001E-4</v>
      </c>
      <c r="E68" s="3266"/>
      <c r="F68" s="3266"/>
      <c r="G68" s="3268">
        <f>D68*C68</f>
        <v>27.469793300000003</v>
      </c>
      <c r="H68" s="3309"/>
      <c r="I68" s="3309">
        <f t="shared" si="7"/>
        <v>0</v>
      </c>
      <c r="J68" s="3309">
        <f t="shared" si="8"/>
        <v>27.469793300000003</v>
      </c>
      <c r="K68" s="3310" t="s">
        <v>3105</v>
      </c>
      <c r="L68" s="3310"/>
      <c r="M68" s="3239"/>
      <c r="N68" s="3239"/>
      <c r="O68" s="3239"/>
      <c r="P68" s="3239"/>
      <c r="Q68" s="3239"/>
      <c r="R68" s="3239"/>
      <c r="S68" s="3239"/>
    </row>
    <row r="69" spans="1:19" s="3308" customFormat="1" ht="15" customHeight="1">
      <c r="A69" s="3263"/>
      <c r="B69" s="3275" t="s">
        <v>3106</v>
      </c>
      <c r="C69" s="3276">
        <f>H4</f>
        <v>54939.586600000002</v>
      </c>
      <c r="D69" s="3299">
        <v>5.0000000000000001E-4</v>
      </c>
      <c r="E69" s="3266"/>
      <c r="F69" s="3266"/>
      <c r="G69" s="3268">
        <f>C69*D69</f>
        <v>27.469793300000003</v>
      </c>
      <c r="H69" s="3309"/>
      <c r="I69" s="3309">
        <f t="shared" si="7"/>
        <v>0</v>
      </c>
      <c r="J69" s="3309">
        <f t="shared" si="8"/>
        <v>27.469793300000003</v>
      </c>
      <c r="K69" s="3310" t="s">
        <v>3107</v>
      </c>
      <c r="L69" s="3310"/>
    </row>
    <row r="70" spans="1:19" ht="15" customHeight="1">
      <c r="A70" s="3263"/>
      <c r="B70" s="3275" t="s">
        <v>3108</v>
      </c>
      <c r="C70" s="3276"/>
      <c r="D70" s="3276"/>
      <c r="E70" s="3311"/>
      <c r="F70" s="3311"/>
      <c r="G70" s="3268">
        <v>5</v>
      </c>
      <c r="H70" s="3277"/>
      <c r="I70" s="3277">
        <f t="shared" si="7"/>
        <v>0</v>
      </c>
      <c r="J70" s="3277">
        <f t="shared" si="8"/>
        <v>5</v>
      </c>
      <c r="K70" s="3239" t="s">
        <v>3109</v>
      </c>
    </row>
    <row r="71" spans="1:19" s="3308" customFormat="1" ht="15" hidden="1" customHeight="1">
      <c r="A71" s="3263"/>
      <c r="B71" s="3275" t="s">
        <v>3110</v>
      </c>
      <c r="C71" s="3266"/>
      <c r="D71" s="3287"/>
      <c r="E71" s="3266"/>
      <c r="F71" s="3266"/>
      <c r="G71" s="3268"/>
      <c r="H71" s="3309"/>
      <c r="I71" s="3309">
        <f t="shared" si="7"/>
        <v>0</v>
      </c>
      <c r="J71" s="3309">
        <f t="shared" si="8"/>
        <v>0</v>
      </c>
      <c r="L71" s="3239"/>
      <c r="M71" s="3239"/>
      <c r="N71" s="3239"/>
      <c r="O71" s="3239"/>
      <c r="P71" s="3239"/>
      <c r="Q71" s="3239"/>
      <c r="R71" s="3239"/>
      <c r="S71" s="3239"/>
    </row>
    <row r="72" spans="1:19" ht="15" customHeight="1">
      <c r="A72" s="3274"/>
      <c r="B72" s="3275" t="s">
        <v>3111</v>
      </c>
      <c r="C72" s="3273">
        <f>H4</f>
        <v>54939.586600000002</v>
      </c>
      <c r="D72" s="3299">
        <v>4.0000000000000001E-3</v>
      </c>
      <c r="E72" s="3266"/>
      <c r="F72" s="3266"/>
      <c r="G72" s="3268">
        <f>C72*D72</f>
        <v>219.75834640000002</v>
      </c>
      <c r="H72" s="3277"/>
      <c r="I72" s="3277">
        <f t="shared" si="7"/>
        <v>0</v>
      </c>
      <c r="J72" s="3277">
        <f t="shared" si="8"/>
        <v>219.75834640000002</v>
      </c>
      <c r="K72" s="3239" t="s">
        <v>3112</v>
      </c>
    </row>
    <row r="73" spans="1:19" ht="15" hidden="1" customHeight="1">
      <c r="A73" s="3274"/>
      <c r="B73" s="3275" t="s">
        <v>3113</v>
      </c>
      <c r="C73" s="3276">
        <f>C60</f>
        <v>72846.2</v>
      </c>
      <c r="D73" s="3276"/>
      <c r="E73" s="3266"/>
      <c r="F73" s="3266"/>
      <c r="G73" s="3268">
        <f>C73*D73/10000</f>
        <v>0</v>
      </c>
      <c r="H73" s="3277"/>
      <c r="I73" s="3277">
        <f t="shared" si="7"/>
        <v>0</v>
      </c>
      <c r="J73" s="3277">
        <f t="shared" si="8"/>
        <v>0</v>
      </c>
    </row>
    <row r="74" spans="1:19" ht="15" hidden="1" customHeight="1">
      <c r="A74" s="3263"/>
      <c r="B74" s="3275" t="s">
        <v>2880</v>
      </c>
      <c r="C74" s="3276"/>
      <c r="D74" s="3276"/>
      <c r="E74" s="3266"/>
      <c r="F74" s="3266"/>
      <c r="G74" s="3268"/>
      <c r="H74" s="3277"/>
      <c r="I74" s="3277">
        <f t="shared" si="7"/>
        <v>0</v>
      </c>
      <c r="J74" s="3277">
        <f t="shared" si="8"/>
        <v>0</v>
      </c>
    </row>
    <row r="75" spans="1:19" ht="15" hidden="1" customHeight="1">
      <c r="A75" s="3263"/>
      <c r="B75" s="3275" t="s">
        <v>3114</v>
      </c>
      <c r="C75" s="3276"/>
      <c r="D75" s="3276"/>
      <c r="E75" s="3266"/>
      <c r="F75" s="3266"/>
      <c r="G75" s="3312"/>
      <c r="H75" s="3277"/>
      <c r="I75" s="3277">
        <f t="shared" si="7"/>
        <v>0</v>
      </c>
      <c r="J75" s="3277">
        <f t="shared" si="8"/>
        <v>0</v>
      </c>
    </row>
    <row r="76" spans="1:19" ht="15" hidden="1" customHeight="1">
      <c r="A76" s="3274"/>
      <c r="B76" s="3275" t="s">
        <v>3115</v>
      </c>
      <c r="C76" s="3276"/>
      <c r="D76" s="3276"/>
      <c r="E76" s="3266"/>
      <c r="F76" s="3266"/>
      <c r="G76" s="3268">
        <f>C76*D76/10000</f>
        <v>0</v>
      </c>
      <c r="H76" s="3277"/>
      <c r="I76" s="3277">
        <f t="shared" si="7"/>
        <v>0</v>
      </c>
      <c r="J76" s="3277">
        <f t="shared" si="8"/>
        <v>0</v>
      </c>
    </row>
    <row r="77" spans="1:19" ht="15" hidden="1" customHeight="1">
      <c r="A77" s="3263"/>
      <c r="B77" s="3275"/>
      <c r="C77" s="3276"/>
      <c r="D77" s="3276"/>
      <c r="E77" s="3266"/>
      <c r="F77" s="3266"/>
      <c r="G77" s="3268"/>
      <c r="H77" s="3277"/>
      <c r="I77" s="3277">
        <f t="shared" si="7"/>
        <v>0</v>
      </c>
      <c r="J77" s="3277">
        <f t="shared" si="8"/>
        <v>0</v>
      </c>
    </row>
    <row r="78" spans="1:19" ht="15" customHeight="1">
      <c r="A78" s="3254">
        <v>2.2999999999999998</v>
      </c>
      <c r="B78" s="3255" t="s">
        <v>3116</v>
      </c>
      <c r="C78" s="3256"/>
      <c r="D78" s="3257"/>
      <c r="E78" s="3257"/>
      <c r="F78" s="3257"/>
      <c r="G78" s="3257">
        <f>SUM(G79:G85)</f>
        <v>2882.9844399999997</v>
      </c>
      <c r="H78" s="3258">
        <f>SUM(E78:G78)</f>
        <v>2882.9844399999997</v>
      </c>
      <c r="I78" s="3258">
        <f>SUM(I79:I81)</f>
        <v>0</v>
      </c>
      <c r="J78" s="3258">
        <f>SUM(J79:J85)</f>
        <v>2882.9844399999997</v>
      </c>
      <c r="K78" s="3259"/>
    </row>
    <row r="79" spans="1:19" ht="15" customHeight="1">
      <c r="A79" s="3263"/>
      <c r="B79" s="3313" t="s">
        <v>3117</v>
      </c>
      <c r="C79" s="3266">
        <f>[2]经济指标!D5</f>
        <v>131123</v>
      </c>
      <c r="D79" s="3276">
        <v>216</v>
      </c>
      <c r="E79" s="3266"/>
      <c r="F79" s="3266"/>
      <c r="G79" s="3268">
        <f>C79*D79/10000</f>
        <v>2832.2568000000001</v>
      </c>
      <c r="H79" s="3277"/>
      <c r="I79" s="3277">
        <f>G79*$I$2</f>
        <v>0</v>
      </c>
      <c r="J79" s="3277">
        <f>G79*$J$2</f>
        <v>2832.2568000000001</v>
      </c>
      <c r="K79" s="3239" t="s">
        <v>3118</v>
      </c>
    </row>
    <row r="80" spans="1:19" ht="15" hidden="1" customHeight="1">
      <c r="A80" s="3263"/>
      <c r="B80" s="3313" t="s">
        <v>3119</v>
      </c>
      <c r="C80" s="3314">
        <f>[2]经济指标!D23</f>
        <v>18212</v>
      </c>
      <c r="D80" s="3315"/>
      <c r="E80" s="3266"/>
      <c r="F80" s="3266"/>
      <c r="G80" s="3268">
        <f>C80*D80/10000</f>
        <v>0</v>
      </c>
      <c r="H80" s="3277"/>
      <c r="I80" s="3277">
        <f>G80*$I$2</f>
        <v>0</v>
      </c>
      <c r="J80" s="3277">
        <f>G80*$J$2</f>
        <v>0</v>
      </c>
      <c r="K80" s="3239" t="s">
        <v>3120</v>
      </c>
    </row>
    <row r="81" spans="1:19" ht="15" customHeight="1">
      <c r="A81" s="3263"/>
      <c r="B81" s="3275" t="s">
        <v>3121</v>
      </c>
      <c r="C81" s="3266">
        <f>C60</f>
        <v>72846.2</v>
      </c>
      <c r="D81" s="3276">
        <v>2</v>
      </c>
      <c r="E81" s="3266"/>
      <c r="F81" s="3266"/>
      <c r="G81" s="3268">
        <f>C81*D81/10000</f>
        <v>14.569239999999999</v>
      </c>
      <c r="H81" s="3277"/>
      <c r="I81" s="3277">
        <f>G81*$I$2</f>
        <v>0</v>
      </c>
      <c r="J81" s="3277">
        <f>G81*$J$2</f>
        <v>14.569239999999999</v>
      </c>
      <c r="K81" s="3239" t="s">
        <v>3122</v>
      </c>
    </row>
    <row r="82" spans="1:19" ht="15" customHeight="1">
      <c r="A82" s="3263"/>
      <c r="B82" s="3275" t="s">
        <v>3123</v>
      </c>
      <c r="C82" s="3266">
        <f>C61</f>
        <v>180792</v>
      </c>
      <c r="D82" s="3276">
        <v>2</v>
      </c>
      <c r="E82" s="3266"/>
      <c r="F82" s="3266"/>
      <c r="G82" s="3268">
        <f>C82*D82/10000</f>
        <v>36.1584</v>
      </c>
      <c r="H82" s="3277"/>
      <c r="I82" s="3277">
        <f>G82*$I$2</f>
        <v>0</v>
      </c>
      <c r="J82" s="3277">
        <f>G82*$J$2</f>
        <v>36.1584</v>
      </c>
    </row>
    <row r="83" spans="1:19" ht="15" hidden="1" customHeight="1">
      <c r="A83" s="3263"/>
      <c r="B83" s="3275"/>
      <c r="C83" s="3266"/>
      <c r="D83" s="3299"/>
      <c r="E83" s="3266"/>
      <c r="F83" s="3266"/>
      <c r="G83" s="3268">
        <f>C83*D83</f>
        <v>0</v>
      </c>
      <c r="H83" s="3277"/>
      <c r="I83" s="3277"/>
      <c r="J83" s="3277"/>
    </row>
    <row r="84" spans="1:19" ht="15" hidden="1" customHeight="1">
      <c r="A84" s="3263"/>
      <c r="B84" s="3275"/>
      <c r="C84" s="3266"/>
      <c r="D84" s="3299"/>
      <c r="E84" s="3266"/>
      <c r="F84" s="3266"/>
      <c r="G84" s="3268">
        <f>C84*D84</f>
        <v>0</v>
      </c>
      <c r="H84" s="3277"/>
      <c r="I84" s="3277"/>
      <c r="J84" s="3277"/>
    </row>
    <row r="85" spans="1:19" ht="15" hidden="1" customHeight="1">
      <c r="A85" s="3263"/>
      <c r="B85" s="3275"/>
      <c r="C85" s="3266"/>
      <c r="D85" s="3266"/>
      <c r="E85" s="3266"/>
      <c r="F85" s="3266"/>
      <c r="G85" s="3268"/>
      <c r="H85" s="3277"/>
      <c r="I85" s="3277"/>
      <c r="J85" s="3277"/>
    </row>
    <row r="86" spans="1:19" ht="15" customHeight="1">
      <c r="A86" s="3254">
        <v>2.4</v>
      </c>
      <c r="B86" s="3255" t="s">
        <v>3045</v>
      </c>
      <c r="C86" s="3256"/>
      <c r="D86" s="3257"/>
      <c r="E86" s="3257"/>
      <c r="F86" s="3257"/>
      <c r="G86" s="3257">
        <f>SUM(G87:G91)</f>
        <v>880.73389840000004</v>
      </c>
      <c r="H86" s="3258">
        <f>SUM(E86:G86)</f>
        <v>880.73389840000004</v>
      </c>
      <c r="I86" s="3258">
        <f>SUM(I87:I91)</f>
        <v>0</v>
      </c>
      <c r="J86" s="3258">
        <f>SUM(J87:J91)</f>
        <v>880.73389840000004</v>
      </c>
      <c r="K86" s="3259"/>
    </row>
    <row r="87" spans="1:19" ht="15" customHeight="1">
      <c r="A87" s="3263"/>
      <c r="B87" s="3275" t="s">
        <v>3124</v>
      </c>
      <c r="C87" s="3266">
        <f>C61</f>
        <v>180792</v>
      </c>
      <c r="D87" s="3276">
        <v>30</v>
      </c>
      <c r="E87" s="3266"/>
      <c r="F87" s="3266"/>
      <c r="G87" s="3268">
        <f>C87*D87/10000</f>
        <v>542.37599999999998</v>
      </c>
      <c r="H87" s="3277"/>
      <c r="I87" s="3277">
        <f>G87*$I$2</f>
        <v>0</v>
      </c>
      <c r="J87" s="3277">
        <f>G87*$J$2</f>
        <v>542.37599999999998</v>
      </c>
      <c r="K87" s="3239" t="s">
        <v>3125</v>
      </c>
    </row>
    <row r="88" spans="1:19" ht="15" customHeight="1">
      <c r="A88" s="3263"/>
      <c r="B88" s="3275" t="s">
        <v>3126</v>
      </c>
      <c r="C88" s="3266">
        <f>C69</f>
        <v>54939.586600000002</v>
      </c>
      <c r="D88" s="3299">
        <v>4.0000000000000001E-3</v>
      </c>
      <c r="E88" s="3266"/>
      <c r="F88" s="3266"/>
      <c r="G88" s="3268">
        <f>C88*D88</f>
        <v>219.75834640000002</v>
      </c>
      <c r="H88" s="3277"/>
      <c r="I88" s="3277">
        <f>G88*$I$2</f>
        <v>0</v>
      </c>
      <c r="J88" s="3277">
        <f>G88*$J$2</f>
        <v>219.75834640000002</v>
      </c>
      <c r="K88" s="3239" t="s">
        <v>3127</v>
      </c>
    </row>
    <row r="89" spans="1:19" ht="15" customHeight="1">
      <c r="A89" s="3263"/>
      <c r="B89" s="3275" t="s">
        <v>3128</v>
      </c>
      <c r="C89" s="3276">
        <f>C61</f>
        <v>180792</v>
      </c>
      <c r="D89" s="3276">
        <v>1.36</v>
      </c>
      <c r="E89" s="3266"/>
      <c r="F89" s="3266"/>
      <c r="G89" s="3268">
        <f>C89*D89/10000</f>
        <v>24.587712000000003</v>
      </c>
      <c r="H89" s="3277"/>
      <c r="I89" s="3277">
        <f>G89*$I$2</f>
        <v>0</v>
      </c>
      <c r="J89" s="3277">
        <f>G89*$J$2</f>
        <v>24.587712000000003</v>
      </c>
      <c r="K89" s="3239" t="s">
        <v>3129</v>
      </c>
    </row>
    <row r="90" spans="1:19" ht="15" customHeight="1">
      <c r="A90" s="3263"/>
      <c r="B90" s="3275" t="s">
        <v>3130</v>
      </c>
      <c r="C90" s="3266">
        <f>C89</f>
        <v>180792</v>
      </c>
      <c r="D90" s="3276">
        <v>1.2</v>
      </c>
      <c r="E90" s="3266"/>
      <c r="F90" s="3266"/>
      <c r="G90" s="3268">
        <f>C90*D90/10000</f>
        <v>21.695039999999999</v>
      </c>
      <c r="H90" s="3277"/>
      <c r="I90" s="3277">
        <f>G90*$I$2</f>
        <v>0</v>
      </c>
      <c r="J90" s="3277">
        <f>G90*$J$2</f>
        <v>21.695039999999999</v>
      </c>
      <c r="K90" s="3239" t="s">
        <v>3131</v>
      </c>
    </row>
    <row r="91" spans="1:19" ht="15" customHeight="1">
      <c r="A91" s="3263"/>
      <c r="B91" s="3275" t="s">
        <v>3132</v>
      </c>
      <c r="C91" s="3266">
        <f>C90</f>
        <v>180792</v>
      </c>
      <c r="D91" s="3276">
        <v>4</v>
      </c>
      <c r="E91" s="3266"/>
      <c r="F91" s="3266"/>
      <c r="G91" s="3268">
        <f>C91*D91/10000</f>
        <v>72.316800000000001</v>
      </c>
      <c r="H91" s="3277"/>
      <c r="I91" s="3277">
        <f>G91*$I$2</f>
        <v>0</v>
      </c>
      <c r="J91" s="3277">
        <f>G91*$J$2</f>
        <v>72.316800000000001</v>
      </c>
      <c r="K91" s="3239" t="s">
        <v>3133</v>
      </c>
    </row>
    <row r="92" spans="1:19" ht="15" customHeight="1">
      <c r="A92" s="3254">
        <v>2.5</v>
      </c>
      <c r="B92" s="3316" t="s">
        <v>3134</v>
      </c>
      <c r="C92" s="3317">
        <f>H4</f>
        <v>54939.586600000002</v>
      </c>
      <c r="D92" s="3318">
        <v>1.4999999999999999E-2</v>
      </c>
      <c r="E92" s="3257"/>
      <c r="F92" s="3257"/>
      <c r="G92" s="3257">
        <f>C92*D92</f>
        <v>824.09379899999999</v>
      </c>
      <c r="H92" s="3258">
        <f>SUM(E92:G92)</f>
        <v>824.09379899999999</v>
      </c>
      <c r="I92" s="3258">
        <f>I4*D92</f>
        <v>0</v>
      </c>
      <c r="J92" s="3258">
        <f>J4*D92</f>
        <v>824.09379899999999</v>
      </c>
      <c r="K92" s="3259"/>
      <c r="L92" s="3308"/>
      <c r="M92" s="3308"/>
      <c r="N92" s="3308"/>
      <c r="O92" s="3308"/>
      <c r="P92" s="3308"/>
      <c r="Q92" s="3308"/>
      <c r="R92" s="3308"/>
      <c r="S92" s="3308"/>
    </row>
    <row r="93" spans="1:19" ht="15" customHeight="1">
      <c r="A93" s="3254">
        <v>2.6</v>
      </c>
      <c r="B93" s="3316" t="s">
        <v>3135</v>
      </c>
      <c r="C93" s="3317"/>
      <c r="D93" s="3318"/>
      <c r="E93" s="3257"/>
      <c r="F93" s="3257"/>
      <c r="G93" s="3257">
        <f>SUM(G94:G97)</f>
        <v>0</v>
      </c>
      <c r="H93" s="3258">
        <f>SUM(E93:G93)</f>
        <v>0</v>
      </c>
      <c r="I93" s="3258"/>
      <c r="J93" s="3258"/>
    </row>
    <row r="94" spans="1:19" s="3308" customFormat="1" ht="15" hidden="1" customHeight="1">
      <c r="A94" s="3319"/>
      <c r="B94" s="3320"/>
      <c r="C94" s="3321"/>
      <c r="D94" s="3322"/>
      <c r="E94" s="3321"/>
      <c r="F94" s="3321"/>
      <c r="G94" s="3312"/>
      <c r="H94" s="3309"/>
      <c r="I94" s="3309"/>
      <c r="J94" s="3309"/>
      <c r="L94" s="3239"/>
      <c r="M94" s="3239"/>
      <c r="N94" s="3239"/>
      <c r="O94" s="3239"/>
      <c r="P94" s="3239"/>
      <c r="Q94" s="3239"/>
      <c r="R94" s="3239"/>
      <c r="S94" s="3239"/>
    </row>
    <row r="95" spans="1:19" ht="15" hidden="1" customHeight="1">
      <c r="A95" s="3263"/>
      <c r="B95" s="3275"/>
      <c r="C95" s="3266"/>
      <c r="D95" s="3276"/>
      <c r="E95" s="3266"/>
      <c r="F95" s="3266"/>
      <c r="G95" s="3268">
        <v>0</v>
      </c>
      <c r="H95" s="3277"/>
      <c r="I95" s="3277"/>
      <c r="J95" s="3277"/>
    </row>
    <row r="96" spans="1:19" ht="15" hidden="1" customHeight="1">
      <c r="A96" s="3263"/>
      <c r="B96" s="3275"/>
      <c r="C96" s="3266"/>
      <c r="D96" s="3276"/>
      <c r="E96" s="3266"/>
      <c r="F96" s="3266"/>
      <c r="G96" s="3268">
        <f>C96*D96/10000</f>
        <v>0</v>
      </c>
      <c r="H96" s="3277"/>
      <c r="I96" s="3277"/>
      <c r="J96" s="3277"/>
    </row>
    <row r="97" spans="1:19" ht="15" hidden="1" customHeight="1">
      <c r="A97" s="3263"/>
      <c r="B97" s="3275"/>
      <c r="C97" s="3266"/>
      <c r="D97" s="3276"/>
      <c r="E97" s="3266"/>
      <c r="F97" s="3266"/>
      <c r="G97" s="3268">
        <f>C97*D97/10000</f>
        <v>0</v>
      </c>
      <c r="H97" s="3277"/>
      <c r="I97" s="3277"/>
      <c r="J97" s="3277"/>
      <c r="L97" s="3308"/>
      <c r="M97" s="3308"/>
      <c r="N97" s="3308"/>
      <c r="O97" s="3308"/>
      <c r="P97" s="3308"/>
      <c r="Q97" s="3308"/>
      <c r="R97" s="3308"/>
      <c r="S97" s="3308"/>
    </row>
    <row r="98" spans="1:19" ht="15" hidden="1" customHeight="1">
      <c r="A98" s="3254">
        <v>2.7</v>
      </c>
      <c r="B98" s="3316" t="s">
        <v>3136</v>
      </c>
      <c r="C98" s="3317"/>
      <c r="D98" s="3318"/>
      <c r="E98" s="3257"/>
      <c r="F98" s="3257"/>
      <c r="G98" s="3257">
        <f>SUM(G99:G102)</f>
        <v>0</v>
      </c>
      <c r="H98" s="3258">
        <f>SUM(E98:G98)</f>
        <v>0</v>
      </c>
      <c r="I98" s="3258"/>
      <c r="J98" s="3258"/>
    </row>
    <row r="99" spans="1:19" s="3308" customFormat="1" ht="15" hidden="1" customHeight="1">
      <c r="A99" s="3319"/>
      <c r="B99" s="3320" t="s">
        <v>3137</v>
      </c>
      <c r="C99" s="3321"/>
      <c r="D99" s="3322"/>
      <c r="E99" s="3321"/>
      <c r="F99" s="3321"/>
      <c r="G99" s="3312"/>
      <c r="H99" s="3309"/>
      <c r="I99" s="3309"/>
      <c r="J99" s="3309"/>
      <c r="L99" s="3239"/>
      <c r="M99" s="3239"/>
      <c r="N99" s="3239"/>
      <c r="O99" s="3239"/>
      <c r="P99" s="3239"/>
      <c r="Q99" s="3239"/>
      <c r="R99" s="3239"/>
      <c r="S99" s="3239"/>
    </row>
    <row r="100" spans="1:19" ht="15" hidden="1" customHeight="1">
      <c r="A100" s="3263"/>
      <c r="B100" s="3275" t="s">
        <v>3138</v>
      </c>
      <c r="C100" s="3266"/>
      <c r="D100" s="3276"/>
      <c r="E100" s="3266"/>
      <c r="F100" s="3266"/>
      <c r="G100" s="3323"/>
      <c r="H100" s="3277"/>
      <c r="I100" s="3277"/>
      <c r="J100" s="3277"/>
    </row>
    <row r="101" spans="1:19" ht="15" hidden="1" customHeight="1">
      <c r="A101" s="3263"/>
      <c r="B101" s="3275"/>
      <c r="C101" s="3266"/>
      <c r="D101" s="3276"/>
      <c r="E101" s="3266"/>
      <c r="F101" s="3266"/>
      <c r="G101" s="3268">
        <f>C101*D101/10000</f>
        <v>0</v>
      </c>
      <c r="H101" s="3277"/>
      <c r="I101" s="3277"/>
      <c r="J101" s="3277"/>
      <c r="L101" s="3288"/>
      <c r="M101" s="3288"/>
      <c r="N101" s="3288"/>
      <c r="O101" s="3288"/>
      <c r="P101" s="3288"/>
      <c r="Q101" s="3288"/>
      <c r="R101" s="3288"/>
      <c r="S101" s="3288"/>
    </row>
    <row r="102" spans="1:19" ht="15" hidden="1" customHeight="1">
      <c r="A102" s="3263"/>
      <c r="B102" s="3275"/>
      <c r="C102" s="3266"/>
      <c r="D102" s="3276"/>
      <c r="E102" s="3266"/>
      <c r="F102" s="3266"/>
      <c r="G102" s="3268">
        <f>C102*D102/10000</f>
        <v>0</v>
      </c>
      <c r="H102" s="3277"/>
      <c r="I102" s="3277"/>
      <c r="J102" s="3277"/>
    </row>
    <row r="103" spans="1:19" s="3288" customFormat="1" ht="15" customHeight="1">
      <c r="A103" s="3289">
        <v>3</v>
      </c>
      <c r="B103" s="3290" t="s">
        <v>3139</v>
      </c>
      <c r="C103" s="3291"/>
      <c r="D103" s="3292"/>
      <c r="E103" s="3293"/>
      <c r="F103" s="3293"/>
      <c r="G103" s="3294">
        <f>G104+G105</f>
        <v>8809.2778890162263</v>
      </c>
      <c r="H103" s="3295">
        <f>SUM(E103:G103)</f>
        <v>8809.2778890162263</v>
      </c>
      <c r="I103" s="3295">
        <f>I104+I105</f>
        <v>0</v>
      </c>
      <c r="J103" s="3295">
        <f>J104+J105</f>
        <v>8809.2778890162263</v>
      </c>
      <c r="K103" s="3259"/>
      <c r="L103" s="3239"/>
      <c r="M103" s="3239"/>
      <c r="N103" s="3239"/>
      <c r="O103" s="3239"/>
      <c r="P103" s="3239"/>
      <c r="Q103" s="3239"/>
      <c r="R103" s="3239"/>
      <c r="S103" s="3239"/>
    </row>
    <row r="104" spans="1:19" ht="15" customHeight="1">
      <c r="A104" s="3254">
        <v>3.1</v>
      </c>
      <c r="B104" s="3316" t="s">
        <v>3140</v>
      </c>
      <c r="C104" s="3317">
        <f>H4+H50</f>
        <v>139602.19756339997</v>
      </c>
      <c r="D104" s="3318">
        <v>0.05</v>
      </c>
      <c r="E104" s="3257"/>
      <c r="F104" s="3257"/>
      <c r="G104" s="3257">
        <f>C104*D104</f>
        <v>6980.1098781699984</v>
      </c>
      <c r="H104" s="3258"/>
      <c r="I104" s="3258">
        <f>(I4+I50)*D104</f>
        <v>0</v>
      </c>
      <c r="J104" s="3258">
        <f>(J4+J50)*D104</f>
        <v>6980.1098781699984</v>
      </c>
    </row>
    <row r="105" spans="1:19" ht="15" customHeight="1">
      <c r="A105" s="3254">
        <v>3.2</v>
      </c>
      <c r="B105" s="3316" t="s">
        <v>3141</v>
      </c>
      <c r="C105" s="3317">
        <f>H4</f>
        <v>54939.586600000002</v>
      </c>
      <c r="D105" s="3318">
        <v>0.03</v>
      </c>
      <c r="E105" s="3257"/>
      <c r="F105" s="3257"/>
      <c r="G105" s="3257">
        <f>SUM(G106:G108)</f>
        <v>1829.1680108462274</v>
      </c>
      <c r="H105" s="3258"/>
      <c r="I105" s="3258">
        <f>SUM(I106:I108)</f>
        <v>0</v>
      </c>
      <c r="J105" s="3258">
        <f>SUM(J106:J108)</f>
        <v>1829.1680108462274</v>
      </c>
    </row>
    <row r="106" spans="1:19" ht="15" customHeight="1">
      <c r="A106" s="3263" t="s">
        <v>3142</v>
      </c>
      <c r="B106" s="3275" t="s">
        <v>3143</v>
      </c>
      <c r="C106" s="3266">
        <f>C105*D106</f>
        <v>30216.772630000003</v>
      </c>
      <c r="D106" s="3299">
        <f>[2]资金使用与筹措!E6</f>
        <v>0.55000000000000004</v>
      </c>
      <c r="E106" s="3266"/>
      <c r="F106" s="3266"/>
      <c r="G106" s="3268">
        <f>C106*((1+D105)^(1-0.5)-1)</f>
        <v>449.90225689164441</v>
      </c>
      <c r="H106" s="3277"/>
      <c r="I106" s="3277">
        <f>I4/H4*G106</f>
        <v>0</v>
      </c>
      <c r="J106" s="3277">
        <f>G106-I106</f>
        <v>449.90225689164441</v>
      </c>
    </row>
    <row r="107" spans="1:19" ht="15" customHeight="1">
      <c r="A107" s="3263" t="s">
        <v>3144</v>
      </c>
      <c r="B107" s="3275" t="s">
        <v>3145</v>
      </c>
      <c r="C107" s="3266">
        <f>C105*D107</f>
        <v>16481.875980000001</v>
      </c>
      <c r="D107" s="3299">
        <f>[2]资金使用与筹措!F6</f>
        <v>0.3</v>
      </c>
      <c r="E107" s="3266"/>
      <c r="F107" s="3266"/>
      <c r="G107" s="3268">
        <f>C107*((1+D105)^(2-0.5)-1)</f>
        <v>747.21954736276143</v>
      </c>
      <c r="H107" s="3277"/>
      <c r="I107" s="3277">
        <f>I4/H4*G107</f>
        <v>0</v>
      </c>
      <c r="J107" s="3277">
        <f>G107-I107</f>
        <v>747.21954736276143</v>
      </c>
      <c r="L107" s="3324"/>
      <c r="M107" s="3324"/>
      <c r="N107" s="3324"/>
      <c r="O107" s="3324"/>
      <c r="P107" s="3324"/>
      <c r="Q107" s="3324"/>
      <c r="R107" s="3324"/>
      <c r="S107" s="3324"/>
    </row>
    <row r="108" spans="1:19" ht="15" customHeight="1" thickBot="1">
      <c r="A108" s="3263" t="s">
        <v>3146</v>
      </c>
      <c r="B108" s="3275" t="s">
        <v>3147</v>
      </c>
      <c r="C108" s="3325">
        <f>C105*D108</f>
        <v>8240.9379900000004</v>
      </c>
      <c r="D108" s="3299">
        <f>[2]资金使用与筹措!G6</f>
        <v>0.15</v>
      </c>
      <c r="E108" s="3325"/>
      <c r="F108" s="3325"/>
      <c r="G108" s="3268">
        <f>C108*((1+D105)^(3-0.5)-1)</f>
        <v>632.04620659182171</v>
      </c>
      <c r="H108" s="3326"/>
      <c r="I108" s="3326">
        <f>I4/H4*G108</f>
        <v>0</v>
      </c>
      <c r="J108" s="3326">
        <f>G108-I108</f>
        <v>632.04620659182171</v>
      </c>
      <c r="L108" s="3324"/>
      <c r="M108" s="3324"/>
      <c r="N108" s="3324"/>
      <c r="O108" s="3324"/>
      <c r="P108" s="3324"/>
      <c r="Q108" s="3324"/>
      <c r="R108" s="3324"/>
      <c r="S108" s="3324"/>
    </row>
    <row r="109" spans="1:19" s="3324" customFormat="1" ht="15" customHeight="1" thickBot="1">
      <c r="A109" s="3327" t="s">
        <v>3148</v>
      </c>
      <c r="B109" s="3328" t="s">
        <v>3149</v>
      </c>
      <c r="C109" s="3329" t="s">
        <v>3150</v>
      </c>
      <c r="D109" s="3328"/>
      <c r="E109" s="3328"/>
      <c r="F109" s="3328"/>
      <c r="G109" s="3329"/>
      <c r="H109" s="3330">
        <f>H4+H50+H103</f>
        <v>148411.4754524162</v>
      </c>
      <c r="I109" s="3330">
        <f>I4+I50+I103</f>
        <v>0</v>
      </c>
      <c r="J109" s="3330">
        <f>J4+J50+J103</f>
        <v>148411.4754524162</v>
      </c>
      <c r="K109" s="3259"/>
      <c r="L109" s="3239"/>
      <c r="M109" s="3239"/>
      <c r="N109" s="3239"/>
      <c r="O109" s="3239"/>
      <c r="P109" s="3239"/>
      <c r="Q109" s="3239"/>
      <c r="R109" s="3239"/>
      <c r="S109" s="3239"/>
    </row>
    <row r="110" spans="1:19" s="3324" customFormat="1" ht="15" customHeight="1" thickBot="1">
      <c r="A110" s="3327" t="s">
        <v>3151</v>
      </c>
      <c r="B110" s="3328" t="s">
        <v>3152</v>
      </c>
      <c r="C110" s="3329"/>
      <c r="D110" s="3328"/>
      <c r="E110" s="3328"/>
      <c r="F110" s="3328"/>
      <c r="G110" s="3329">
        <f>SUM(G111:G112)</f>
        <v>10829.000000000002</v>
      </c>
      <c r="H110" s="3330">
        <f>SUM(E110:G110)</f>
        <v>10829.000000000002</v>
      </c>
      <c r="I110" s="3330">
        <f>SUM(I111:I112)</f>
        <v>0</v>
      </c>
      <c r="J110" s="3330">
        <f>SUM(J111:J112)</f>
        <v>10829.000000000002</v>
      </c>
      <c r="L110" s="3239"/>
      <c r="M110" s="3239"/>
      <c r="N110" s="3239"/>
      <c r="O110" s="3239"/>
      <c r="P110" s="3239"/>
      <c r="Q110" s="3239"/>
      <c r="R110" s="3239"/>
      <c r="S110" s="3239"/>
    </row>
    <row r="111" spans="1:19" ht="15" customHeight="1">
      <c r="A111" s="3331"/>
      <c r="B111" s="3275" t="s">
        <v>3153</v>
      </c>
      <c r="C111" s="3266"/>
      <c r="D111" s="3276"/>
      <c r="E111" s="3266"/>
      <c r="F111" s="3266"/>
      <c r="G111" s="3268">
        <f>[2]还本付息表!D8+[2]还本付息表!E8+[2]还本付息表!F8+[2]还本付息表!G8</f>
        <v>10829.000000000002</v>
      </c>
      <c r="H111" s="3277"/>
      <c r="I111" s="3277">
        <f>I109/H109*G111</f>
        <v>0</v>
      </c>
      <c r="J111" s="3277">
        <f>G111-I111</f>
        <v>10829.000000000002</v>
      </c>
      <c r="L111" s="3324"/>
      <c r="M111" s="3324"/>
      <c r="N111" s="3324"/>
      <c r="O111" s="3324"/>
      <c r="P111" s="3324"/>
      <c r="Q111" s="3324"/>
      <c r="R111" s="3324"/>
      <c r="S111" s="3324"/>
    </row>
    <row r="112" spans="1:19" ht="15" customHeight="1" thickBot="1">
      <c r="A112" s="3331"/>
      <c r="B112" s="3275" t="s">
        <v>3154</v>
      </c>
      <c r="C112" s="3268"/>
      <c r="D112" s="3276"/>
      <c r="E112" s="3266"/>
      <c r="F112" s="3266"/>
      <c r="G112" s="3268"/>
      <c r="H112" s="3277"/>
      <c r="I112" s="3277"/>
      <c r="J112" s="3277"/>
    </row>
    <row r="113" spans="1:19" s="3324" customFormat="1" ht="15" customHeight="1" thickBot="1">
      <c r="A113" s="3327" t="s">
        <v>3155</v>
      </c>
      <c r="B113" s="3328" t="s">
        <v>3156</v>
      </c>
      <c r="C113" s="3329"/>
      <c r="D113" s="3328"/>
      <c r="E113" s="3328"/>
      <c r="F113" s="3328"/>
      <c r="G113" s="3329">
        <f>G114</f>
        <v>0</v>
      </c>
      <c r="H113" s="3330">
        <f>SUM(E113:G113)</f>
        <v>0</v>
      </c>
      <c r="I113" s="3330">
        <f>I114</f>
        <v>0</v>
      </c>
      <c r="J113" s="3330">
        <f>J114</f>
        <v>0</v>
      </c>
    </row>
    <row r="114" spans="1:19" ht="15" customHeight="1" thickBot="1">
      <c r="A114" s="3331"/>
      <c r="B114" s="3275" t="s">
        <v>3157</v>
      </c>
      <c r="C114" s="3268"/>
      <c r="D114" s="3276"/>
      <c r="E114" s="3266"/>
      <c r="F114" s="3266"/>
      <c r="G114" s="3268">
        <v>0</v>
      </c>
      <c r="H114" s="3277"/>
      <c r="I114" s="3277">
        <f>G114</f>
        <v>0</v>
      </c>
      <c r="J114" s="3277"/>
    </row>
    <row r="115" spans="1:19" s="3324" customFormat="1" ht="15" customHeight="1" thickBot="1">
      <c r="A115" s="3327" t="s">
        <v>3158</v>
      </c>
      <c r="B115" s="3328" t="s">
        <v>3159</v>
      </c>
      <c r="C115" s="3329"/>
      <c r="D115" s="3328"/>
      <c r="E115" s="3328"/>
      <c r="F115" s="3328"/>
      <c r="G115" s="3329">
        <f>SUM(G116:G118)</f>
        <v>0</v>
      </c>
      <c r="H115" s="3330">
        <f>SUM(E115:G115)</f>
        <v>0</v>
      </c>
      <c r="I115" s="3330">
        <v>0</v>
      </c>
      <c r="J115" s="3330">
        <v>0</v>
      </c>
      <c r="L115" s="3239"/>
      <c r="M115" s="3239"/>
      <c r="N115" s="3239"/>
      <c r="O115" s="3239"/>
      <c r="P115" s="3239"/>
      <c r="Q115" s="3239"/>
      <c r="R115" s="3239"/>
      <c r="S115" s="3239"/>
    </row>
    <row r="116" spans="1:19" ht="15" customHeight="1">
      <c r="A116" s="3332"/>
      <c r="B116" s="3333" t="s">
        <v>3160</v>
      </c>
      <c r="C116" s="3334"/>
      <c r="D116" s="3335"/>
      <c r="E116" s="3334"/>
      <c r="F116" s="3334"/>
      <c r="G116" s="3317"/>
      <c r="H116" s="3336"/>
      <c r="I116" s="3336"/>
      <c r="J116" s="3336"/>
    </row>
    <row r="117" spans="1:19" ht="15" customHeight="1">
      <c r="A117" s="3332"/>
      <c r="B117" s="3333" t="s">
        <v>3161</v>
      </c>
      <c r="C117" s="3334"/>
      <c r="D117" s="3335"/>
      <c r="E117" s="3334"/>
      <c r="F117" s="3334"/>
      <c r="G117" s="3317"/>
      <c r="H117" s="3336"/>
      <c r="I117" s="3336"/>
      <c r="J117" s="3336"/>
    </row>
    <row r="118" spans="1:19" ht="15" customHeight="1" thickBot="1">
      <c r="A118" s="3332"/>
      <c r="B118" s="3333" t="s">
        <v>3162</v>
      </c>
      <c r="C118" s="3334"/>
      <c r="D118" s="3335"/>
      <c r="E118" s="3334"/>
      <c r="F118" s="3334"/>
      <c r="G118" s="3317"/>
      <c r="H118" s="3336"/>
      <c r="I118" s="3336"/>
      <c r="J118" s="3336"/>
    </row>
    <row r="119" spans="1:19" ht="15" customHeight="1" thickBot="1">
      <c r="A119" s="3327" t="s">
        <v>3163</v>
      </c>
      <c r="B119" s="3328" t="s">
        <v>3164</v>
      </c>
      <c r="C119" s="3337"/>
      <c r="D119" s="3338"/>
      <c r="E119" s="3338"/>
      <c r="F119" s="3338"/>
      <c r="G119" s="3339"/>
      <c r="H119" s="3340">
        <f>H109+H110+H113+H115</f>
        <v>159240.4754524162</v>
      </c>
      <c r="I119" s="3340">
        <f>I109+I110+I113+I115</f>
        <v>0</v>
      </c>
      <c r="J119" s="3340">
        <f>J109+J110+J113+J115</f>
        <v>159240.4754524162</v>
      </c>
    </row>
    <row r="120" spans="1:19" ht="15" customHeight="1">
      <c r="H120" s="3244"/>
      <c r="I120" s="3244"/>
      <c r="J120" s="3244"/>
    </row>
  </sheetData>
  <phoneticPr fontId="233" type="noConversion"/>
  <printOptions horizontalCentered="1"/>
  <pageMargins left="0.75" right="0.75" top="0.98" bottom="0.98" header="0.51" footer="0.51"/>
  <pageSetup paperSize="9" scale="97" orientation="portrait" r:id="rId1"/>
  <headerFooter alignWithMargins="0">
    <oddFooter>第 &amp;P 页，共 &amp;N 页</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576" t="s">
        <v>1664</v>
      </c>
      <c r="B1" s="3577"/>
      <c r="C1" s="3577"/>
      <c r="D1" s="3577"/>
      <c r="E1" s="3577"/>
      <c r="F1" s="3577"/>
      <c r="G1" s="3577"/>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54">
      <c r="A3" s="1225" t="s">
        <v>1667</v>
      </c>
      <c r="B3" s="1226" t="s">
        <v>1654</v>
      </c>
      <c r="C3" s="3079" t="s">
        <v>2920</v>
      </c>
      <c r="D3" s="2006"/>
      <c r="E3" s="1227" t="s">
        <v>1667</v>
      </c>
      <c r="F3" s="1228" t="s">
        <v>1655</v>
      </c>
      <c r="G3" s="3083" t="s">
        <v>2919</v>
      </c>
      <c r="H3" s="2005"/>
      <c r="I3" s="2005"/>
      <c r="J3" s="2005"/>
      <c r="K3" s="2005"/>
      <c r="L3" s="2005"/>
      <c r="M3" s="2005"/>
      <c r="N3" s="2005"/>
      <c r="O3" s="2005"/>
      <c r="P3" s="2005"/>
      <c r="Q3" s="2005"/>
      <c r="R3" s="2005"/>
    </row>
    <row r="4" spans="1:18" ht="41.25">
      <c r="A4" s="1227"/>
      <c r="B4" s="1229" t="s">
        <v>1668</v>
      </c>
      <c r="C4" s="3080" t="s">
        <v>2921</v>
      </c>
      <c r="D4" s="2006"/>
      <c r="E4" s="1230"/>
      <c r="F4" s="1231" t="s">
        <v>1669</v>
      </c>
      <c r="G4" s="3081" t="s">
        <v>2916</v>
      </c>
      <c r="H4" s="2005"/>
      <c r="I4" s="2005"/>
      <c r="J4" s="2005"/>
      <c r="K4" s="2005"/>
      <c r="L4" s="2005"/>
      <c r="M4" s="2005"/>
      <c r="N4" s="2005"/>
      <c r="O4" s="2005"/>
      <c r="P4" s="2005"/>
      <c r="Q4" s="2005"/>
      <c r="R4" s="2005"/>
    </row>
    <row r="5" spans="1:18" ht="41.25">
      <c r="A5" s="1227"/>
      <c r="B5" s="1229" t="s">
        <v>1670</v>
      </c>
      <c r="C5" s="3080" t="s">
        <v>2922</v>
      </c>
      <c r="D5" s="2006"/>
      <c r="E5" s="1230"/>
      <c r="F5" s="1229" t="s">
        <v>2546</v>
      </c>
      <c r="G5" s="3081" t="s">
        <v>2917</v>
      </c>
      <c r="H5" s="2005"/>
      <c r="I5" s="2005"/>
      <c r="J5" s="2005"/>
      <c r="K5" s="2005"/>
      <c r="L5" s="2005"/>
      <c r="M5" s="2005"/>
      <c r="N5" s="2005"/>
      <c r="O5" s="2005"/>
      <c r="P5" s="2005"/>
      <c r="Q5" s="2005"/>
      <c r="R5" s="2005"/>
    </row>
    <row r="6" spans="1:18" ht="54">
      <c r="A6" s="1227"/>
      <c r="B6" s="1229" t="s">
        <v>1656</v>
      </c>
      <c r="C6" s="3081" t="s">
        <v>2916</v>
      </c>
      <c r="D6" s="2006"/>
      <c r="E6" s="1230"/>
      <c r="F6" s="1229" t="s">
        <v>2547</v>
      </c>
      <c r="G6" s="3081" t="s">
        <v>2914</v>
      </c>
      <c r="H6" s="2005"/>
      <c r="I6" s="2005"/>
      <c r="J6" s="2005"/>
      <c r="K6" s="2005"/>
      <c r="L6" s="2005"/>
      <c r="M6" s="2005"/>
      <c r="N6" s="2005"/>
      <c r="O6" s="2005"/>
      <c r="P6" s="2005"/>
      <c r="Q6" s="2005"/>
      <c r="R6" s="2005"/>
    </row>
    <row r="7" spans="1:18" ht="41.25" thickBot="1">
      <c r="A7" s="1227"/>
      <c r="B7" s="1229" t="s">
        <v>2546</v>
      </c>
      <c r="C7" s="3081" t="s">
        <v>2917</v>
      </c>
      <c r="D7" s="2007"/>
      <c r="E7" s="1232"/>
      <c r="F7" s="1233" t="s">
        <v>1671</v>
      </c>
      <c r="G7" s="3084" t="s">
        <v>2918</v>
      </c>
      <c r="H7" s="2005"/>
      <c r="I7" s="2005"/>
      <c r="J7" s="2005"/>
      <c r="K7" s="2005"/>
      <c r="L7" s="2005"/>
      <c r="M7" s="2005"/>
      <c r="N7" s="2005"/>
      <c r="O7" s="2005"/>
      <c r="P7" s="2005"/>
      <c r="Q7" s="2005"/>
      <c r="R7" s="2005"/>
    </row>
    <row r="8" spans="1:18" ht="27">
      <c r="A8" s="1227"/>
      <c r="B8" s="1229" t="s">
        <v>2547</v>
      </c>
      <c r="C8" s="3081" t="s">
        <v>2914</v>
      </c>
      <c r="D8" s="2007"/>
      <c r="E8" s="2007"/>
      <c r="F8" s="1550"/>
      <c r="G8" s="1550"/>
      <c r="H8" s="2005"/>
      <c r="I8" s="2005"/>
      <c r="J8" s="2005"/>
      <c r="K8" s="2005"/>
      <c r="L8" s="2005"/>
      <c r="M8" s="2005"/>
      <c r="N8" s="2005"/>
      <c r="O8" s="2005"/>
      <c r="P8" s="2005"/>
      <c r="Q8" s="2005"/>
      <c r="R8" s="2005"/>
    </row>
    <row r="9" spans="1:18" ht="40.5">
      <c r="A9" s="1227"/>
      <c r="B9" s="1229" t="s">
        <v>1657</v>
      </c>
      <c r="C9" s="3080" t="s">
        <v>2915</v>
      </c>
      <c r="D9" s="2006"/>
      <c r="E9" s="2007"/>
      <c r="F9" s="1550"/>
      <c r="G9" s="1550"/>
      <c r="H9" s="2005"/>
      <c r="I9" s="2005"/>
      <c r="J9" s="2005"/>
      <c r="K9" s="2005"/>
      <c r="L9" s="2005"/>
      <c r="M9" s="2005"/>
      <c r="N9" s="2005"/>
      <c r="O9" s="2005"/>
      <c r="P9" s="2005"/>
      <c r="Q9" s="2005"/>
      <c r="R9" s="2005"/>
    </row>
    <row r="10" spans="1:18" s="2013" customFormat="1" ht="15" thickBot="1">
      <c r="A10" s="1234"/>
      <c r="B10" s="1235" t="s">
        <v>1672</v>
      </c>
      <c r="C10" s="308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2"/>
      <c r="E13" s="2575"/>
      <c r="F13" s="2575"/>
      <c r="G13" s="2575"/>
    </row>
    <row r="14" spans="1:18" ht="14.25" thickBot="1">
      <c r="A14" s="1236"/>
      <c r="B14" s="1237"/>
      <c r="C14" s="1238" t="s">
        <v>1665</v>
      </c>
      <c r="D14" s="2006"/>
      <c r="E14" s="1239"/>
      <c r="F14" s="1239"/>
      <c r="G14" s="1221" t="s">
        <v>1666</v>
      </c>
    </row>
    <row r="15" spans="1:18" ht="54">
      <c r="A15" s="2585" t="s">
        <v>1658</v>
      </c>
      <c r="B15" s="1240" t="s">
        <v>1654</v>
      </c>
      <c r="C15" s="1241" t="str">
        <f>C3</f>
        <v>估价对象周边居住用地比例、居住小区规模和社区发展完善程度，综合评价居住社区成熟度一般</v>
      </c>
      <c r="D15" s="2006"/>
      <c r="E15" s="2582" t="s">
        <v>1659</v>
      </c>
      <c r="F15" s="1240" t="s">
        <v>1674</v>
      </c>
      <c r="G15" s="1242" t="str">
        <f>G3</f>
        <v>估价对象位于XX开发区，园区建设成熟度XX，产业集聚程度XX</v>
      </c>
    </row>
    <row r="16" spans="1:18" ht="40.5">
      <c r="A16" s="2586"/>
      <c r="B16" s="1243" t="s">
        <v>1668</v>
      </c>
      <c r="C16" s="1244" t="str">
        <f>C4</f>
        <v>估价对象位于XX商圈，周边商业氛围成熟，人流量大，商业繁华度好</v>
      </c>
      <c r="D16" s="2006"/>
      <c r="E16" s="2583"/>
      <c r="F16" s="1245" t="s">
        <v>1669</v>
      </c>
      <c r="G16" s="1003" t="str">
        <f>G4</f>
        <v>估价对象周边道路状况、公共交通通达情况、停车便捷程度，综合评价交通便捷度较好</v>
      </c>
    </row>
    <row r="17" spans="1:7" ht="40.5">
      <c r="A17" s="2586"/>
      <c r="B17" s="1243" t="s">
        <v>1670</v>
      </c>
      <c r="C17" s="1244" t="str">
        <f>C5</f>
        <v>估价对象位于XX商圈，周边办公楼项目较多，入驻率高，办公集聚程度较好</v>
      </c>
      <c r="D17" s="2007"/>
      <c r="E17" s="2583"/>
      <c r="F17" s="1245" t="s">
        <v>1675</v>
      </c>
      <c r="G17" s="2791"/>
    </row>
    <row r="18" spans="1:7" ht="54">
      <c r="A18" s="2586"/>
      <c r="B18" s="1245" t="s">
        <v>1656</v>
      </c>
      <c r="C18" s="1003" t="str">
        <f>C6</f>
        <v>估价对象周边道路状况、公共交通通达情况、停车便捷程度，综合评价交通便捷度较好</v>
      </c>
      <c r="D18" s="2007"/>
      <c r="E18" s="2583"/>
      <c r="F18" s="1245" t="s">
        <v>1671</v>
      </c>
      <c r="G18" s="1003" t="str">
        <f>G7</f>
        <v>该园区内是否有污染型企业，绿化情况，卫生条件，整体环境状况判断</v>
      </c>
    </row>
    <row r="19" spans="1:7" ht="27">
      <c r="A19" s="2586"/>
      <c r="B19" s="1245" t="s">
        <v>1660</v>
      </c>
      <c r="C19" s="2791"/>
      <c r="D19" s="2006"/>
      <c r="E19" s="2583"/>
      <c r="F19" s="1229" t="s">
        <v>2546</v>
      </c>
      <c r="G19" s="1003" t="str">
        <f>G5</f>
        <v>估价对象所在区域公共配套设施齐备情况</v>
      </c>
    </row>
    <row r="20" spans="1:7" ht="40.5">
      <c r="A20" s="2586"/>
      <c r="B20" s="1245" t="s">
        <v>1661</v>
      </c>
      <c r="C20" s="1244" t="str">
        <f>C9</f>
        <v>区域自然环境：；人文环境；综合评价环境状况一般</v>
      </c>
      <c r="D20" s="2007"/>
      <c r="E20" s="2583"/>
      <c r="F20" s="1229" t="s">
        <v>2547</v>
      </c>
      <c r="G20" s="1003" t="str">
        <f>G6</f>
        <v>估价对象所在区域基础设施水平</v>
      </c>
    </row>
    <row r="21" spans="1:7" ht="27">
      <c r="A21" s="2586"/>
      <c r="B21" s="1229" t="s">
        <v>2546</v>
      </c>
      <c r="C21" s="1003" t="str">
        <f>C7</f>
        <v>估价对象所在区域公共配套设施齐备情况</v>
      </c>
      <c r="D21" s="2006"/>
      <c r="E21" s="2583"/>
      <c r="F21" s="1245" t="s">
        <v>1662</v>
      </c>
      <c r="G21" s="3085"/>
    </row>
    <row r="22" spans="1:7" ht="27">
      <c r="A22" s="2586"/>
      <c r="B22" s="1229" t="s">
        <v>2547</v>
      </c>
      <c r="C22" s="1003" t="str">
        <f>C8</f>
        <v>估价对象所在区域基础设施水平</v>
      </c>
      <c r="D22" s="2006"/>
      <c r="E22" s="2583"/>
      <c r="F22" s="1245" t="s">
        <v>1672</v>
      </c>
      <c r="G22" s="2791"/>
    </row>
    <row r="23" spans="1:7" ht="15" thickBot="1">
      <c r="A23" s="2586"/>
      <c r="B23" s="1245" t="s">
        <v>1662</v>
      </c>
      <c r="C23" s="3085"/>
      <c r="E23" s="2584"/>
      <c r="F23" s="1246" t="s">
        <v>1676</v>
      </c>
      <c r="G23" s="3086"/>
    </row>
    <row r="24" spans="1:7" ht="14.25" thickBot="1">
      <c r="A24" s="2587"/>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2843</v>
      </c>
      <c r="B1" s="3043">
        <f>SUM(B14:B23)</f>
        <v>180792</v>
      </c>
      <c r="C1" s="3044"/>
      <c r="D1" s="3044"/>
      <c r="E1" s="3044"/>
      <c r="F1" s="3044"/>
    </row>
    <row r="2" spans="1:9" ht="16.5">
      <c r="A2" s="3043" t="s">
        <v>2844</v>
      </c>
      <c r="B2" s="3043">
        <f>SUM(C14:C23)</f>
        <v>72846.2</v>
      </c>
      <c r="C2" s="3044"/>
      <c r="D2" s="3044"/>
      <c r="E2" s="3044"/>
      <c r="F2" s="3044"/>
    </row>
    <row r="3" spans="1:9" ht="16.5">
      <c r="A3" s="3043" t="s">
        <v>2845</v>
      </c>
      <c r="B3" s="3045">
        <f>项目基本情况!D3</f>
        <v>43346</v>
      </c>
      <c r="C3" s="3044"/>
      <c r="D3" s="3044"/>
      <c r="E3" s="3044"/>
      <c r="F3" s="3044"/>
    </row>
    <row r="4" spans="1:9" ht="33">
      <c r="A4" s="3043" t="s">
        <v>2846</v>
      </c>
      <c r="B4" s="3043" t="s">
        <v>2847</v>
      </c>
      <c r="C4" s="3043" t="s">
        <v>2848</v>
      </c>
      <c r="D4" s="3043" t="s">
        <v>2849</v>
      </c>
      <c r="E4" s="3044"/>
      <c r="F4" s="3044"/>
    </row>
    <row r="5" spans="1:9" ht="16.5">
      <c r="A5" s="3043" t="s">
        <v>2850</v>
      </c>
      <c r="B5" s="3043">
        <f ca="1">SUM(D14:D23)</f>
        <v>76775</v>
      </c>
      <c r="C5" s="3043">
        <f ca="1">ROUND(B5*10000/$B$1,0)</f>
        <v>4247</v>
      </c>
      <c r="D5" s="3043">
        <f ca="1">ROUND(B5*10000/$B$2,0)</f>
        <v>10539</v>
      </c>
      <c r="E5" s="3044"/>
      <c r="F5" s="3044"/>
    </row>
    <row r="6" spans="1:9" ht="16.5">
      <c r="A6" s="3043" t="s">
        <v>2851</v>
      </c>
      <c r="B6" s="3043">
        <f ca="1">SUM(G14:G23)</f>
        <v>76775</v>
      </c>
      <c r="C6" s="3043">
        <f t="shared" ref="C6:C8" ca="1" si="0">ROUND(B6*10000/$B$1,0)</f>
        <v>4247</v>
      </c>
      <c r="D6" s="3043">
        <f t="shared" ref="D6:D8" ca="1" si="1">ROUND(B6*10000/$B$2,0)</f>
        <v>10539</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180792</v>
      </c>
      <c r="C14" s="3047">
        <f>结果表!K38</f>
        <v>72846.2</v>
      </c>
      <c r="D14" s="3047">
        <f ca="1">结果表!C42</f>
        <v>76775</v>
      </c>
      <c r="E14" s="3047">
        <f ca="1">ROUND(D14*10000/B14,0)</f>
        <v>4247</v>
      </c>
      <c r="F14" s="3047">
        <f ca="1">ROUND(D14*10000/C14,0)</f>
        <v>10539</v>
      </c>
      <c r="G14" s="3047">
        <f ca="1">结果表!C44</f>
        <v>76775</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2" sqref="H2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2055</v>
      </c>
      <c r="B1" s="1774"/>
      <c r="C1" s="1802" t="s">
        <v>2056</v>
      </c>
      <c r="D1" s="1803" t="s">
        <v>3195</v>
      </c>
      <c r="E1" s="1802" t="s">
        <v>2057</v>
      </c>
      <c r="F1" s="1804" t="s">
        <v>3196</v>
      </c>
      <c r="G1" s="310"/>
      <c r="H1" s="310"/>
      <c r="I1" s="310"/>
      <c r="J1" s="2026"/>
      <c r="K1" s="2026"/>
      <c r="L1" s="2026"/>
      <c r="M1" s="2026"/>
      <c r="N1" s="2026"/>
      <c r="O1" s="2026"/>
      <c r="P1" s="2026"/>
      <c r="Q1" s="2026"/>
      <c r="R1" s="2026"/>
      <c r="S1" s="2026"/>
      <c r="T1" s="2026"/>
      <c r="U1" s="2026"/>
      <c r="V1" s="2026"/>
    </row>
    <row r="2" spans="1:22" ht="21.75" customHeight="1" thickBot="1">
      <c r="A2" s="3623" t="str">
        <f>项目基本情况!K2</f>
        <v>山东省青岛市高新区火炬路以北、规划中32号线以西370214005030GB00261号一宗住宅、商业用地出让国有建设用地使用权</v>
      </c>
      <c r="B2" s="3624"/>
      <c r="C2" s="3625"/>
      <c r="D2" s="3625"/>
      <c r="E2" s="3625"/>
      <c r="F2" s="3625"/>
      <c r="G2" s="3624"/>
      <c r="H2" s="3624"/>
      <c r="I2" s="3626"/>
      <c r="J2" s="2027"/>
      <c r="K2" s="2026"/>
      <c r="L2" s="2026"/>
      <c r="M2" s="2026"/>
      <c r="N2" s="2026"/>
      <c r="O2" s="2026"/>
      <c r="P2" s="2026"/>
      <c r="Q2" s="2026"/>
      <c r="R2" s="2026"/>
      <c r="S2" s="2026"/>
      <c r="T2" s="2026"/>
      <c r="U2" s="2026"/>
      <c r="V2" s="2026"/>
    </row>
    <row r="3" spans="1:22" ht="14.25">
      <c r="A3" s="3634" t="s">
        <v>298</v>
      </c>
      <c r="B3" s="3635"/>
      <c r="C3" s="3635"/>
      <c r="D3" s="3635"/>
      <c r="E3" s="3635"/>
      <c r="F3" s="3635"/>
      <c r="G3" s="3635"/>
      <c r="H3" s="3635"/>
      <c r="I3" s="3635"/>
      <c r="J3" s="2027"/>
      <c r="K3" s="2026"/>
      <c r="L3" s="2026"/>
      <c r="M3" s="2026"/>
      <c r="N3" s="2026"/>
      <c r="O3" s="2026"/>
      <c r="P3" s="2026"/>
      <c r="Q3" s="2026"/>
      <c r="R3" s="2026"/>
      <c r="S3" s="2026"/>
      <c r="T3" s="2026"/>
      <c r="U3" s="2026"/>
      <c r="V3" s="2026"/>
    </row>
    <row r="4" spans="1:22" ht="14.25">
      <c r="A4" s="257" t="s">
        <v>299</v>
      </c>
      <c r="B4" s="258" t="s">
        <v>300</v>
      </c>
      <c r="C4" s="259" t="s">
        <v>3193</v>
      </c>
      <c r="D4" s="259" t="s">
        <v>3194</v>
      </c>
      <c r="E4" s="3598" t="s">
        <v>301</v>
      </c>
      <c r="F4" s="3640"/>
      <c r="G4" s="3640"/>
      <c r="H4" s="3640"/>
      <c r="I4" s="3599"/>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627" t="s">
        <v>302</v>
      </c>
      <c r="B5" s="3628">
        <v>25</v>
      </c>
      <c r="C5" s="3636"/>
      <c r="D5" s="3639"/>
      <c r="E5" s="260" t="s">
        <v>303</v>
      </c>
      <c r="F5" s="261"/>
      <c r="G5" s="261"/>
      <c r="H5" s="261"/>
      <c r="I5" s="262"/>
      <c r="J5" s="2027"/>
      <c r="K5" s="2026"/>
      <c r="L5" s="2026"/>
      <c r="M5" s="2026"/>
      <c r="N5" s="2026"/>
      <c r="O5" s="2026"/>
      <c r="P5" s="2026"/>
      <c r="Q5" s="2026"/>
      <c r="R5" s="2026"/>
      <c r="S5" s="2026"/>
      <c r="T5" s="2026"/>
      <c r="U5" s="2026"/>
      <c r="V5" s="2026"/>
    </row>
    <row r="6" spans="1:22" ht="14.25">
      <c r="A6" s="3627"/>
      <c r="B6" s="3628"/>
      <c r="C6" s="3637"/>
      <c r="D6" s="3639"/>
      <c r="E6" s="260" t="s">
        <v>304</v>
      </c>
      <c r="F6" s="261"/>
      <c r="G6" s="261"/>
      <c r="H6" s="261"/>
      <c r="I6" s="262"/>
      <c r="J6" s="2027"/>
      <c r="K6" s="2026"/>
      <c r="L6" s="2026"/>
      <c r="M6" s="2026"/>
      <c r="N6" s="2026"/>
      <c r="O6" s="2026"/>
      <c r="P6" s="2026"/>
      <c r="Q6" s="2026"/>
      <c r="R6" s="2026"/>
      <c r="S6" s="2026"/>
      <c r="T6" s="2026"/>
      <c r="U6" s="2026"/>
      <c r="V6" s="2026"/>
    </row>
    <row r="7" spans="1:22" ht="14.25">
      <c r="A7" s="3627"/>
      <c r="B7" s="3628"/>
      <c r="C7" s="3638"/>
      <c r="D7" s="3639"/>
      <c r="E7" s="260" t="s">
        <v>305</v>
      </c>
      <c r="F7" s="261"/>
      <c r="G7" s="261"/>
      <c r="H7" s="261"/>
      <c r="I7" s="262"/>
      <c r="J7" s="2027"/>
      <c r="K7" s="2026"/>
      <c r="L7" s="2026"/>
      <c r="M7" s="2026"/>
      <c r="N7" s="2026"/>
      <c r="O7" s="2026"/>
      <c r="P7" s="2026"/>
      <c r="Q7" s="2026"/>
      <c r="R7" s="2026"/>
      <c r="S7" s="2026"/>
      <c r="T7" s="2026"/>
      <c r="U7" s="2026"/>
      <c r="V7" s="2026"/>
    </row>
    <row r="8" spans="1:22" ht="14.25">
      <c r="A8" s="3627" t="s">
        <v>306</v>
      </c>
      <c r="B8" s="3628">
        <v>15</v>
      </c>
      <c r="C8" s="3636"/>
      <c r="D8" s="3639"/>
      <c r="E8" s="260" t="s">
        <v>307</v>
      </c>
      <c r="F8" s="261"/>
      <c r="G8" s="261"/>
      <c r="H8" s="261"/>
      <c r="I8" s="262"/>
      <c r="J8" s="2027"/>
      <c r="K8" s="2026"/>
      <c r="L8" s="2026"/>
      <c r="M8" s="2026"/>
      <c r="N8" s="2026"/>
      <c r="O8" s="2026"/>
      <c r="P8" s="2026"/>
      <c r="Q8" s="2026"/>
      <c r="R8" s="2026"/>
      <c r="S8" s="2026"/>
      <c r="T8" s="2026"/>
      <c r="U8" s="2026"/>
      <c r="V8" s="2026"/>
    </row>
    <row r="9" spans="1:22" ht="14.25">
      <c r="A9" s="3627"/>
      <c r="B9" s="3628"/>
      <c r="C9" s="3638"/>
      <c r="D9" s="3639"/>
      <c r="E9" s="260" t="s">
        <v>308</v>
      </c>
      <c r="F9" s="261"/>
      <c r="G9" s="261"/>
      <c r="H9" s="261"/>
      <c r="I9" s="262"/>
      <c r="J9" s="2027"/>
      <c r="K9" s="2026"/>
      <c r="L9" s="2026"/>
      <c r="M9" s="2026"/>
      <c r="N9" s="2026"/>
      <c r="O9" s="2026"/>
      <c r="P9" s="2026"/>
      <c r="Q9" s="2026"/>
      <c r="R9" s="2026"/>
      <c r="S9" s="2026"/>
      <c r="T9" s="2026"/>
      <c r="U9" s="2026"/>
      <c r="V9" s="2026"/>
    </row>
    <row r="10" spans="1:22" ht="14.25">
      <c r="A10" s="3627" t="s">
        <v>309</v>
      </c>
      <c r="B10" s="3628">
        <v>15</v>
      </c>
      <c r="C10" s="3636"/>
      <c r="D10" s="3639"/>
      <c r="E10" s="260" t="s">
        <v>310</v>
      </c>
      <c r="F10" s="261"/>
      <c r="G10" s="261"/>
      <c r="H10" s="261"/>
      <c r="I10" s="262"/>
      <c r="J10" s="2027"/>
      <c r="K10" s="2026"/>
      <c r="L10" s="2026"/>
      <c r="M10" s="2026"/>
      <c r="N10" s="2026"/>
      <c r="O10" s="2026"/>
      <c r="P10" s="2026"/>
      <c r="Q10" s="2026"/>
      <c r="R10" s="2026"/>
      <c r="S10" s="2026"/>
      <c r="T10" s="2026"/>
      <c r="U10" s="2026"/>
      <c r="V10" s="2026"/>
    </row>
    <row r="11" spans="1:22" ht="14.25">
      <c r="A11" s="3627"/>
      <c r="B11" s="3628"/>
      <c r="C11" s="3638"/>
      <c r="D11" s="3639"/>
      <c r="E11" s="260" t="s">
        <v>311</v>
      </c>
      <c r="F11" s="261"/>
      <c r="G11" s="261"/>
      <c r="H11" s="261"/>
      <c r="I11" s="262"/>
      <c r="J11" s="2027"/>
      <c r="K11" s="2026"/>
      <c r="L11" s="2026"/>
      <c r="M11" s="2026"/>
      <c r="N11" s="2026"/>
      <c r="O11" s="2026"/>
      <c r="P11" s="2026"/>
      <c r="Q11" s="2026"/>
      <c r="R11" s="2026"/>
      <c r="S11" s="2026"/>
      <c r="T11" s="2026"/>
      <c r="U11" s="2026"/>
      <c r="V11" s="2026"/>
    </row>
    <row r="12" spans="1:22" ht="14.25">
      <c r="A12" s="3627" t="s">
        <v>312</v>
      </c>
      <c r="B12" s="3628">
        <v>15</v>
      </c>
      <c r="C12" s="3636"/>
      <c r="D12" s="3639"/>
      <c r="E12" s="260" t="s">
        <v>313</v>
      </c>
      <c r="F12" s="261"/>
      <c r="G12" s="261"/>
      <c r="H12" s="261"/>
      <c r="I12" s="262"/>
      <c r="J12" s="2027"/>
      <c r="K12" s="2026"/>
      <c r="L12" s="2026"/>
      <c r="M12" s="2026"/>
      <c r="N12" s="2026"/>
      <c r="O12" s="2026"/>
      <c r="P12" s="2026"/>
      <c r="Q12" s="2026"/>
      <c r="R12" s="2026"/>
      <c r="S12" s="2026"/>
      <c r="T12" s="2026"/>
      <c r="U12" s="2026"/>
      <c r="V12" s="2026"/>
    </row>
    <row r="13" spans="1:22" ht="14.25">
      <c r="A13" s="3627"/>
      <c r="B13" s="3628"/>
      <c r="C13" s="3638"/>
      <c r="D13" s="3639"/>
      <c r="E13" s="260" t="s">
        <v>314</v>
      </c>
      <c r="F13" s="261"/>
      <c r="G13" s="261"/>
      <c r="H13" s="261"/>
      <c r="I13" s="262"/>
      <c r="J13" s="2027"/>
      <c r="K13" s="2026"/>
      <c r="L13" s="2026"/>
      <c r="M13" s="2026"/>
      <c r="N13" s="2026"/>
      <c r="O13" s="2026"/>
      <c r="P13" s="2026"/>
      <c r="Q13" s="2026"/>
      <c r="R13" s="2026"/>
      <c r="S13" s="2026"/>
      <c r="T13" s="2026"/>
      <c r="U13" s="2026"/>
      <c r="V13" s="2026"/>
    </row>
    <row r="14" spans="1:22" ht="14.25">
      <c r="A14" s="3627" t="s">
        <v>315</v>
      </c>
      <c r="B14" s="3628">
        <v>30</v>
      </c>
      <c r="C14" s="3636">
        <v>5</v>
      </c>
      <c r="D14" s="3639">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627"/>
      <c r="B15" s="3628"/>
      <c r="C15" s="3637"/>
      <c r="D15" s="3639"/>
      <c r="E15" s="260" t="s">
        <v>317</v>
      </c>
      <c r="F15" s="261"/>
      <c r="G15" s="261"/>
      <c r="H15" s="261"/>
      <c r="I15" s="262"/>
      <c r="J15" s="2027"/>
      <c r="K15" s="2026"/>
      <c r="L15" s="2026"/>
      <c r="M15" s="2026"/>
      <c r="N15" s="2026"/>
      <c r="O15" s="2026"/>
      <c r="P15" s="2026"/>
      <c r="Q15" s="2026"/>
      <c r="R15" s="2026"/>
      <c r="S15" s="2026"/>
      <c r="T15" s="2026"/>
      <c r="U15" s="2026"/>
      <c r="V15" s="2026"/>
    </row>
    <row r="16" spans="1:22" ht="14.25">
      <c r="A16" s="3627"/>
      <c r="B16" s="3628"/>
      <c r="C16" s="3638"/>
      <c r="D16" s="3639"/>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72829</v>
      </c>
      <c r="D19" s="270">
        <f ca="1">SUMIF(INDIRECT("'"&amp;D4&amp;"'"&amp;"!A:A"),结果表!B19,INDIRECT("'"&amp;D4&amp;"'"&amp;"!B:B"))</f>
        <v>80720</v>
      </c>
      <c r="E19" s="267" t="s">
        <v>323</v>
      </c>
      <c r="F19" s="268" t="s">
        <v>322</v>
      </c>
      <c r="G19" s="271">
        <f ca="1">ROUND(C19*$C$18+D19*$D$18,0)</f>
        <v>76775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4028</v>
      </c>
      <c r="D20" s="276">
        <f ca="1">SUMIF(INDIRECT("'"&amp;D4&amp;"'"&amp;"!A:A"),结果表!B20,INDIRECT("'"&amp;D4&amp;"'"&amp;"!B:B"))</f>
        <v>4465</v>
      </c>
      <c r="E20" s="273"/>
      <c r="F20" s="274" t="s">
        <v>325</v>
      </c>
      <c r="G20" s="277">
        <f ca="1">ROUND(C20*$C$18+D20*$D$18,0)</f>
        <v>4247</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9998</v>
      </c>
      <c r="D21" s="151">
        <f ca="1">SUMIF(INDIRECT("'"&amp;D4&amp;"'"&amp;"!A:A"),结果表!B21,INDIRECT("'"&amp;D4&amp;"'"&amp;"!B:B"))</f>
        <v>11081</v>
      </c>
      <c r="E21" s="273"/>
      <c r="F21" s="279" t="s">
        <v>327</v>
      </c>
      <c r="G21" s="281">
        <f ca="1">ROUND(C21*$C$18+D21*$D$18,0)</f>
        <v>10540</v>
      </c>
      <c r="H21" s="1249" t="s">
        <v>326</v>
      </c>
      <c r="I21" s="310"/>
      <c r="J21" s="2026"/>
      <c r="K21" s="2026"/>
      <c r="L21" s="2026"/>
      <c r="M21" s="2026"/>
      <c r="N21" s="2026"/>
      <c r="O21" s="2026"/>
      <c r="P21" s="2026"/>
      <c r="Q21" s="2026"/>
      <c r="R21" s="2026"/>
      <c r="S21" s="2026"/>
      <c r="T21" s="2026"/>
      <c r="U21" s="2026"/>
      <c r="V21" s="2026"/>
    </row>
    <row r="22" spans="1:26" ht="15.75" thickBot="1">
      <c r="A22" s="126" t="s">
        <v>328</v>
      </c>
      <c r="B22" s="1250"/>
      <c r="C22" s="1251"/>
      <c r="D22" s="282">
        <f ca="1">IF(C19&lt;D19,D19/C19-1,C19/D19-1)</f>
        <v>0.10834969586291177</v>
      </c>
      <c r="E22" s="283"/>
      <c r="F22" s="284"/>
      <c r="G22" s="285">
        <f ca="1">ROUND(G19/('数据-汇总表'!D3/666.67),0)</f>
        <v>703</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60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642"/>
      <c r="B25" s="1319" t="s">
        <v>331</v>
      </c>
      <c r="C25" s="289">
        <f>IF(B30=0,0,C30)</f>
        <v>0</v>
      </c>
      <c r="D25" s="290"/>
      <c r="E25" s="310"/>
      <c r="F25" s="310"/>
      <c r="G25" s="310"/>
      <c r="H25" s="310"/>
      <c r="I25" s="310"/>
      <c r="J25" s="2026"/>
      <c r="K25" s="1253" t="str">
        <f ca="1">项目基本情况!B16&amp;"国有建设用地使用权价格："&amp;O38&amp;"万元"</f>
        <v>出让国有建设用地使用权价格：76775万元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大写金额：人民币柒亿陆仟柒佰柒拾伍万元整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单位面积地价：10539元/平方米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楼面地价：4247元/平方米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抵押价格：76775万元</v>
      </c>
      <c r="L29" s="1250"/>
      <c r="M29" s="1250"/>
      <c r="N29" s="1250"/>
      <c r="O29" s="1249"/>
      <c r="P29" s="2026"/>
      <c r="V29" s="2026"/>
    </row>
    <row r="30" spans="1:26" ht="18.75" thickBot="1">
      <c r="A30" s="3128" t="s">
        <v>336</v>
      </c>
      <c r="B30" s="308"/>
      <c r="C30" s="308"/>
      <c r="D30" s="309"/>
      <c r="E30" s="3129" t="s">
        <v>2969</v>
      </c>
      <c r="F30" s="310"/>
      <c r="G30" s="310"/>
      <c r="H30" s="310"/>
      <c r="I30" s="310"/>
      <c r="J30" s="2026"/>
      <c r="K30" s="1256" t="str">
        <f ca="1">IF(K29="——","——","大写金额：人民币"&amp;NUMBERSTRING(INT(O39*10000),2)&amp;"元整")</f>
        <v>大写金额：人民币柒亿陆仟柒佰柒拾伍万元整</v>
      </c>
      <c r="L30" s="1250"/>
      <c r="M30" s="1250"/>
      <c r="N30" s="1250"/>
      <c r="O30" s="1249"/>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78" t="s">
        <v>1689</v>
      </c>
      <c r="C32" s="1379">
        <f ca="1">G19-C24</f>
        <v>76775</v>
      </c>
      <c r="D32" s="1380" t="s">
        <v>1690</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1" t="s">
        <v>1691</v>
      </c>
      <c r="C33" s="263">
        <f ca="1">ROUND(C32*10000/'数据-汇总表'!E3,0)</f>
        <v>4247</v>
      </c>
      <c r="D33" s="1382" t="s">
        <v>1692</v>
      </c>
      <c r="E33" s="3600" t="s">
        <v>338</v>
      </c>
      <c r="F33" s="295" t="s">
        <v>339</v>
      </c>
      <c r="G33" s="296"/>
      <c r="H33" s="978"/>
      <c r="I33" s="1257"/>
      <c r="J33" s="2026"/>
      <c r="K33" s="1256" t="str">
        <f>IF(项目基本情况!E9="——","——","抵押净值："&amp;C46&amp;"万元")</f>
        <v>抵押净值：——万元</v>
      </c>
      <c r="L33" s="1250"/>
      <c r="M33" s="1250"/>
      <c r="N33" s="1250"/>
      <c r="O33" s="1249"/>
      <c r="P33" s="2026"/>
      <c r="V33" s="2026"/>
    </row>
    <row r="34" spans="1:26" s="1252" customFormat="1" ht="18.75" thickBot="1">
      <c r="A34" s="299"/>
      <c r="B34" s="1383" t="s">
        <v>1693</v>
      </c>
      <c r="C34" s="263">
        <f ca="1">ROUND(C32*10000/'数据-汇总表'!D3,0)</f>
        <v>10539</v>
      </c>
      <c r="D34" s="1384" t="s">
        <v>1692</v>
      </c>
      <c r="E34" s="3601"/>
      <c r="F34" s="127" t="s">
        <v>341</v>
      </c>
      <c r="G34" s="298"/>
      <c r="H34" s="105"/>
      <c r="I34" s="310"/>
      <c r="J34" s="2026"/>
      <c r="K34" s="1259" t="e">
        <f>IF(K33="——","——","大写金额：人民币"&amp;NUMBERSTRING(INT(O41*10000),2)&amp;"元整")</f>
        <v>#VALUE!</v>
      </c>
      <c r="L34" s="1260"/>
      <c r="M34" s="1260"/>
      <c r="N34" s="1260"/>
      <c r="O34" s="1261"/>
      <c r="P34" s="2026"/>
      <c r="Q34" s="291"/>
      <c r="R34" s="291"/>
      <c r="S34" s="291"/>
      <c r="T34" s="291"/>
      <c r="U34" s="291"/>
      <c r="V34" s="2026"/>
      <c r="W34" s="291"/>
      <c r="X34" s="291"/>
      <c r="Y34" s="291"/>
      <c r="Z34" s="291"/>
    </row>
    <row r="35" spans="1:26" ht="15.75" thickBot="1">
      <c r="A35" s="283"/>
      <c r="B35" s="1385"/>
      <c r="C35" s="1386">
        <f ca="1">ROUND(C32/('数据-汇总表'!D3/666.67),0)</f>
        <v>703</v>
      </c>
      <c r="D35" s="1387" t="s">
        <v>1694</v>
      </c>
      <c r="E35" s="3602"/>
      <c r="F35" s="300" t="s">
        <v>342</v>
      </c>
      <c r="G35" s="980"/>
      <c r="H35" s="979" t="s">
        <v>343</v>
      </c>
      <c r="I35" s="310"/>
      <c r="J35" s="2026"/>
      <c r="K35" s="3606" t="s">
        <v>350</v>
      </c>
      <c r="L35" s="3606" t="s">
        <v>351</v>
      </c>
      <c r="M35" s="1262" t="s">
        <v>352</v>
      </c>
      <c r="N35" s="3606" t="s">
        <v>353</v>
      </c>
      <c r="O35" s="3606" t="s">
        <v>354</v>
      </c>
      <c r="P35" s="2026"/>
      <c r="V35" s="2026"/>
    </row>
    <row r="36" spans="1:26" ht="16.5" customHeight="1">
      <c r="A36" s="302" t="s">
        <v>344</v>
      </c>
      <c r="B36" s="303" t="s">
        <v>333</v>
      </c>
      <c r="C36" s="304" t="s">
        <v>345</v>
      </c>
      <c r="D36" s="304" t="s">
        <v>346</v>
      </c>
      <c r="E36" s="305" t="s">
        <v>347</v>
      </c>
      <c r="F36" s="310"/>
      <c r="G36" s="310"/>
      <c r="H36" s="310"/>
      <c r="I36" s="310"/>
      <c r="J36" s="2028"/>
      <c r="K36" s="3607"/>
      <c r="L36" s="3607"/>
      <c r="M36" s="1264" t="s">
        <v>355</v>
      </c>
      <c r="N36" s="3607"/>
      <c r="O36" s="3607"/>
      <c r="P36" s="2026"/>
      <c r="V36" s="2026"/>
    </row>
    <row r="37" spans="1:26" ht="16.5" customHeight="1" thickBot="1">
      <c r="A37" s="1258" t="s">
        <v>348</v>
      </c>
      <c r="B37" s="306"/>
      <c r="C37" s="293"/>
      <c r="D37" s="293"/>
      <c r="E37" s="294"/>
      <c r="F37" s="310"/>
      <c r="G37" s="310"/>
      <c r="H37" s="310"/>
      <c r="I37" s="310"/>
      <c r="J37" s="2028"/>
      <c r="K37" s="3608"/>
      <c r="L37" s="3608"/>
      <c r="M37" s="1265"/>
      <c r="N37" s="3608"/>
      <c r="O37" s="3608"/>
      <c r="P37" s="2026"/>
      <c r="V37" s="2026"/>
    </row>
    <row r="38" spans="1:26" ht="16.5" customHeight="1" thickBot="1">
      <c r="A38" s="1258" t="s">
        <v>349</v>
      </c>
      <c r="B38" s="306"/>
      <c r="C38" s="293"/>
      <c r="D38" s="293"/>
      <c r="E38" s="294"/>
      <c r="F38" s="310"/>
      <c r="G38" s="310"/>
      <c r="H38" s="310"/>
      <c r="I38" s="310"/>
      <c r="J38" s="2028"/>
      <c r="K38" s="1266">
        <f>'数据-汇总表'!D3</f>
        <v>72846.2</v>
      </c>
      <c r="L38" s="1267">
        <f>'数据-汇总表'!E3</f>
        <v>180792</v>
      </c>
      <c r="M38" s="1267">
        <f ca="1">C34</f>
        <v>10539</v>
      </c>
      <c r="N38" s="1267">
        <f ca="1">C33</f>
        <v>4247</v>
      </c>
      <c r="O38" s="1268">
        <f ca="1">C32</f>
        <v>76775</v>
      </c>
      <c r="P38" s="2026"/>
      <c r="V38" s="2026"/>
    </row>
    <row r="39" spans="1:26" ht="16.5" customHeight="1" thickBot="1">
      <c r="A39" s="1263"/>
      <c r="B39" s="307"/>
      <c r="C39" s="308"/>
      <c r="D39" s="308"/>
      <c r="E39" s="309"/>
      <c r="F39" s="310"/>
      <c r="G39" s="310"/>
      <c r="H39" s="310"/>
      <c r="I39" s="310"/>
      <c r="J39" s="2028"/>
      <c r="K39" s="3583" t="str">
        <f>MID(A44,3,LEN(A44)-2)</f>
        <v>抵押价格</v>
      </c>
      <c r="L39" s="3584"/>
      <c r="M39" s="3584"/>
      <c r="N39" s="3585"/>
      <c r="O39" s="1389">
        <f ca="1">C44</f>
        <v>76775</v>
      </c>
      <c r="P39" s="2026"/>
      <c r="V39" s="2026"/>
    </row>
    <row r="40" spans="1:26" ht="19.5" thickBot="1">
      <c r="A40" s="104" t="s">
        <v>873</v>
      </c>
      <c r="B40" s="310"/>
      <c r="C40" s="310"/>
      <c r="D40" s="310"/>
      <c r="E40" s="310"/>
      <c r="F40" s="310"/>
      <c r="G40" s="310"/>
      <c r="H40" s="310"/>
      <c r="I40" s="310"/>
      <c r="J40" s="2028"/>
      <c r="K40" s="3583" t="str">
        <f t="shared" ref="K40:K41" si="0">MID(A45,3,LEN(A45)-2)</f>
        <v/>
      </c>
      <c r="L40" s="3584"/>
      <c r="M40" s="3584"/>
      <c r="N40" s="3585"/>
      <c r="O40" s="1389" t="str">
        <f>C45</f>
        <v>——</v>
      </c>
      <c r="P40" s="2026"/>
      <c r="V40" s="2026"/>
    </row>
    <row r="41" spans="1:26" ht="16.5" thickBot="1">
      <c r="A41" s="311" t="s">
        <v>356</v>
      </c>
      <c r="B41" s="312"/>
      <c r="C41" s="313" t="s">
        <v>357</v>
      </c>
      <c r="D41" s="314" t="s">
        <v>358</v>
      </c>
      <c r="E41" s="314" t="s">
        <v>359</v>
      </c>
      <c r="F41" s="315" t="s">
        <v>360</v>
      </c>
      <c r="G41" s="310"/>
      <c r="H41" s="310"/>
      <c r="I41" s="310"/>
      <c r="J41" s="2028"/>
      <c r="K41" s="3583" t="str">
        <f t="shared" si="0"/>
        <v/>
      </c>
      <c r="L41" s="3584"/>
      <c r="M41" s="3584"/>
      <c r="N41" s="3585"/>
      <c r="O41" s="1389" t="str">
        <f>C46</f>
        <v>——</v>
      </c>
      <c r="P41" s="2026"/>
      <c r="V41" s="2026"/>
    </row>
    <row r="42" spans="1:26" ht="29.25">
      <c r="A42" s="3643" t="s">
        <v>2067</v>
      </c>
      <c r="B42" s="3644"/>
      <c r="C42" s="263">
        <f ca="1">C32</f>
        <v>76775</v>
      </c>
      <c r="D42" s="316">
        <f ca="1">C33</f>
        <v>4247</v>
      </c>
      <c r="E42" s="316">
        <f ca="1">C34</f>
        <v>10539</v>
      </c>
      <c r="F42" s="317">
        <f ca="1">C35</f>
        <v>703</v>
      </c>
      <c r="G42" s="310"/>
      <c r="H42" s="310"/>
      <c r="I42" s="318"/>
      <c r="J42" s="2028"/>
      <c r="K42" s="1269" t="s">
        <v>361</v>
      </c>
      <c r="L42" s="2045" t="s">
        <v>362</v>
      </c>
      <c r="M42" s="1270" t="s">
        <v>363</v>
      </c>
      <c r="N42" s="2046" t="s">
        <v>364</v>
      </c>
      <c r="O42" s="2047" t="s">
        <v>365</v>
      </c>
      <c r="P42" s="2026"/>
      <c r="V42" s="2026"/>
    </row>
    <row r="43" spans="1:26" ht="30">
      <c r="A43" s="3653" t="s">
        <v>2729</v>
      </c>
      <c r="B43" s="3654"/>
      <c r="C43" s="263">
        <f>IF(H33="正常操作",G33+G34+G35,G34+G35)</f>
        <v>0</v>
      </c>
      <c r="D43" s="316" t="s">
        <v>43</v>
      </c>
      <c r="E43" s="316" t="s">
        <v>44</v>
      </c>
      <c r="F43" s="317" t="s">
        <v>44</v>
      </c>
      <c r="G43" s="2864" t="s">
        <v>952</v>
      </c>
      <c r="H43" s="310"/>
      <c r="I43" s="318"/>
      <c r="J43" s="2028"/>
      <c r="K43" s="1271" t="str">
        <f>C4</f>
        <v>比较法-住宅、综合</v>
      </c>
      <c r="L43" s="1272">
        <f ca="1">IF(L42="估价结果/万元",C19,C20)</f>
        <v>72829</v>
      </c>
      <c r="M43" s="1273">
        <f>C18</f>
        <v>0.5</v>
      </c>
      <c r="N43" s="1274">
        <f ca="1">IF(N42="测算结果/万元",G19,G20)</f>
        <v>76775</v>
      </c>
      <c r="O43" s="1275">
        <f ca="1">IF(O42="最终结果/万元",C32,C33)</f>
        <v>76775</v>
      </c>
      <c r="P43" s="2026"/>
      <c r="V43" s="2026"/>
    </row>
    <row r="44" spans="1:26" ht="30.75" thickBot="1">
      <c r="A44" s="3643" t="str">
        <f>IF(OR(项目基本情况!E8="抵押价格",项目基本情况!E8="已注销及未注销"),"3.抵押价格","——")</f>
        <v>3.抵押价格</v>
      </c>
      <c r="B44" s="3644"/>
      <c r="C44" s="263">
        <f ca="1">IF(A44="——","——",C42-C43)</f>
        <v>76775</v>
      </c>
      <c r="D44" s="316">
        <f ca="1">ROUND(C44*10000/'数据-汇总表'!E3,0)</f>
        <v>4247</v>
      </c>
      <c r="E44" s="316">
        <f ca="1">ROUND(C44*10000/'数据-汇总表'!D3,0)</f>
        <v>10539</v>
      </c>
      <c r="F44" s="317">
        <f ca="1">ROUND(C44/('数据-汇总表'!D3/666.67),0)</f>
        <v>703</v>
      </c>
      <c r="G44" s="310"/>
      <c r="H44" s="310"/>
      <c r="I44" s="318"/>
      <c r="J44" s="2028"/>
      <c r="K44" s="1276" t="str">
        <f>D4</f>
        <v>剩余法-待开发</v>
      </c>
      <c r="L44" s="1277">
        <f ca="1">IF(L42="估价结果/万元",D19,D20)</f>
        <v>80720</v>
      </c>
      <c r="M44" s="1278">
        <f>D18</f>
        <v>0.5</v>
      </c>
      <c r="N44" s="1279"/>
      <c r="O44" s="1280"/>
      <c r="P44" s="2026"/>
      <c r="V44" s="2026"/>
    </row>
    <row r="45" spans="1:26" ht="15">
      <c r="A45" s="3648" t="str">
        <f>IF(项目基本情况!E8="已注销及未注销","4.抵押担保权已注销时的抵押价格",IF(项目基本情况!E8="已注销","3.抵押担保权已注销时的抵押价格","——"))</f>
        <v>——</v>
      </c>
      <c r="B45" s="3649"/>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645" t="str">
        <f>IF(项目基本情况!E9="抵押净值",IF(A45="——","4.抵押净值","5.抵押净值"),"——")</f>
        <v>——</v>
      </c>
      <c r="B46" s="3646"/>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611" t="s">
        <v>374</v>
      </c>
      <c r="B63" s="3612"/>
      <c r="C63" s="3613"/>
      <c r="D63" s="340">
        <f ca="1">ROUND(C42*F63,0)</f>
        <v>76775</v>
      </c>
      <c r="E63" s="301" t="s">
        <v>375</v>
      </c>
      <c r="F63" s="341">
        <v>1</v>
      </c>
      <c r="G63" s="342" t="s">
        <v>376</v>
      </c>
      <c r="H63" s="310"/>
      <c r="I63" s="310"/>
      <c r="J63" s="2026"/>
      <c r="K63" s="2026"/>
      <c r="L63" s="2026"/>
      <c r="M63" s="2026"/>
      <c r="N63" s="2026"/>
      <c r="O63" s="2026"/>
      <c r="P63" s="310"/>
      <c r="Q63" s="2026"/>
      <c r="R63" s="2026"/>
      <c r="S63" s="2026"/>
      <c r="T63" s="2026"/>
      <c r="U63" s="2026"/>
      <c r="V63" s="2026"/>
    </row>
    <row r="64" spans="1:22" ht="14.25" customHeight="1">
      <c r="A64" s="3650" t="s">
        <v>378</v>
      </c>
      <c r="B64" s="3651"/>
      <c r="C64" s="3651"/>
      <c r="D64" s="3651"/>
      <c r="E64" s="3651"/>
      <c r="F64" s="3651"/>
      <c r="G64" s="3652"/>
      <c r="H64" s="1286"/>
      <c r="I64" s="946"/>
      <c r="J64" s="1988"/>
      <c r="K64" s="1558"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647" t="s">
        <v>386</v>
      </c>
      <c r="B66" s="3618"/>
      <c r="C66" s="3618"/>
      <c r="D66" s="260">
        <f ca="1">IF(H66="情况1",0,IF(H66="情况2",D70,IF(H66="情况3",D71,IF(H66="情况4",D72))))</f>
        <v>4095</v>
      </c>
      <c r="E66" s="991" t="str">
        <f>IF(H66="情况4","(销售额-原购置价)×税（费）率","销售额×税（费）率")</f>
        <v>销售额×税（费）率</v>
      </c>
      <c r="F66" s="349">
        <f>IF(H66="情况1","免征",'数据-取费表'!B41)</f>
        <v>5.6000000000000001E-2</v>
      </c>
      <c r="G66" s="350" t="s">
        <v>387</v>
      </c>
      <c r="H66" s="191" t="s">
        <v>388</v>
      </c>
      <c r="I66" s="1286"/>
      <c r="J66" s="2032"/>
      <c r="K66" s="1289">
        <v>1</v>
      </c>
      <c r="L66" s="3587" t="s">
        <v>385</v>
      </c>
      <c r="M66" s="3588"/>
      <c r="N66" s="2456"/>
      <c r="O66" s="2457"/>
      <c r="P66" s="2458"/>
      <c r="Q66" s="2026"/>
      <c r="R66" s="2026"/>
      <c r="S66" s="2026"/>
      <c r="T66" s="2026"/>
      <c r="U66" s="2026"/>
      <c r="V66" s="2026"/>
    </row>
    <row r="67" spans="1:22" ht="25.5" customHeight="1">
      <c r="A67" s="351" t="s">
        <v>390</v>
      </c>
      <c r="B67" s="3630" t="s">
        <v>391</v>
      </c>
      <c r="C67" s="3630"/>
      <c r="D67" s="352">
        <v>0</v>
      </c>
      <c r="E67" s="41" t="s">
        <v>392</v>
      </c>
      <c r="F67" s="62" t="s">
        <v>21</v>
      </c>
      <c r="G67" s="3614"/>
      <c r="H67" s="310"/>
      <c r="I67" s="1290"/>
      <c r="J67" s="2033"/>
      <c r="K67" s="1974">
        <v>2</v>
      </c>
      <c r="L67" s="3586" t="s">
        <v>389</v>
      </c>
      <c r="M67" s="3586"/>
      <c r="N67" s="1323">
        <f>'数据-取费表'!B2</f>
        <v>43346</v>
      </c>
      <c r="O67" s="1323"/>
      <c r="P67" s="1323"/>
      <c r="Q67" s="2026"/>
      <c r="R67" s="2026"/>
      <c r="S67" s="2026"/>
      <c r="T67" s="2026"/>
      <c r="U67" s="2026"/>
      <c r="V67" s="2026"/>
    </row>
    <row r="68" spans="1:22" ht="25.5" customHeight="1">
      <c r="A68" s="353"/>
      <c r="B68" s="3630" t="s">
        <v>394</v>
      </c>
      <c r="C68" s="3630"/>
      <c r="D68" s="354"/>
      <c r="E68" s="77"/>
      <c r="F68" s="355"/>
      <c r="G68" s="3615"/>
      <c r="H68" s="310"/>
      <c r="I68" s="1290"/>
      <c r="J68" s="2033"/>
      <c r="K68" s="1974">
        <v>3</v>
      </c>
      <c r="L68" s="3586" t="s">
        <v>393</v>
      </c>
      <c r="M68" s="3586"/>
      <c r="N68" s="1291">
        <f ca="1">C42</f>
        <v>76775</v>
      </c>
      <c r="O68" s="1291"/>
      <c r="P68" s="1291"/>
      <c r="Q68" s="2026"/>
      <c r="R68" s="2026"/>
      <c r="S68" s="2026"/>
      <c r="T68" s="2026"/>
      <c r="U68" s="2026"/>
      <c r="V68" s="2026"/>
    </row>
    <row r="69" spans="1:22" ht="12" customHeight="1">
      <c r="A69" s="356"/>
      <c r="B69" s="3630" t="s">
        <v>395</v>
      </c>
      <c r="C69" s="3630"/>
      <c r="D69" s="357"/>
      <c r="E69" s="73"/>
      <c r="F69" s="355"/>
      <c r="G69" s="3616"/>
      <c r="H69" s="310"/>
      <c r="I69" s="1290"/>
      <c r="J69" s="2033"/>
      <c r="K69" s="1292">
        <v>4</v>
      </c>
      <c r="L69" s="3592" t="s">
        <v>2882</v>
      </c>
      <c r="M69" s="3593"/>
      <c r="N69" s="1293">
        <f ca="1">C44</f>
        <v>76775</v>
      </c>
      <c r="O69" s="1293"/>
      <c r="P69" s="1293"/>
      <c r="Q69" s="2026"/>
      <c r="R69" s="2026"/>
      <c r="S69" s="2026"/>
      <c r="T69" s="2026"/>
      <c r="U69" s="2026"/>
      <c r="V69" s="2026"/>
    </row>
    <row r="70" spans="1:22" ht="24" customHeight="1">
      <c r="A70" s="358" t="s">
        <v>396</v>
      </c>
      <c r="B70" s="3630" t="s">
        <v>397</v>
      </c>
      <c r="C70" s="3630"/>
      <c r="D70" s="357">
        <f ca="1">ROUND(D63*'数据-取费表'!B41/(1+'数据-取费表'!C42),0)</f>
        <v>4095</v>
      </c>
      <c r="E70" s="17" t="s">
        <v>398</v>
      </c>
      <c r="F70" s="359">
        <f>'数据-取费表'!B41</f>
        <v>5.6000000000000001E-2</v>
      </c>
      <c r="G70" s="360"/>
      <c r="H70" s="310"/>
      <c r="I70" s="1290"/>
      <c r="J70" s="2033"/>
      <c r="K70" s="3060"/>
      <c r="L70" s="3061"/>
      <c r="M70" s="3061"/>
      <c r="N70" s="3062" t="s">
        <v>2887</v>
      </c>
      <c r="O70" s="3061"/>
      <c r="P70" s="3063"/>
      <c r="Q70" s="2026"/>
      <c r="R70" s="2026"/>
      <c r="S70" s="2026"/>
      <c r="T70" s="2026"/>
      <c r="U70" s="2026"/>
      <c r="V70" s="2026"/>
    </row>
    <row r="71" spans="1:22" ht="12" customHeight="1">
      <c r="A71" s="358" t="s">
        <v>404</v>
      </c>
      <c r="B71" s="3629" t="s">
        <v>405</v>
      </c>
      <c r="C71" s="3641"/>
      <c r="D71" s="357">
        <f ca="1">ROUND(D63*'数据-取费表'!B41/(1+'数据-取费表'!C42),0)</f>
        <v>4095</v>
      </c>
      <c r="E71" s="17" t="s">
        <v>398</v>
      </c>
      <c r="F71" s="359">
        <f>'数据-取费表'!B41</f>
        <v>5.6000000000000001E-2</v>
      </c>
      <c r="G71" s="360"/>
      <c r="H71" s="310"/>
      <c r="I71" s="1290"/>
      <c r="J71" s="2033"/>
      <c r="K71" s="3059" t="s">
        <v>399</v>
      </c>
      <c r="L71" s="3594" t="s">
        <v>400</v>
      </c>
      <c r="M71" s="3594"/>
      <c r="N71" s="3059" t="s">
        <v>401</v>
      </c>
      <c r="O71" s="3059" t="s">
        <v>402</v>
      </c>
      <c r="P71" s="3059" t="s">
        <v>403</v>
      </c>
      <c r="Q71" s="2026"/>
      <c r="R71" s="2026"/>
      <c r="S71" s="2026"/>
      <c r="T71" s="2026"/>
      <c r="U71" s="2026"/>
      <c r="V71" s="2026"/>
    </row>
    <row r="72" spans="1:22" ht="12" customHeight="1">
      <c r="A72" s="358" t="s">
        <v>407</v>
      </c>
      <c r="B72" s="3629" t="s">
        <v>408</v>
      </c>
      <c r="C72" s="3641"/>
      <c r="D72" s="357">
        <f ca="1">C86</f>
        <v>3983</v>
      </c>
      <c r="E72" s="73" t="s">
        <v>409</v>
      </c>
      <c r="F72" s="359">
        <f>'数据-取费表'!B41</f>
        <v>5.6000000000000001E-2</v>
      </c>
      <c r="G72" s="360"/>
      <c r="H72" s="1296"/>
      <c r="I72" s="1290"/>
      <c r="J72" s="2033"/>
      <c r="K72" s="1974">
        <v>1</v>
      </c>
      <c r="L72" s="3591" t="s">
        <v>406</v>
      </c>
      <c r="M72" s="3591"/>
      <c r="N72" s="1294">
        <f ca="1">D66</f>
        <v>4095</v>
      </c>
      <c r="O72" s="1857" t="str">
        <f>E66</f>
        <v>销售额×税（费）率</v>
      </c>
      <c r="P72" s="1295">
        <f>F66</f>
        <v>5.6000000000000001E-2</v>
      </c>
      <c r="Q72" s="2026"/>
      <c r="R72" s="2026"/>
      <c r="S72" s="2026"/>
      <c r="T72" s="2026"/>
      <c r="U72" s="2026"/>
      <c r="V72" s="2026"/>
    </row>
    <row r="73" spans="1:22" ht="24" customHeight="1">
      <c r="A73" s="3617" t="s">
        <v>411</v>
      </c>
      <c r="B73" s="3618"/>
      <c r="C73" s="3618"/>
      <c r="D73" s="361">
        <f>IF(H73="个人住宅",0,ROUND(D63*I73,0))</f>
        <v>0</v>
      </c>
      <c r="E73" s="17" t="s">
        <v>412</v>
      </c>
      <c r="F73" s="359" t="str">
        <f>IF(H73="正常",I73,"免征")</f>
        <v>免征</v>
      </c>
      <c r="G73" s="360"/>
      <c r="H73" s="191" t="s">
        <v>2455</v>
      </c>
      <c r="I73" s="359">
        <f>'数据-取费表'!B49</f>
        <v>5.0000000000000001E-4</v>
      </c>
      <c r="J73" s="2033"/>
      <c r="K73" s="1974">
        <v>2</v>
      </c>
      <c r="L73" s="3591" t="s">
        <v>410</v>
      </c>
      <c r="M73" s="3591"/>
      <c r="N73" s="1294">
        <f t="shared" ref="N73:P74" si="1">D73</f>
        <v>0</v>
      </c>
      <c r="O73" s="1857" t="str">
        <f t="shared" si="1"/>
        <v>销售额×税（费）率</v>
      </c>
      <c r="P73" s="1295" t="str">
        <f t="shared" si="1"/>
        <v>免征</v>
      </c>
      <c r="Q73" s="2026"/>
      <c r="R73" s="2026"/>
      <c r="S73" s="2026"/>
      <c r="T73" s="2026"/>
      <c r="U73" s="2026"/>
      <c r="V73" s="2026"/>
    </row>
    <row r="74" spans="1:22" ht="24.75">
      <c r="A74" s="3617" t="s">
        <v>415</v>
      </c>
      <c r="B74" s="3618"/>
      <c r="C74" s="3618"/>
      <c r="D74" s="361">
        <f ca="1">IF(H74="个人住宅",D75,D76)</f>
        <v>42794</v>
      </c>
      <c r="E74" s="17" t="s">
        <v>416</v>
      </c>
      <c r="F74" s="359" t="str">
        <f>IF(H74="正常",F76,"免征")</f>
        <v>——</v>
      </c>
      <c r="G74" s="981" t="s">
        <v>417</v>
      </c>
      <c r="H74" s="362" t="s">
        <v>413</v>
      </c>
      <c r="I74" s="42"/>
      <c r="J74" s="2033"/>
      <c r="K74" s="1974">
        <v>3</v>
      </c>
      <c r="L74" s="3591" t="s">
        <v>414</v>
      </c>
      <c r="M74" s="3591"/>
      <c r="N74" s="1294">
        <f t="shared" ca="1" si="1"/>
        <v>42794</v>
      </c>
      <c r="O74" s="1857" t="str">
        <f t="shared" si="1"/>
        <v>增值额×税（费）率</v>
      </c>
      <c r="P74" s="1297" t="str">
        <f t="shared" si="1"/>
        <v>——</v>
      </c>
      <c r="Q74" s="2026"/>
      <c r="R74" s="2026"/>
      <c r="S74" s="2026"/>
      <c r="T74" s="2026"/>
      <c r="U74" s="2026"/>
      <c r="V74" s="2026"/>
    </row>
    <row r="75" spans="1:22" ht="24">
      <c r="A75" s="358" t="s">
        <v>418</v>
      </c>
      <c r="B75" s="3598" t="s">
        <v>419</v>
      </c>
      <c r="C75" s="3599"/>
      <c r="D75" s="363">
        <v>0</v>
      </c>
      <c r="E75" s="41" t="s">
        <v>420</v>
      </c>
      <c r="F75" s="364"/>
      <c r="G75" s="360"/>
      <c r="H75" s="42"/>
      <c r="I75" s="42"/>
      <c r="J75" s="2033"/>
      <c r="K75" s="3052">
        <f>IF(H77="非个人房产","",4)</f>
        <v>4</v>
      </c>
      <c r="L75" s="3591" t="str">
        <f>IF(H77="非个人房产","——","个人所得税")</f>
        <v>个人所得税</v>
      </c>
      <c r="M75" s="3591"/>
      <c r="N75" s="1298">
        <f ca="1">D77</f>
        <v>768</v>
      </c>
      <c r="O75" s="1870" t="str">
        <f>E77</f>
        <v>销售额×税（费）率</v>
      </c>
      <c r="P75" s="1299">
        <f>F77</f>
        <v>0.01</v>
      </c>
      <c r="Q75" s="2026"/>
      <c r="R75" s="2026"/>
      <c r="S75" s="2026"/>
      <c r="T75" s="2026"/>
      <c r="U75" s="2026"/>
      <c r="V75" s="2026"/>
    </row>
    <row r="76" spans="1:22" ht="24.75">
      <c r="A76" s="358" t="s">
        <v>396</v>
      </c>
      <c r="B76" s="3598" t="s">
        <v>422</v>
      </c>
      <c r="C76" s="3640"/>
      <c r="D76" s="361">
        <f ca="1">IF(H76="转让取得",C99,C115)</f>
        <v>42794</v>
      </c>
      <c r="E76" s="17" t="s">
        <v>423</v>
      </c>
      <c r="F76" s="53" t="s">
        <v>21</v>
      </c>
      <c r="G76" s="360"/>
      <c r="H76" s="362" t="s">
        <v>424</v>
      </c>
      <c r="I76" s="42"/>
      <c r="J76" s="2033"/>
      <c r="K76" s="3052" t="str">
        <f>IF(项目基本情况!K6="上海银行",IF(K75="",4,K75+1),"")</f>
        <v/>
      </c>
      <c r="L76" s="3579" t="str">
        <f>IF(项目基本情况!K6="上海银行","其他处置费用","")</f>
        <v/>
      </c>
      <c r="M76" s="3580"/>
      <c r="N76" s="1294" t="str">
        <f>IF(项目基本情况!K6="上海银行",N89,"")</f>
        <v/>
      </c>
      <c r="O76" s="3581" t="str">
        <f>IF(项目基本情况!K6="上海银行","包含处置中涉及的律师、诉讼、拍卖、评估等费用","")</f>
        <v/>
      </c>
      <c r="P76" s="3582"/>
      <c r="Q76" s="2026"/>
      <c r="R76" s="2026"/>
      <c r="S76" s="2026"/>
      <c r="T76" s="2026"/>
      <c r="U76" s="2026"/>
      <c r="V76" s="2026"/>
    </row>
    <row r="77" spans="1:22" ht="26.25" thickBot="1">
      <c r="A77" s="3609" t="s">
        <v>426</v>
      </c>
      <c r="B77" s="3610"/>
      <c r="C77" s="3610"/>
      <c r="D77" s="365">
        <f ca="1">IF(H77="非个人房产","——",IF(H77="个人住宅",0,ROUND(D63*I77,0)))</f>
        <v>768</v>
      </c>
      <c r="E77" s="366" t="str">
        <f>IF(H77="非个人房产","——","销售额×税（费）率")</f>
        <v>销售额×税（费）率</v>
      </c>
      <c r="F77" s="367">
        <f>IF(H77="非个人房产","——",IF(H77="个人住宅","免征",I77))</f>
        <v>0.01</v>
      </c>
      <c r="G77" s="982" t="s">
        <v>417</v>
      </c>
      <c r="H77" s="362" t="s">
        <v>2883</v>
      </c>
      <c r="I77" s="368">
        <v>0.01</v>
      </c>
      <c r="J77" s="2033"/>
      <c r="K77" s="3605">
        <f>IF(AND(K75="",K76=""),4,IF(项目基本情况!K6="上海银行",K76+1,K75+1))</f>
        <v>5</v>
      </c>
      <c r="L77" s="3591" t="s">
        <v>2884</v>
      </c>
      <c r="M77" s="3058" t="s">
        <v>421</v>
      </c>
      <c r="N77" s="1300"/>
      <c r="O77" s="1301">
        <f ca="1">SUMIF(N72:N76,"&lt;9e307")</f>
        <v>47657</v>
      </c>
      <c r="P77" s="1302"/>
      <c r="Q77" s="3056">
        <f ca="1">O77/N69</f>
        <v>0.62073591663953109</v>
      </c>
      <c r="R77" s="2026"/>
      <c r="S77" s="2026"/>
      <c r="T77" s="2026"/>
      <c r="U77" s="2026"/>
      <c r="V77" s="2026"/>
    </row>
    <row r="78" spans="1:22" ht="12" customHeight="1">
      <c r="A78" s="1303"/>
      <c r="B78" s="310"/>
      <c r="C78" s="310"/>
      <c r="D78" s="310"/>
      <c r="E78" s="42"/>
      <c r="F78" s="42"/>
      <c r="G78" s="42"/>
      <c r="H78" s="1001"/>
      <c r="I78" s="310"/>
      <c r="J78" s="2033"/>
      <c r="K78" s="3605"/>
      <c r="L78" s="3591"/>
      <c r="M78" s="3058" t="s">
        <v>425</v>
      </c>
      <c r="N78" s="1300"/>
      <c r="O78" s="1301" t="str">
        <f ca="1">NUMBERSTRING(INT(O77*10000),2)&amp;"元整"</f>
        <v>肆亿柒仟陆佰伍拾柒万元整</v>
      </c>
      <c r="P78" s="1302"/>
      <c r="Q78" s="2026"/>
      <c r="R78" s="2026"/>
      <c r="S78" s="2026"/>
      <c r="T78" s="2026"/>
      <c r="U78" s="2026"/>
      <c r="V78" s="2026"/>
    </row>
    <row r="79" spans="1:22" ht="13.5" thickBot="1">
      <c r="A79" s="3595" t="s">
        <v>427</v>
      </c>
      <c r="B79" s="3595"/>
      <c r="C79" s="3595"/>
      <c r="D79" s="3595"/>
      <c r="E79" s="3595"/>
      <c r="F79" s="42"/>
      <c r="G79" s="42"/>
      <c r="H79" s="1001"/>
      <c r="I79" s="310"/>
      <c r="J79" s="2033"/>
      <c r="K79" s="3589">
        <f>K77+1</f>
        <v>6</v>
      </c>
      <c r="L79" s="3591" t="s">
        <v>2885</v>
      </c>
      <c r="M79" s="3058" t="s">
        <v>421</v>
      </c>
      <c r="N79" s="1300"/>
      <c r="O79" s="1301">
        <f ca="1">N69-O77</f>
        <v>29118</v>
      </c>
      <c r="P79" s="1302"/>
      <c r="Q79" s="2026"/>
      <c r="R79" s="2026"/>
      <c r="S79" s="2026"/>
      <c r="T79" s="2026"/>
      <c r="U79" s="2026"/>
      <c r="V79" s="2026"/>
    </row>
    <row r="80" spans="1:22" ht="25.5">
      <c r="A80" s="3596" t="s">
        <v>428</v>
      </c>
      <c r="B80" s="3597"/>
      <c r="C80" s="992"/>
      <c r="D80" s="992" t="s">
        <v>429</v>
      </c>
      <c r="E80" s="369" t="s">
        <v>430</v>
      </c>
      <c r="F80" s="42"/>
      <c r="G80" s="42"/>
      <c r="H80" s="1001"/>
      <c r="I80" s="310"/>
      <c r="J80" s="2026"/>
      <c r="K80" s="3590"/>
      <c r="L80" s="3591"/>
      <c r="M80" s="3058" t="s">
        <v>425</v>
      </c>
      <c r="N80" s="1300"/>
      <c r="O80" s="1301" t="str">
        <f ca="1">NUMBERSTRING(INT(O79*10000),2)&amp;"元整"</f>
        <v>贰亿玖仟壹佰壹拾捌万元整</v>
      </c>
      <c r="P80" s="1302"/>
      <c r="Q80" s="2026"/>
      <c r="R80" s="2026"/>
      <c r="S80" s="2026"/>
      <c r="T80" s="2026"/>
      <c r="U80" s="2026"/>
      <c r="V80" s="2026"/>
    </row>
    <row r="81" spans="1:26" ht="13.5" thickBot="1">
      <c r="A81" s="380" t="s">
        <v>1824</v>
      </c>
      <c r="B81" s="370" t="s">
        <v>431</v>
      </c>
      <c r="C81" s="371">
        <f ca="1">ROUND((C82+C83)/(1+'数据-取费表'!C42),0)</f>
        <v>73119</v>
      </c>
      <c r="D81" s="372"/>
      <c r="E81" s="373"/>
      <c r="F81" s="42"/>
      <c r="G81" s="42"/>
      <c r="H81" s="1001"/>
      <c r="I81" s="310"/>
      <c r="J81" s="2026"/>
      <c r="K81" s="3052">
        <f>K79+1</f>
        <v>7</v>
      </c>
      <c r="L81" s="3603" t="s">
        <v>2886</v>
      </c>
      <c r="M81" s="3604"/>
      <c r="N81" s="1304"/>
      <c r="O81" s="1305">
        <f ca="1">ROUND(O79*10000/'数据-汇总表'!E3,0)</f>
        <v>1611</v>
      </c>
      <c r="P81" s="1306"/>
      <c r="Q81" s="2026"/>
      <c r="R81" s="2026"/>
      <c r="S81" s="2026"/>
      <c r="T81" s="2026"/>
      <c r="U81" s="2026"/>
      <c r="V81" s="2026"/>
    </row>
    <row r="82" spans="1:26" ht="13.5" thickTop="1">
      <c r="A82" s="374" t="s">
        <v>1825</v>
      </c>
      <c r="B82" s="375" t="s">
        <v>432</v>
      </c>
      <c r="C82" s="376">
        <f ca="1">D63</f>
        <v>76775</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1"/>
      <c r="I83" s="310"/>
      <c r="J83" s="2026"/>
      <c r="K83" s="3578" t="s">
        <v>2873</v>
      </c>
      <c r="L83" s="3064" t="s">
        <v>2874</v>
      </c>
      <c r="M83" s="3054">
        <f ca="1">IF(N69&gt;10000,N69*0.5%,IF(AND(N69&gt;1000,N69&lt;=10000),N69*1%,IF(AND(N69&gt;100,N69&lt;=1000),N69*3%,IF(AND(N69&gt;10,N69&lt;=100),N69*5%,N69*8%))))</f>
        <v>383.875</v>
      </c>
      <c r="N83" s="53">
        <f ca="1">ROUND(M83,1)</f>
        <v>383.9</v>
      </c>
      <c r="O83" s="3057"/>
      <c r="P83" s="2026"/>
      <c r="Q83" s="2026"/>
      <c r="R83" s="2026"/>
      <c r="S83" s="2026"/>
      <c r="T83" s="2026"/>
      <c r="U83" s="2026"/>
      <c r="V83" s="2026"/>
    </row>
    <row r="84" spans="1:26" ht="12.75">
      <c r="A84" s="380" t="s">
        <v>1827</v>
      </c>
      <c r="B84" s="381" t="s">
        <v>434</v>
      </c>
      <c r="C84" s="382">
        <v>2000</v>
      </c>
      <c r="D84" s="383" t="s">
        <v>19</v>
      </c>
      <c r="E84" s="3099" t="s">
        <v>2941</v>
      </c>
      <c r="F84" s="42"/>
      <c r="G84" s="42"/>
      <c r="H84" s="1001"/>
      <c r="I84" s="310"/>
      <c r="J84" s="2026"/>
      <c r="K84" s="3578"/>
      <c r="L84" s="3064" t="s">
        <v>2875</v>
      </c>
      <c r="M84" s="3054">
        <f ca="1">IF(N69&gt;2000,N69*0.5%,IF(AND(N69&gt;1000,N69&lt;=2000),N69*0.6%,IF(AND(N69&gt;500,N69&lt;=1000),N69*0.7%,IF(AND(N69&gt;200,N69&lt;=500),N69*0.8%,IF(AND(N69&gt;100,N69&lt;=200),N69*0.9%,IF(AND(N69&gt;50,N69&lt;=100),N69*1%,IF(AND(N69&gt;20,N69&lt;=50),N69*1.5%,IF(AND(N69&gt;10,N69&lt;=20),N69*2%,IF(AND(N69&gt;1,N69&lt;=10),N69*2.5%)))))))))</f>
        <v>383.875</v>
      </c>
      <c r="N84" s="53">
        <f t="shared" ref="N84:N85" ca="1" si="2">ROUND(M84,1)</f>
        <v>383.9</v>
      </c>
      <c r="O84" s="2026" t="s">
        <v>2876</v>
      </c>
      <c r="P84" s="2026"/>
      <c r="Q84" s="2026"/>
      <c r="R84" s="2026"/>
      <c r="S84" s="2026"/>
      <c r="T84" s="2026"/>
      <c r="U84" s="2026"/>
      <c r="V84" s="2026"/>
    </row>
    <row r="85" spans="1:26" ht="12.75">
      <c r="A85" s="380" t="s">
        <v>1828</v>
      </c>
      <c r="B85" s="381" t="s">
        <v>435</v>
      </c>
      <c r="C85" s="384">
        <f ca="1">C81-C84</f>
        <v>71119</v>
      </c>
      <c r="D85" s="377" t="s">
        <v>19</v>
      </c>
      <c r="E85" s="378"/>
      <c r="F85" s="42"/>
      <c r="G85" s="42"/>
      <c r="H85" s="1001"/>
      <c r="I85" s="310"/>
      <c r="J85" s="2026"/>
      <c r="K85" s="3578"/>
      <c r="L85" s="3064" t="s">
        <v>2877</v>
      </c>
      <c r="M85" s="3054">
        <f ca="1">IF(N69&gt;1000,N69*0.1%,IF(AND(N69&gt;500,N69&lt;=1000),N69*0.5%,IF(AND(N69&gt;50,N69&lt;=500),N69*1%,IF(AND(N69&gt;1,N69&lt;=50),N69*1.5%))))</f>
        <v>76.775000000000006</v>
      </c>
      <c r="N85" s="53">
        <f t="shared" ca="1" si="2"/>
        <v>76.8</v>
      </c>
      <c r="O85" s="2026" t="s">
        <v>2876</v>
      </c>
      <c r="P85" s="2026"/>
      <c r="Q85" s="2026"/>
      <c r="R85" s="2026"/>
      <c r="S85" s="2026"/>
      <c r="T85" s="2026"/>
      <c r="U85" s="2026"/>
      <c r="V85" s="2026"/>
    </row>
    <row r="86" spans="1:26" ht="13.5" thickBot="1">
      <c r="A86" s="385" t="s">
        <v>1829</v>
      </c>
      <c r="B86" s="386" t="s">
        <v>436</v>
      </c>
      <c r="C86" s="387">
        <f ca="1">IF(C85&lt;=0,0,ROUND(C85*D86,0))</f>
        <v>3983</v>
      </c>
      <c r="D86" s="388">
        <f>'数据-取费表'!B41</f>
        <v>5.6000000000000001E-2</v>
      </c>
      <c r="E86" s="389"/>
      <c r="F86" s="42"/>
      <c r="G86" s="42"/>
      <c r="H86" s="1001"/>
      <c r="I86" s="310"/>
      <c r="J86" s="2026"/>
      <c r="K86" s="3578"/>
      <c r="L86" s="3064" t="s">
        <v>2878</v>
      </c>
      <c r="M86" s="3054">
        <f ca="1">N69*0.5%</f>
        <v>383.875</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578"/>
      <c r="L87" s="3064" t="s">
        <v>2880</v>
      </c>
      <c r="M87" s="3054">
        <f ca="1">IF(N69&gt;=10000,(8.25+(N69-10000)*0.01%),IF(AND(N69&gt;=8000,N69&lt;10000),(7.85+(N69-8000)*0.02%),IF(AND(N69&gt;=5000,N69&lt;8000),(6.65+(N69-5000)*0.04%),IF(AND(N69&gt;=2000,N69&lt;5000),(4.25+(PN69-2000)*0.08%),IF(AND(N69&gt;=1000,N69&lt;2000),(2.75+(N69-1000)*0.15%),IF(AND(N69&gt;=100,N69&lt;1000),(0.5+(N69-100)*0.25%),IF(AND(N69&gt;0,N69&lt;100),N69*0.5%)))))))</f>
        <v>14.9275</v>
      </c>
      <c r="N87" s="53">
        <f ca="1">ROUND(M87*0.9,1)</f>
        <v>13.4</v>
      </c>
      <c r="O87" s="3057"/>
      <c r="P87" s="310"/>
      <c r="Q87" s="2026"/>
      <c r="R87" s="2026"/>
      <c r="S87" s="2026"/>
      <c r="T87" s="2026"/>
      <c r="U87" s="2026"/>
      <c r="V87" s="2026"/>
      <c r="W87" s="291"/>
      <c r="X87" s="291"/>
      <c r="Y87" s="291"/>
      <c r="Z87" s="291"/>
    </row>
    <row r="88" spans="1:26" s="1312" customFormat="1" ht="15" thickBot="1">
      <c r="A88" s="3632" t="s">
        <v>437</v>
      </c>
      <c r="B88" s="3633"/>
      <c r="C88" s="3633"/>
      <c r="D88" s="3633"/>
      <c r="E88" s="3633"/>
      <c r="F88" s="3633"/>
      <c r="G88" s="3633"/>
      <c r="H88" s="3633"/>
      <c r="I88" s="1313"/>
      <c r="J88" s="2034"/>
      <c r="K88" s="3578"/>
      <c r="L88" s="3064" t="s">
        <v>2881</v>
      </c>
      <c r="M88" s="3054">
        <f ca="1">IF(N69&gt;10000,N69*0.5%,IF(AND(N69&gt;5000,N69&lt;=10000),N69*1%,IF(AND(N69&gt;1000,N69&lt;=5000),N69*2%,IF(AND(N69&gt;200,N69&lt;=1000),N69*3%,N69*5%))))</f>
        <v>383.875</v>
      </c>
      <c r="N88" s="53">
        <f ca="1">ROUND(M88,1)</f>
        <v>383.9</v>
      </c>
      <c r="O88" s="3057"/>
      <c r="P88" s="11"/>
      <c r="Q88" s="2031"/>
      <c r="R88" s="2031"/>
      <c r="S88" s="2031"/>
      <c r="T88" s="2031"/>
      <c r="U88" s="2031"/>
      <c r="V88" s="2031"/>
      <c r="W88" s="2035"/>
      <c r="X88" s="2035"/>
      <c r="Y88" s="2035"/>
      <c r="Z88" s="2035"/>
    </row>
    <row r="89" spans="1:26" s="1312" customFormat="1" ht="14.25">
      <c r="A89" s="3596" t="s">
        <v>428</v>
      </c>
      <c r="B89" s="3597"/>
      <c r="C89" s="992"/>
      <c r="D89" s="992" t="s">
        <v>429</v>
      </c>
      <c r="E89" s="390" t="s">
        <v>438</v>
      </c>
      <c r="F89" s="391"/>
      <c r="G89" s="391"/>
      <c r="H89" s="392"/>
      <c r="I89" s="1314"/>
      <c r="J89" s="2036"/>
      <c r="K89" s="3578"/>
      <c r="L89" s="3064" t="s">
        <v>27</v>
      </c>
      <c r="M89" s="3055"/>
      <c r="N89" s="53">
        <f ca="1">ROUND(SUM(N83:N88),0)</f>
        <v>1242</v>
      </c>
      <c r="O89" s="3065">
        <f ca="1">N89/N69</f>
        <v>1.6177140996418104E-2</v>
      </c>
      <c r="P89" s="2031"/>
      <c r="Q89" s="2031"/>
      <c r="R89" s="2031"/>
      <c r="S89" s="2031"/>
      <c r="T89" s="2031"/>
      <c r="U89" s="2031"/>
      <c r="V89" s="2031"/>
      <c r="W89" s="2035"/>
      <c r="X89" s="2035"/>
      <c r="Y89" s="2035"/>
      <c r="Z89" s="2035"/>
    </row>
    <row r="90" spans="1:26" s="1312" customFormat="1" ht="14.25">
      <c r="A90" s="380" t="s">
        <v>1824</v>
      </c>
      <c r="B90" s="381" t="s">
        <v>439</v>
      </c>
      <c r="C90" s="384">
        <f ca="1">ROUND(D63/(1+'数据-取费表'!C42),0)</f>
        <v>73119</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1830</v>
      </c>
      <c r="B91" s="347" t="s">
        <v>440</v>
      </c>
      <c r="C91" s="384">
        <f ca="1">C92+C96</f>
        <v>3020</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1833</v>
      </c>
      <c r="B94" s="399" t="s">
        <v>446</v>
      </c>
      <c r="C94" s="377">
        <f>IF(F93="购房发票",ROUND(C93*H93*5%,0),0)</f>
        <v>500</v>
      </c>
      <c r="D94" s="400">
        <v>0.05</v>
      </c>
      <c r="E94" s="3629" t="s">
        <v>447</v>
      </c>
      <c r="F94" s="3630"/>
      <c r="G94" s="3630"/>
      <c r="H94" s="3631"/>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1835</v>
      </c>
      <c r="B96" s="375" t="s">
        <v>450</v>
      </c>
      <c r="C96" s="404">
        <f ca="1">ROUND(D63*D96/(1+'数据-取费表'!C42),0)</f>
        <v>439</v>
      </c>
      <c r="D96" s="405">
        <f>'数据-取费表'!B43</f>
        <v>6.000000000000001E-3</v>
      </c>
      <c r="E96" s="3619" t="s">
        <v>2428</v>
      </c>
      <c r="F96" s="3620"/>
      <c r="G96" s="3620"/>
      <c r="H96" s="3621"/>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4" t="s">
        <v>1836</v>
      </c>
      <c r="B97" s="381" t="s">
        <v>451</v>
      </c>
      <c r="C97" s="384">
        <f ca="1">C90-C91</f>
        <v>70099</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4" t="s">
        <v>1837</v>
      </c>
      <c r="B98" s="381" t="s">
        <v>452</v>
      </c>
      <c r="C98" s="406">
        <f ca="1">IF(C97&lt;=0,0,C97/C91)</f>
        <v>23.211589403973509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5" t="s">
        <v>1838</v>
      </c>
      <c r="B99" s="386" t="s">
        <v>453</v>
      </c>
      <c r="C99" s="407">
        <f ca="1">ROUND(IF(C97&lt;=0,0,IF(C98&gt;=200%,C97*60%-C91*35%,IF(C98&gt;=100%,C97*50%-C91*15%,IF(C98&gt;=50%,C97*40%-C91*5%,IF(C98&lt;50%,C97*30%,0))))),0)</f>
        <v>41002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632" t="s">
        <v>454</v>
      </c>
      <c r="B101" s="3633"/>
      <c r="C101" s="3633"/>
      <c r="D101" s="3633"/>
      <c r="E101" s="3633"/>
      <c r="F101" s="3633"/>
      <c r="G101" s="3633"/>
      <c r="H101" s="3633"/>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596" t="s">
        <v>428</v>
      </c>
      <c r="B102" s="3597"/>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1824</v>
      </c>
      <c r="B103" s="381" t="s">
        <v>439</v>
      </c>
      <c r="C103" s="384">
        <f ca="1">ROUND(D63/(1+'数据-取费表'!C42),0)</f>
        <v>73119</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1830</v>
      </c>
      <c r="B104" s="347" t="s">
        <v>440</v>
      </c>
      <c r="C104" s="384">
        <f ca="1">IF(H106="仅含出让金",C105+C108+C109+C110+C111+C112,C105+C109+C110+C111+C112)</f>
        <v>1134</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1831</v>
      </c>
      <c r="B105" s="375" t="s">
        <v>455</v>
      </c>
      <c r="C105" s="404">
        <f>C106+C107</f>
        <v>577</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1832</v>
      </c>
      <c r="B106" s="375" t="s">
        <v>456</v>
      </c>
      <c r="C106" s="415">
        <v>555</v>
      </c>
      <c r="D106" s="405"/>
      <c r="E106" s="416" t="s">
        <v>457</v>
      </c>
      <c r="F106" s="984"/>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1833</v>
      </c>
      <c r="B107" s="375" t="s">
        <v>448</v>
      </c>
      <c r="C107" s="404">
        <f>ROUND(C106*D107,0)</f>
        <v>22</v>
      </c>
      <c r="D107" s="405">
        <f>'数据-取费表'!B48+'数据-取费表'!B49</f>
        <v>4.0500000000000001E-2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6" t="s">
        <v>1839</v>
      </c>
      <c r="B109" s="375" t="s">
        <v>461</v>
      </c>
      <c r="C109" s="404">
        <f>IF(H109="——",IF(F1="现房",'剩余法-现房'!C18,'剩余法-待开发'!C18),I109)</f>
        <v>55</v>
      </c>
      <c r="D109" s="405"/>
      <c r="E109" s="3622" t="s">
        <v>462</v>
      </c>
      <c r="F109" s="3620"/>
      <c r="G109" s="3620"/>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6" t="s">
        <v>1840</v>
      </c>
      <c r="B110" s="375" t="s">
        <v>463</v>
      </c>
      <c r="C110" s="404">
        <f>ROUND((C105+C108+C109)*D110,0)</f>
        <v>63</v>
      </c>
      <c r="D110" s="405">
        <v>0.1</v>
      </c>
      <c r="E110" s="3622" t="s">
        <v>464</v>
      </c>
      <c r="F110" s="3620"/>
      <c r="G110" s="3620"/>
      <c r="H110" s="3621"/>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6" t="s">
        <v>1841</v>
      </c>
      <c r="B111" s="375" t="s">
        <v>450</v>
      </c>
      <c r="C111" s="404">
        <f ca="1">ROUND(D63*D111/(1+'数据-取费表'!C42),0)</f>
        <v>439</v>
      </c>
      <c r="D111" s="405">
        <f>'数据-取费表'!B43</f>
        <v>6.000000000000001E-3</v>
      </c>
      <c r="E111" s="3619" t="s">
        <v>2428</v>
      </c>
      <c r="F111" s="3620"/>
      <c r="G111" s="3620"/>
      <c r="H111" s="3621"/>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6" t="s">
        <v>1842</v>
      </c>
      <c r="B112" s="375" t="s">
        <v>465</v>
      </c>
      <c r="C112" s="404">
        <f>ROUND(C108*D112,0)</f>
        <v>0</v>
      </c>
      <c r="D112" s="405">
        <v>0.2</v>
      </c>
      <c r="E112" s="3622" t="s">
        <v>2453</v>
      </c>
      <c r="F112" s="3620"/>
      <c r="G112" s="3620"/>
      <c r="H112" s="3621"/>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4" t="s">
        <v>1836</v>
      </c>
      <c r="B113" s="381" t="s">
        <v>451</v>
      </c>
      <c r="C113" s="384">
        <f ca="1">ROUND(C103-C104,0)</f>
        <v>71985</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4" t="s">
        <v>1837</v>
      </c>
      <c r="B114" s="381" t="s">
        <v>452</v>
      </c>
      <c r="C114" s="406">
        <f ca="1">IF(C113&lt;=0,0,C113/C104)</f>
        <v>63.478835978835981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5" t="s">
        <v>1838</v>
      </c>
      <c r="B115" s="386" t="s">
        <v>453</v>
      </c>
      <c r="C115" s="407">
        <f ca="1">ROUND(IF(C113&lt;=0,0,IF(C114&gt;=200%,C113*60%-C104*35%,IF(C114&gt;=100%,C113*50%-C104*15%,IF(C114&gt;=50%,C113*40%-C104*5%,IF(C114&lt;50%,C113*30%,0))))),0)</f>
        <v>42794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474" t="str">
        <f>项目基本情况!B1</f>
        <v>山东省青岛市高新区火炬路以北、规划中32号线以西370214005030GB00261号一宗住宅、商业用地出让国有建设用地使用权抵押价格预评估</v>
      </c>
      <c r="C37" s="3474"/>
      <c r="D37" s="3474"/>
      <c r="E37" s="3474"/>
      <c r="F37" s="3474"/>
      <c r="G37" s="3474"/>
      <c r="H37" s="3474"/>
      <c r="I37" s="3474"/>
    </row>
    <row r="38" spans="1:9">
      <c r="A38" s="1653"/>
      <c r="B38" s="1653"/>
    </row>
    <row r="39" spans="1:9">
      <c r="A39" s="1651" t="s">
        <v>1902</v>
      </c>
      <c r="B39" s="1651" t="s">
        <v>2046</v>
      </c>
    </row>
    <row r="40" spans="1:9">
      <c r="A40" s="1651"/>
      <c r="B40" s="1651" t="str">
        <f>项目基本情况!B5</f>
        <v>大业信托有限责任公司</v>
      </c>
    </row>
    <row r="41" spans="1:9">
      <c r="A41" s="1651"/>
      <c r="B41" s="1651"/>
    </row>
    <row r="42" spans="1:9">
      <c r="A42" s="1651" t="s">
        <v>1902</v>
      </c>
      <c r="B42" s="1651" t="s">
        <v>2047</v>
      </c>
    </row>
    <row r="43" spans="1:9">
      <c r="A43" s="1651"/>
      <c r="B43" s="1651" t="s">
        <v>1904</v>
      </c>
    </row>
    <row r="44" spans="1:9">
      <c r="A44" s="1651"/>
      <c r="B44" s="1651"/>
    </row>
    <row r="45" spans="1:9">
      <c r="A45" s="1651" t="s">
        <v>1902</v>
      </c>
      <c r="B45" s="1651" t="s">
        <v>2045</v>
      </c>
    </row>
    <row r="46" spans="1:9" s="1651" customFormat="1" ht="12.75">
      <c r="B46" s="1651" t="str">
        <f>项目基本情况!K4</f>
        <v>王鹏、崔锴</v>
      </c>
    </row>
    <row r="47" spans="1:9">
      <c r="A47" s="1651"/>
      <c r="B47" s="1651"/>
    </row>
    <row r="48" spans="1:9">
      <c r="A48" s="1651" t="s">
        <v>1902</v>
      </c>
      <c r="B48" s="1651" t="s">
        <v>2048</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07"/>
      <c r="C1" s="2102"/>
      <c r="D1" s="2102"/>
      <c r="E1" s="2102"/>
      <c r="F1" s="2102"/>
      <c r="G1" s="2102"/>
      <c r="H1" s="2102"/>
      <c r="I1" s="2102"/>
      <c r="J1" s="2102"/>
      <c r="K1" s="421">
        <f>MATCH(B1,'数据-取费表'!A6:A16,0)+5</f>
        <v>11</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6"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2651</v>
      </c>
      <c r="B6" s="432"/>
      <c r="C6" s="1620">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0" t="s">
        <v>1849</v>
      </c>
      <c r="B13" s="448" t="s">
        <v>479</v>
      </c>
      <c r="C13" s="449">
        <f ca="1">IF(B1="",'数据-取费表'!M16,INDIRECT("'数据-取费表'!M"&amp;$K$1)+INDIRECT("'数据-取费表'!t"&amp;$K$1))</f>
        <v>47379</v>
      </c>
      <c r="D13" s="450"/>
      <c r="E13" s="364"/>
      <c r="F13" s="451"/>
      <c r="G13" s="443"/>
      <c r="H13" s="446"/>
      <c r="I13" s="446"/>
      <c r="J13" s="446"/>
      <c r="K13" s="447"/>
    </row>
    <row r="14" spans="1:41" s="2114" customFormat="1" ht="13.5" customHeight="1">
      <c r="A14" s="1630" t="s">
        <v>1850</v>
      </c>
      <c r="B14" s="448" t="s">
        <v>480</v>
      </c>
      <c r="C14" s="53">
        <f ca="1">ROUND(C13*F14,0)</f>
        <v>1421</v>
      </c>
      <c r="D14" s="450"/>
      <c r="E14" s="364"/>
      <c r="F14" s="452">
        <f>'数据-取费表'!B33</f>
        <v>0.03</v>
      </c>
      <c r="G14" s="443" t="s">
        <v>502</v>
      </c>
      <c r="H14" s="446"/>
      <c r="I14" s="446"/>
      <c r="J14" s="446"/>
      <c r="K14" s="447"/>
    </row>
    <row r="15" spans="1:41" s="2114" customFormat="1" ht="13.5" customHeight="1">
      <c r="A15" s="1630" t="s">
        <v>1851</v>
      </c>
      <c r="B15" s="448" t="s">
        <v>482</v>
      </c>
      <c r="C15" s="53">
        <f ca="1">ROUND(IF(B1="",SUMIF('数据-取费表'!C:C,"住宅",'数据-取费表'!M:M)*F15,IF(INDIRECT("'数据-取费表'!c"&amp;$K$1)="住宅",INDIRECT("'数据-取费表'!M"&amp;$K$1)*F15,0)),0)</f>
        <v>947</v>
      </c>
      <c r="D15" s="450"/>
      <c r="E15" s="364"/>
      <c r="F15" s="452">
        <f>'数据-取费表'!B34</f>
        <v>0.03</v>
      </c>
      <c r="G15" s="443" t="s">
        <v>502</v>
      </c>
      <c r="H15" s="446"/>
      <c r="I15" s="446"/>
      <c r="J15" s="446"/>
      <c r="K15" s="447"/>
    </row>
    <row r="16" spans="1:41" s="2115" customFormat="1" ht="13.5" customHeight="1">
      <c r="A16" s="1630" t="s">
        <v>1852</v>
      </c>
      <c r="B16" s="448" t="s">
        <v>484</v>
      </c>
      <c r="C16" s="53">
        <f ca="1">ROUND(D16*E16/10000,0)</f>
        <v>3616</v>
      </c>
      <c r="D16" s="450">
        <f ca="1">IF(B1="",'数据-汇总表'!E3,INDIRECT("'数据-取费表'!K"&amp;$K$1)+INDIRECT("'数据-取费表'!S"&amp;$K$1))</f>
        <v>180792</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8" t="s">
        <v>485</v>
      </c>
      <c r="C17" s="453">
        <f ca="1">ROUND(C13*F17,0)</f>
        <v>711</v>
      </c>
      <c r="D17" s="454"/>
      <c r="E17" s="453"/>
      <c r="F17" s="455">
        <f>'数据-取费表'!B36</f>
        <v>1.4999999999999999E-2</v>
      </c>
      <c r="G17" s="443" t="s">
        <v>502</v>
      </c>
      <c r="H17" s="456"/>
      <c r="I17" s="456"/>
      <c r="J17" s="456"/>
      <c r="K17" s="457"/>
    </row>
    <row r="18" spans="1:14" s="2117" customFormat="1" ht="13.5" customHeight="1">
      <c r="A18" s="1631" t="s">
        <v>1854</v>
      </c>
      <c r="B18" s="458" t="s">
        <v>487</v>
      </c>
      <c r="C18" s="459">
        <f ca="1">SUM(C13:C17)</f>
        <v>54074</v>
      </c>
      <c r="D18" s="460"/>
      <c r="E18" s="461"/>
      <c r="F18" s="461"/>
      <c r="G18" s="1325" t="s">
        <v>2432</v>
      </c>
      <c r="H18" s="446"/>
      <c r="I18" s="446"/>
      <c r="J18" s="446"/>
      <c r="K18" s="447"/>
    </row>
    <row r="19" spans="1:14" s="2117" customFormat="1" ht="13.5" customHeight="1">
      <c r="A19" s="1631" t="s">
        <v>1855</v>
      </c>
      <c r="B19" s="458" t="s">
        <v>493</v>
      </c>
      <c r="C19" s="459">
        <f ca="1">ROUND(C18*F19,0)</f>
        <v>1081</v>
      </c>
      <c r="D19" s="461"/>
      <c r="E19" s="461"/>
      <c r="F19" s="465">
        <f>'数据-取费表'!B37</f>
        <v>0.02</v>
      </c>
      <c r="G19" s="443" t="s">
        <v>503</v>
      </c>
      <c r="H19" s="446"/>
      <c r="I19" s="446"/>
      <c r="J19" s="446"/>
      <c r="K19" s="447"/>
      <c r="L19" s="2119"/>
      <c r="M19" s="2119"/>
      <c r="N19" s="2119"/>
    </row>
    <row r="20" spans="1:14" s="2117" customFormat="1" ht="13.5" customHeight="1">
      <c r="A20" s="1631" t="s">
        <v>1856</v>
      </c>
      <c r="B20" s="458" t="s">
        <v>504</v>
      </c>
      <c r="C20" s="3028">
        <f>F20</f>
        <v>0.01</v>
      </c>
      <c r="D20" s="468" t="s">
        <v>505</v>
      </c>
      <c r="E20" s="468"/>
      <c r="F20" s="485">
        <f>'数据-取费表'!B38</f>
        <v>0.01</v>
      </c>
      <c r="G20" s="1325" t="s">
        <v>506</v>
      </c>
      <c r="H20" s="446"/>
      <c r="I20" s="446"/>
      <c r="J20" s="446"/>
      <c r="K20" s="447"/>
      <c r="L20" s="2119"/>
      <c r="M20" s="2119"/>
      <c r="N20" s="2119"/>
    </row>
    <row r="21" spans="1:14" s="2119" customFormat="1" ht="13.5" customHeight="1">
      <c r="A21" s="1631" t="s">
        <v>1859</v>
      </c>
      <c r="B21" s="460" t="s">
        <v>494</v>
      </c>
      <c r="C21" s="469">
        <f ca="1">C22</f>
        <v>1953</v>
      </c>
      <c r="D21" s="466">
        <f ca="1">C23</f>
        <v>4.0000000000000002E-4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1849</v>
      </c>
      <c r="B22" s="1326" t="s">
        <v>2435</v>
      </c>
      <c r="C22" s="486">
        <f ca="1">ROUND(IF('数据-取费表'!B22&lt;=1,(C18+C19)*F21*'数据-取费表'!B20/2,(C18+C19)*(POWER((1+F21),'数据-取费表'!B20/2)-1)),0)</f>
        <v>1953</v>
      </c>
      <c r="D22" s="471"/>
      <c r="E22" s="472"/>
      <c r="F22" s="473"/>
      <c r="G22" s="2565" t="str">
        <f>IF('数据-取费表'!B22&lt;=1,"((1)+(2))×年利率×建设期÷2","((1)+(2))×((1+年利率)^(建设期÷2)-1)")</f>
        <v>((1)+(2))×((1+年利率)^(建设期÷2)-1)</v>
      </c>
      <c r="H22" s="456"/>
      <c r="I22" s="456"/>
      <c r="J22" s="456"/>
      <c r="K22" s="457"/>
    </row>
    <row r="23" spans="1:14" s="2118" customFormat="1" ht="13.5" customHeight="1">
      <c r="A23" s="1630" t="s">
        <v>1850</v>
      </c>
      <c r="B23" s="1326" t="s">
        <v>508</v>
      </c>
      <c r="C23" s="487">
        <f ca="1">ROUND(IF('数据-取费表'!B22&lt;=1,F20*F21*'数据-取费表'!B20/2,F20*(POWER((1+F21),'数据-取费表'!B20/2)-1)),4)</f>
        <v>4.0000000000000002E-4</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1" t="s">
        <v>1860</v>
      </c>
      <c r="B24" s="3030" t="s">
        <v>2831</v>
      </c>
      <c r="C24" s="477">
        <f ca="1">C25</f>
        <v>4412</v>
      </c>
      <c r="D24" s="488">
        <f ca="1">C26</f>
        <v>8.0000000000000004E-4</v>
      </c>
      <c r="E24" s="468" t="s">
        <v>507</v>
      </c>
      <c r="F24" s="478">
        <f ca="1">IF(B1="",'数据-取费表'!Q16,INDIRECT("'数据-取费表'!q"&amp;$K$1))</f>
        <v>0.08</v>
      </c>
      <c r="G24" s="443"/>
      <c r="H24" s="446"/>
      <c r="I24" s="446"/>
      <c r="J24" s="446"/>
      <c r="K24" s="447"/>
    </row>
    <row r="25" spans="1:14" s="2118" customFormat="1" ht="13.5" customHeight="1">
      <c r="A25" s="1630" t="s">
        <v>1849</v>
      </c>
      <c r="B25" s="1326" t="s">
        <v>2436</v>
      </c>
      <c r="C25" s="489">
        <f ca="1">ROUND((C18+C19)*F24,0)</f>
        <v>4412</v>
      </c>
      <c r="D25" s="471"/>
      <c r="E25" s="472"/>
      <c r="F25" s="479"/>
      <c r="G25" s="1324" t="s">
        <v>2433</v>
      </c>
      <c r="H25" s="456"/>
      <c r="I25" s="456"/>
      <c r="J25" s="456"/>
      <c r="K25" s="457"/>
    </row>
    <row r="26" spans="1:14" s="2118" customFormat="1" ht="13.5" customHeight="1">
      <c r="A26" s="1630" t="s">
        <v>1850</v>
      </c>
      <c r="B26" s="1326" t="s">
        <v>509</v>
      </c>
      <c r="C26" s="490">
        <f ca="1">ROUND(F20*F24,4)</f>
        <v>8.0000000000000004E-4</v>
      </c>
      <c r="D26" s="471"/>
      <c r="E26" s="480"/>
      <c r="F26" s="479"/>
      <c r="G26" s="1324" t="s">
        <v>510</v>
      </c>
      <c r="H26" s="456"/>
      <c r="I26" s="456"/>
      <c r="J26" s="456"/>
      <c r="K26" s="457"/>
    </row>
    <row r="27" spans="1:14" s="2118" customFormat="1" ht="13.5" customHeight="1">
      <c r="A27" s="1634" t="s">
        <v>1868</v>
      </c>
      <c r="B27" s="458" t="s">
        <v>511</v>
      </c>
      <c r="C27" s="3029">
        <f>ROUND(F27/(1+'数据-取费表'!C42),4)</f>
        <v>5.33E-2</v>
      </c>
      <c r="D27" s="461" t="s">
        <v>2829</v>
      </c>
      <c r="E27" s="461"/>
      <c r="F27" s="465">
        <f>'数据-取费表'!B41</f>
        <v>5.6000000000000001E-2</v>
      </c>
      <c r="G27" s="1958" t="s">
        <v>2291</v>
      </c>
      <c r="H27" s="446"/>
      <c r="I27" s="446"/>
      <c r="J27" s="446"/>
      <c r="K27" s="447"/>
    </row>
    <row r="28" spans="1:14" s="2119" customFormat="1" ht="13.5" customHeight="1">
      <c r="A28" s="1634" t="s">
        <v>1869</v>
      </c>
      <c r="B28" s="475" t="s">
        <v>512</v>
      </c>
      <c r="C28" s="469">
        <f ca="1">ROUND((C18+C19+C21+C24)/(1-C20-D21-D24-C27),0)</f>
        <v>65762</v>
      </c>
      <c r="D28" s="476"/>
      <c r="E28" s="468"/>
      <c r="F28" s="470"/>
      <c r="G28" s="1325" t="s">
        <v>2434</v>
      </c>
      <c r="H28" s="446"/>
      <c r="I28" s="446"/>
      <c r="J28" s="446"/>
      <c r="K28" s="447"/>
    </row>
    <row r="29" spans="1:14" s="2119" customFormat="1" ht="13.5" customHeight="1">
      <c r="A29" s="1634"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480" t="s">
        <v>1866</v>
      </c>
      <c r="B31" s="1328"/>
      <c r="C31" s="499">
        <f>ROUND(C6*F31/(1+'数据-取费表'!C42),0)</f>
        <v>0</v>
      </c>
      <c r="D31" s="1329"/>
      <c r="E31" s="1329"/>
      <c r="F31" s="500">
        <f>'数据-取费表'!B41</f>
        <v>5.6000000000000001E-2</v>
      </c>
      <c r="G31" s="1330"/>
      <c r="H31" s="1330"/>
      <c r="I31" s="1330"/>
      <c r="J31" s="1331"/>
      <c r="K31" s="1332"/>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1"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43" sqref="C4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467</v>
      </c>
      <c r="B2" s="507">
        <f>F68</f>
        <v>72829</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6" t="s">
        <v>1685</v>
      </c>
      <c r="B3" s="509">
        <f>ROUND(B2*10000/'数据-汇总表'!E3,0)</f>
        <v>4028</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4" customFormat="1" ht="28.5" customHeight="1">
      <c r="A4" s="510" t="s">
        <v>520</v>
      </c>
      <c r="B4" s="426">
        <f>IF(B48="单位面积地价",C50,ROUND(B2*10000/'数据-汇总表'!D3,0))</f>
        <v>9998</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667</v>
      </c>
      <c r="C5" s="430"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521</v>
      </c>
      <c r="B6" s="512"/>
      <c r="C6" s="3677" t="s">
        <v>522</v>
      </c>
      <c r="D6" s="3678"/>
      <c r="E6" s="3677" t="s">
        <v>523</v>
      </c>
      <c r="F6" s="3678"/>
      <c r="G6" s="3677" t="s">
        <v>524</v>
      </c>
      <c r="H6" s="3678"/>
      <c r="I6" s="3677" t="s">
        <v>525</v>
      </c>
      <c r="J6" s="3678"/>
      <c r="K6" s="513" t="s">
        <v>526</v>
      </c>
      <c r="L6" s="2131"/>
      <c r="M6" s="2130"/>
      <c r="N6" s="2130"/>
      <c r="O6" s="2132"/>
      <c r="P6" s="3679" t="s">
        <v>527</v>
      </c>
      <c r="Q6" s="3680"/>
      <c r="R6" s="3665" t="s">
        <v>523</v>
      </c>
      <c r="S6" s="3666"/>
      <c r="T6" s="3665" t="s">
        <v>524</v>
      </c>
      <c r="U6" s="3666"/>
      <c r="V6" s="3685" t="s">
        <v>525</v>
      </c>
      <c r="W6" s="3685"/>
      <c r="X6" s="1564"/>
      <c r="Y6" s="3665" t="s">
        <v>527</v>
      </c>
      <c r="Z6" s="3666"/>
      <c r="AA6" s="3660" t="s">
        <v>523</v>
      </c>
      <c r="AB6" s="3661" t="s">
        <v>524</v>
      </c>
      <c r="AC6" s="3660" t="s">
        <v>525</v>
      </c>
    </row>
    <row r="7" spans="1:30" ht="20.25">
      <c r="A7" s="514"/>
      <c r="B7" s="515"/>
      <c r="C7" s="3688" t="s">
        <v>2928</v>
      </c>
      <c r="D7" s="3689"/>
      <c r="E7" s="3688" t="str">
        <f>土地案例1!A2</f>
        <v>高新区新业路以南、规划中34号线以东、规划中32号线以西</v>
      </c>
      <c r="F7" s="3689"/>
      <c r="G7" s="3688" t="str">
        <f>土地案例1!A5</f>
        <v>高新区河东路以南、聚贤桥路以西、广盛支路两侧</v>
      </c>
      <c r="H7" s="3689"/>
      <c r="I7" s="3688" t="str">
        <f>土地案例1!A6</f>
        <v>高新区河东路以南、聚贤桥路以西、广盛支路两侧</v>
      </c>
      <c r="J7" s="3689"/>
      <c r="K7" s="513"/>
      <c r="L7" s="2131"/>
      <c r="M7" s="2130"/>
      <c r="N7" s="2130"/>
      <c r="O7" s="2132"/>
      <c r="P7" s="3681"/>
      <c r="Q7" s="3682"/>
      <c r="R7" s="3667"/>
      <c r="S7" s="3668"/>
      <c r="T7" s="3667"/>
      <c r="U7" s="3668"/>
      <c r="V7" s="3685"/>
      <c r="W7" s="3685"/>
      <c r="X7" s="1564"/>
      <c r="Y7" s="3667"/>
      <c r="Z7" s="3668"/>
      <c r="AA7" s="3661"/>
      <c r="AB7" s="3661"/>
      <c r="AC7" s="3661"/>
    </row>
    <row r="8" spans="1:30" ht="21" thickBot="1">
      <c r="A8" s="514"/>
      <c r="B8" s="515"/>
      <c r="C8" s="3690" t="s">
        <v>2932</v>
      </c>
      <c r="D8" s="3691"/>
      <c r="E8" s="3690" t="str">
        <f>土地案例1!G2</f>
        <v>G-2018-024</v>
      </c>
      <c r="F8" s="3691"/>
      <c r="G8" s="3686" t="str">
        <f>土地案例1!G5</f>
        <v>G-2018-007-1</v>
      </c>
      <c r="H8" s="3687"/>
      <c r="I8" s="3686" t="str">
        <f>土地案例1!G6</f>
        <v>G-2018-007-2</v>
      </c>
      <c r="J8" s="3687"/>
      <c r="K8" s="513" t="s">
        <v>528</v>
      </c>
      <c r="L8" s="2131"/>
      <c r="M8" s="2130"/>
      <c r="N8" s="2130"/>
      <c r="O8" s="2132"/>
      <c r="P8" s="3683"/>
      <c r="Q8" s="3684"/>
      <c r="R8" s="3667"/>
      <c r="S8" s="3668"/>
      <c r="T8" s="3669"/>
      <c r="U8" s="3670"/>
      <c r="V8" s="3685"/>
      <c r="W8" s="3685"/>
      <c r="X8" s="1564"/>
      <c r="Y8" s="3669"/>
      <c r="Z8" s="3670"/>
      <c r="AA8" s="3662"/>
      <c r="AB8" s="3662"/>
      <c r="AC8" s="3662"/>
    </row>
    <row r="9" spans="1:30" s="1218" customFormat="1" ht="21" thickBot="1">
      <c r="A9" s="2910"/>
      <c r="B9" s="2917" t="s">
        <v>529</v>
      </c>
      <c r="C9" s="2909">
        <f>'数据-取费表'!B2</f>
        <v>43346</v>
      </c>
      <c r="D9" s="519">
        <v>100</v>
      </c>
      <c r="E9" s="520" t="str">
        <f>土地案例1!L2</f>
        <v>2018-07-30</v>
      </c>
      <c r="F9" s="521">
        <f>SUMIF(72:72,YEAR(E9)&amp;"-"&amp;INT((MONTH(E9)+2)/3),73:73)</f>
        <v>100</v>
      </c>
      <c r="G9" s="522" t="str">
        <f>土地案例1!L5</f>
        <v>2018-03-30</v>
      </c>
      <c r="H9" s="519">
        <f>SUMIF(72:72,YEAR(G9)&amp;"-"&amp;INT((MONTH(G9)+2)/3),73:73)</f>
        <v>98</v>
      </c>
      <c r="I9" s="522" t="str">
        <f>土地案例1!L6</f>
        <v>2018-03-30</v>
      </c>
      <c r="J9" s="519">
        <f>SUMIF(72:72,YEAR(I9)&amp;"-"&amp;INT((MONTH(I9)+2)/3),73:73)</f>
        <v>98</v>
      </c>
      <c r="K9" s="523"/>
      <c r="L9" s="2133"/>
      <c r="M9" s="2130"/>
      <c r="N9" s="2130"/>
      <c r="O9" s="2134"/>
      <c r="P9" s="3663" t="s">
        <v>530</v>
      </c>
      <c r="Q9" s="3672"/>
      <c r="R9" s="1565" t="s">
        <v>8</v>
      </c>
      <c r="S9" s="1566">
        <f t="shared" ref="S9:S17" si="0">F9</f>
        <v>100</v>
      </c>
      <c r="T9" s="1565" t="s">
        <v>8</v>
      </c>
      <c r="U9" s="1566">
        <f t="shared" ref="U9:U17" si="1">H9</f>
        <v>98</v>
      </c>
      <c r="V9" s="1565" t="s">
        <v>8</v>
      </c>
      <c r="W9" s="1566">
        <f t="shared" ref="W9:W17" si="2">J9</f>
        <v>98</v>
      </c>
      <c r="X9" s="1567"/>
      <c r="Y9" s="3663" t="s">
        <v>530</v>
      </c>
      <c r="Z9" s="3664"/>
      <c r="AA9" s="1568">
        <f>D9/F9</f>
        <v>1</v>
      </c>
      <c r="AB9" s="1568">
        <f>D9/H9</f>
        <v>1.0204081632653061</v>
      </c>
      <c r="AC9" s="1568">
        <f>D9/J9</f>
        <v>1.0204081632653061</v>
      </c>
    </row>
    <row r="10" spans="1:30" s="1218" customFormat="1" ht="21" thickBot="1">
      <c r="A10" s="2911"/>
      <c r="B10" s="2918" t="s">
        <v>531</v>
      </c>
      <c r="C10" s="855" t="s">
        <v>532</v>
      </c>
      <c r="D10" s="519">
        <v>100</v>
      </c>
      <c r="E10" s="524" t="s">
        <v>3399</v>
      </c>
      <c r="F10" s="521">
        <f>SUMIF(75:75,E10,76:76)-SUMIF(75:75,C10,76:76)+100</f>
        <v>100</v>
      </c>
      <c r="G10" s="524" t="s">
        <v>3399</v>
      </c>
      <c r="H10" s="519">
        <f>SUMIF(75:75,G10,76:76)-SUMIF(75:75,C10,76:76)+100</f>
        <v>100</v>
      </c>
      <c r="I10" s="524" t="s">
        <v>3399</v>
      </c>
      <c r="J10" s="519">
        <f>SUMIF(75:75,I10,76:76)-SUMIF(75:75,C10,76:76)+100</f>
        <v>100</v>
      </c>
      <c r="K10" s="523"/>
      <c r="L10" s="2133"/>
      <c r="M10" s="2130"/>
      <c r="N10" s="2130"/>
      <c r="O10" s="2134"/>
      <c r="P10" s="3663" t="s">
        <v>533</v>
      </c>
      <c r="Q10" s="3664"/>
      <c r="R10" s="1565" t="s">
        <v>8</v>
      </c>
      <c r="S10" s="1566">
        <f t="shared" si="0"/>
        <v>100</v>
      </c>
      <c r="T10" s="1565" t="s">
        <v>8</v>
      </c>
      <c r="U10" s="1566">
        <f t="shared" si="1"/>
        <v>100</v>
      </c>
      <c r="V10" s="1565" t="s">
        <v>8</v>
      </c>
      <c r="W10" s="1566">
        <f t="shared" si="2"/>
        <v>100</v>
      </c>
      <c r="X10" s="1567"/>
      <c r="Y10" s="3663" t="s">
        <v>533</v>
      </c>
      <c r="Z10" s="3664"/>
      <c r="AA10" s="1568">
        <f t="shared" ref="AA10:AA47" si="3">D10/F10</f>
        <v>1</v>
      </c>
      <c r="AB10" s="1568">
        <f t="shared" ref="AB10:AB47" si="4">D10/H10</f>
        <v>1</v>
      </c>
      <c r="AC10" s="1568">
        <f t="shared" ref="AC10:AC47" si="5">D10/J10</f>
        <v>1</v>
      </c>
    </row>
    <row r="11" spans="1:30" s="1218" customFormat="1" ht="28.5">
      <c r="A11" s="2912"/>
      <c r="B11" s="2919" t="s">
        <v>2755</v>
      </c>
      <c r="C11" s="2906" t="s">
        <v>3400</v>
      </c>
      <c r="D11" s="253">
        <v>100</v>
      </c>
      <c r="E11" s="525" t="s">
        <v>3220</v>
      </c>
      <c r="F11" s="253">
        <f>SUMIF(77:77,E11,78:78)-SUMIF(77:77,C11,78:78)+100</f>
        <v>100</v>
      </c>
      <c r="G11" s="525" t="s">
        <v>3234</v>
      </c>
      <c r="H11" s="253">
        <f>SUMIF(77:77,G11,78:78)-SUMIF(77:77,C11,78:78)+100</f>
        <v>100</v>
      </c>
      <c r="I11" s="525" t="s">
        <v>3234</v>
      </c>
      <c r="J11" s="253">
        <f>SUMIF(77:77,I11,78:78)-SUMIF(77:77,C11,78:78)+100</f>
        <v>100</v>
      </c>
      <c r="K11" s="523"/>
      <c r="L11" s="2133"/>
      <c r="M11" s="2130"/>
      <c r="N11" s="2130"/>
      <c r="O11" s="2135"/>
      <c r="P11" s="3671" t="s">
        <v>535</v>
      </c>
      <c r="Q11" s="1149" t="str">
        <f t="shared" ref="Q11:Q17" si="6">B11</f>
        <v>用途</v>
      </c>
      <c r="R11" s="1565" t="s">
        <v>8</v>
      </c>
      <c r="S11" s="1566">
        <f t="shared" si="0"/>
        <v>100</v>
      </c>
      <c r="T11" s="1565" t="s">
        <v>8</v>
      </c>
      <c r="U11" s="1566">
        <f t="shared" si="1"/>
        <v>100</v>
      </c>
      <c r="V11" s="1565" t="s">
        <v>8</v>
      </c>
      <c r="W11" s="1566">
        <f t="shared" si="2"/>
        <v>100</v>
      </c>
      <c r="X11" s="1567"/>
      <c r="Y11" s="3628" t="s">
        <v>536</v>
      </c>
      <c r="Z11" s="1148" t="str">
        <f t="shared" ref="Z11:Z17" si="7">Q11</f>
        <v>用途</v>
      </c>
      <c r="AA11" s="1568">
        <f t="shared" si="3"/>
        <v>1</v>
      </c>
      <c r="AB11" s="1568">
        <f t="shared" si="4"/>
        <v>1</v>
      </c>
      <c r="AC11" s="1568">
        <f t="shared" si="5"/>
        <v>1</v>
      </c>
    </row>
    <row r="12" spans="1:30" s="1336" customFormat="1" ht="27">
      <c r="A12" s="2913"/>
      <c r="B12" s="2918" t="s">
        <v>2756</v>
      </c>
      <c r="C12" s="908">
        <f>项目基本情况!D20</f>
        <v>0</v>
      </c>
      <c r="D12" s="254">
        <v>100</v>
      </c>
      <c r="E12" s="528"/>
      <c r="F12" s="254">
        <f>ROUND(100/'数据-取费表'!G16,0)</f>
        <v>100</v>
      </c>
      <c r="G12" s="529"/>
      <c r="H12" s="254">
        <f>ROUND(100/'数据-取费表'!G16,0)</f>
        <v>100</v>
      </c>
      <c r="I12" s="529"/>
      <c r="J12" s="254">
        <f>ROUND(100/'数据-取费表'!G16,0)</f>
        <v>100</v>
      </c>
      <c r="K12" s="530"/>
      <c r="L12" s="2136"/>
      <c r="M12" s="2130"/>
      <c r="N12" s="2130"/>
      <c r="O12" s="2137"/>
      <c r="P12" s="3671"/>
      <c r="Q12" s="1149" t="str">
        <f t="shared" si="6"/>
        <v>土地使用年限（年）</v>
      </c>
      <c r="R12" s="1565" t="s">
        <v>8</v>
      </c>
      <c r="S12" s="1566">
        <f t="shared" si="0"/>
        <v>100</v>
      </c>
      <c r="T12" s="1565" t="s">
        <v>8</v>
      </c>
      <c r="U12" s="1566">
        <f t="shared" si="1"/>
        <v>100</v>
      </c>
      <c r="V12" s="1565" t="s">
        <v>8</v>
      </c>
      <c r="W12" s="1566">
        <f t="shared" si="2"/>
        <v>100</v>
      </c>
      <c r="X12" s="1567"/>
      <c r="Y12" s="3628"/>
      <c r="Z12" s="1148" t="str">
        <f t="shared" si="7"/>
        <v>土地使用年限（年）</v>
      </c>
      <c r="AA12" s="1568">
        <f t="shared" si="3"/>
        <v>1</v>
      </c>
      <c r="AB12" s="1568">
        <f t="shared" si="4"/>
        <v>1</v>
      </c>
      <c r="AC12" s="1568">
        <f t="shared" si="5"/>
        <v>1</v>
      </c>
    </row>
    <row r="13" spans="1:30" ht="20.25">
      <c r="A13" s="2914"/>
      <c r="B13" s="2918" t="s">
        <v>2757</v>
      </c>
      <c r="C13" s="533">
        <f>'数据-汇总表'!I6</f>
        <v>1.8</v>
      </c>
      <c r="D13" s="254">
        <v>100</v>
      </c>
      <c r="E13" s="532">
        <v>1.8</v>
      </c>
      <c r="F13" s="254">
        <f>LOOKUP(E13,82:82,83:83)-LOOKUP(C13,82:82,83:83)+100</f>
        <v>100</v>
      </c>
      <c r="G13" s="533">
        <v>1.8</v>
      </c>
      <c r="H13" s="254">
        <f>LOOKUP(G13,82:82,83:83)-LOOKUP(C13,82:82,83:83)+100</f>
        <v>100</v>
      </c>
      <c r="I13" s="532">
        <v>1.8</v>
      </c>
      <c r="J13" s="254">
        <f>LOOKUP(I13,82:82,83:83)-LOOKUP(C13,82:82,83:83)+100</f>
        <v>100</v>
      </c>
      <c r="K13" s="534">
        <v>3</v>
      </c>
      <c r="L13" s="2138"/>
      <c r="M13" s="2130"/>
      <c r="N13" s="2130"/>
      <c r="O13" s="2139"/>
      <c r="P13" s="3671"/>
      <c r="Q13" s="1149" t="str">
        <f t="shared" si="6"/>
        <v>容积率</v>
      </c>
      <c r="R13" s="1565" t="s">
        <v>8</v>
      </c>
      <c r="S13" s="1566">
        <f t="shared" si="0"/>
        <v>100</v>
      </c>
      <c r="T13" s="1565" t="s">
        <v>8</v>
      </c>
      <c r="U13" s="1566">
        <f t="shared" si="1"/>
        <v>100</v>
      </c>
      <c r="V13" s="1565" t="s">
        <v>8</v>
      </c>
      <c r="W13" s="1566">
        <f t="shared" si="2"/>
        <v>100</v>
      </c>
      <c r="X13" s="1567"/>
      <c r="Y13" s="3628"/>
      <c r="Z13" s="1148" t="str">
        <f t="shared" si="7"/>
        <v>容积率</v>
      </c>
      <c r="AA13" s="1568">
        <f t="shared" si="3"/>
        <v>1</v>
      </c>
      <c r="AB13" s="1568">
        <f t="shared" si="4"/>
        <v>1</v>
      </c>
      <c r="AC13" s="1568">
        <f t="shared" si="5"/>
        <v>1</v>
      </c>
    </row>
    <row r="14" spans="1:30" s="1218" customFormat="1" ht="20.25">
      <c r="A14" s="2911"/>
      <c r="B14" s="2920" t="s">
        <v>2758</v>
      </c>
      <c r="C14" s="2907" t="s">
        <v>3403</v>
      </c>
      <c r="D14" s="537">
        <v>100</v>
      </c>
      <c r="E14" s="2907" t="s">
        <v>3403</v>
      </c>
      <c r="F14" s="254">
        <f>SUMIF(84:84,E14,85:85)-SUMIF(84:84,C14,85:85)+100</f>
        <v>100</v>
      </c>
      <c r="G14" s="2907" t="s">
        <v>3403</v>
      </c>
      <c r="H14" s="254">
        <f>SUMIF(84:84,G14,85:85)-SUMIF(84:84,C14,85:85)+100</f>
        <v>100</v>
      </c>
      <c r="I14" s="2907" t="s">
        <v>3403</v>
      </c>
      <c r="J14" s="254">
        <f>SUMIF(84:84,I14,85:85)-SUMIF(84:84,C14,85:85)+100</f>
        <v>100</v>
      </c>
      <c r="K14" s="530"/>
      <c r="L14" s="2133"/>
      <c r="M14" s="2130"/>
      <c r="N14" s="2130"/>
      <c r="O14" s="2135"/>
      <c r="P14" s="3671"/>
      <c r="Q14" s="1149" t="str">
        <f t="shared" si="6"/>
        <v>配建</v>
      </c>
      <c r="R14" s="1565" t="s">
        <v>8</v>
      </c>
      <c r="S14" s="1566">
        <f t="shared" si="0"/>
        <v>100</v>
      </c>
      <c r="T14" s="1565" t="s">
        <v>8</v>
      </c>
      <c r="U14" s="1566">
        <f t="shared" si="1"/>
        <v>100</v>
      </c>
      <c r="V14" s="1565" t="s">
        <v>8</v>
      </c>
      <c r="W14" s="1566">
        <f t="shared" si="2"/>
        <v>100</v>
      </c>
      <c r="X14" s="1567"/>
      <c r="Y14" s="3628"/>
      <c r="Z14" s="1148" t="str">
        <f t="shared" si="7"/>
        <v>配建</v>
      </c>
      <c r="AA14" s="1568">
        <f>D14/F14</f>
        <v>1</v>
      </c>
      <c r="AB14" s="1568">
        <f>D14/H14</f>
        <v>1</v>
      </c>
      <c r="AC14" s="1568">
        <f>D14/J14</f>
        <v>1</v>
      </c>
    </row>
    <row r="15" spans="1:30" ht="20.25">
      <c r="A15" s="2915"/>
      <c r="B15" s="2921" t="s">
        <v>3401</v>
      </c>
      <c r="C15" s="910">
        <v>50129.264000000003</v>
      </c>
      <c r="D15" s="539">
        <v>100</v>
      </c>
      <c r="E15" s="540">
        <v>50619.807999999997</v>
      </c>
      <c r="F15" s="254">
        <f>SUMIF(86:86,E15,87:87)-SUMIF(86:86,C15,87:87)+100</f>
        <v>100</v>
      </c>
      <c r="G15" s="541">
        <v>17218.184000000001</v>
      </c>
      <c r="H15" s="539">
        <f>SUMIF(86:86,G15,87:87)-SUMIF(86:86,C15,87:87)+100</f>
        <v>100</v>
      </c>
      <c r="I15" s="541">
        <v>41689.216</v>
      </c>
      <c r="J15" s="539">
        <f>SUMIF(86:86,I15,87:87)-SUMIF(86:86,C15,87:87)+100</f>
        <v>100</v>
      </c>
      <c r="K15" s="530"/>
      <c r="L15" s="2140"/>
      <c r="M15" s="2130"/>
      <c r="N15" s="2130"/>
      <c r="O15" s="2139"/>
      <c r="P15" s="3671"/>
      <c r="Q15" s="1149" t="str">
        <f t="shared" si="6"/>
        <v>人才公寓面积</v>
      </c>
      <c r="R15" s="1565" t="s">
        <v>8</v>
      </c>
      <c r="S15" s="1566">
        <f t="shared" si="0"/>
        <v>100</v>
      </c>
      <c r="T15" s="1565" t="s">
        <v>8</v>
      </c>
      <c r="U15" s="1566">
        <f t="shared" si="1"/>
        <v>100</v>
      </c>
      <c r="V15" s="1565" t="s">
        <v>8</v>
      </c>
      <c r="W15" s="1566">
        <f t="shared" si="2"/>
        <v>100</v>
      </c>
      <c r="X15" s="1567"/>
      <c r="Y15" s="3628"/>
      <c r="Z15" s="1148" t="str">
        <f t="shared" si="7"/>
        <v>人才公寓面积</v>
      </c>
      <c r="AA15" s="1568">
        <f>D15/F15</f>
        <v>1</v>
      </c>
      <c r="AB15" s="1568">
        <f>D15/H15</f>
        <v>1</v>
      </c>
      <c r="AC15" s="1568">
        <f>D15/J15</f>
        <v>1</v>
      </c>
    </row>
    <row r="16" spans="1:30" ht="21" thickBot="1">
      <c r="A16" s="2916"/>
      <c r="B16" s="2922" t="s">
        <v>3402</v>
      </c>
      <c r="C16" s="913">
        <v>7992</v>
      </c>
      <c r="D16" s="545">
        <v>100</v>
      </c>
      <c r="E16" s="540">
        <v>7992</v>
      </c>
      <c r="F16" s="545">
        <f>SUMIF(88:88,E16,89:89)-SUMIF(88:88,C16,89:89)+100</f>
        <v>100</v>
      </c>
      <c r="G16" s="541">
        <v>7980</v>
      </c>
      <c r="H16" s="545">
        <f>SUMIF(88:88,G16,89:89)-SUMIF(88:88,C16,89:89)+100</f>
        <v>100</v>
      </c>
      <c r="I16" s="541">
        <v>7980</v>
      </c>
      <c r="J16" s="545">
        <f>SUMIF(88:88,I16,89:89)-SUMIF(88:88,C16,89:89)+100</f>
        <v>100</v>
      </c>
      <c r="K16" s="530"/>
      <c r="L16" s="2140"/>
      <c r="M16" s="2130"/>
      <c r="N16" s="2130"/>
      <c r="O16" s="2139"/>
      <c r="P16" s="3671"/>
      <c r="Q16" s="1149" t="str">
        <f t="shared" si="6"/>
        <v>销售均价</v>
      </c>
      <c r="R16" s="1565" t="s">
        <v>8</v>
      </c>
      <c r="S16" s="1566">
        <f t="shared" si="0"/>
        <v>100</v>
      </c>
      <c r="T16" s="1565" t="s">
        <v>8</v>
      </c>
      <c r="U16" s="1566">
        <f t="shared" si="1"/>
        <v>100</v>
      </c>
      <c r="V16" s="1565" t="s">
        <v>8</v>
      </c>
      <c r="W16" s="1566">
        <f t="shared" si="2"/>
        <v>100</v>
      </c>
      <c r="X16" s="1567"/>
      <c r="Y16" s="3628"/>
      <c r="Z16" s="1148" t="str">
        <f t="shared" si="7"/>
        <v>销售均价</v>
      </c>
      <c r="AA16" s="1568">
        <f>D16/F16</f>
        <v>1</v>
      </c>
      <c r="AB16" s="1568">
        <f>D16/H16</f>
        <v>1</v>
      </c>
      <c r="AC16" s="1568">
        <f>D16/J16</f>
        <v>1</v>
      </c>
    </row>
    <row r="17" spans="1:29" ht="99.75">
      <c r="A17" s="2908"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51"/>
      <c r="H17" s="548">
        <f>SUMIF(90:90,G18,91:91)-SUMIF(90:90,C18,91:91)+100</f>
        <v>100</v>
      </c>
      <c r="I17" s="551"/>
      <c r="J17" s="548">
        <f>SUMIF(90:90,I18,91:91)-SUMIF(90:90,C18,91:91)+100</f>
        <v>100</v>
      </c>
      <c r="K17" s="534">
        <v>3</v>
      </c>
      <c r="L17" s="2140"/>
      <c r="M17" s="2130"/>
      <c r="N17" s="2130"/>
      <c r="O17" s="2139"/>
      <c r="P17" s="3673" t="s">
        <v>540</v>
      </c>
      <c r="Q17" s="1569" t="str">
        <f t="shared" si="6"/>
        <v>居住社区成熟度</v>
      </c>
      <c r="R17" s="1570" t="s">
        <v>8</v>
      </c>
      <c r="S17" s="1571">
        <f t="shared" si="0"/>
        <v>100</v>
      </c>
      <c r="T17" s="1570" t="s">
        <v>8</v>
      </c>
      <c r="U17" s="1571">
        <f t="shared" si="1"/>
        <v>100</v>
      </c>
      <c r="V17" s="1570" t="s">
        <v>8</v>
      </c>
      <c r="W17" s="1571">
        <f t="shared" si="2"/>
        <v>100</v>
      </c>
      <c r="X17" s="1564"/>
      <c r="Y17" s="3673" t="s">
        <v>540</v>
      </c>
      <c r="Z17" s="1572" t="str">
        <f t="shared" si="7"/>
        <v>居住社区成熟度</v>
      </c>
      <c r="AA17" s="1573">
        <f t="shared" si="3"/>
        <v>1</v>
      </c>
      <c r="AB17" s="1573">
        <f t="shared" si="4"/>
        <v>1</v>
      </c>
      <c r="AC17" s="1573">
        <f t="shared" si="5"/>
        <v>1</v>
      </c>
    </row>
    <row r="18" spans="1:29" ht="20.25">
      <c r="A18" s="531"/>
      <c r="B18" s="552"/>
      <c r="C18" s="553" t="s">
        <v>3405</v>
      </c>
      <c r="D18" s="556"/>
      <c r="E18" s="557" t="s">
        <v>3405</v>
      </c>
      <c r="F18" s="554"/>
      <c r="G18" s="557" t="s">
        <v>3405</v>
      </c>
      <c r="H18" s="558"/>
      <c r="I18" s="557" t="s">
        <v>3405</v>
      </c>
      <c r="J18" s="554"/>
      <c r="K18" s="530"/>
      <c r="L18" s="2140"/>
      <c r="M18" s="2130"/>
      <c r="N18" s="2130"/>
      <c r="O18" s="2139"/>
      <c r="P18" s="3674"/>
      <c r="Q18" s="1569"/>
      <c r="R18" s="1570"/>
      <c r="S18" s="1571"/>
      <c r="T18" s="1570"/>
      <c r="U18" s="1571"/>
      <c r="V18" s="1570"/>
      <c r="W18" s="1571"/>
      <c r="X18" s="1564"/>
      <c r="Y18" s="3674"/>
      <c r="Z18" s="1572"/>
      <c r="AA18" s="1573">
        <v>1</v>
      </c>
      <c r="AB18" s="1573">
        <v>1</v>
      </c>
      <c r="AC18" s="1573">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100</v>
      </c>
      <c r="I19" s="563"/>
      <c r="J19" s="564">
        <f>SUMIF(92:92,I20,93:93)-SUMIF(92:92,C20,93:93)+100</f>
        <v>100</v>
      </c>
      <c r="K19" s="534">
        <v>2</v>
      </c>
      <c r="L19" s="2140"/>
      <c r="M19" s="2130"/>
      <c r="N19" s="2130"/>
      <c r="O19" s="2139"/>
      <c r="P19" s="3674"/>
      <c r="Q19" s="1569" t="str">
        <f>B19</f>
        <v>商业繁华度</v>
      </c>
      <c r="R19" s="1570" t="s">
        <v>8</v>
      </c>
      <c r="S19" s="1571">
        <f>F19</f>
        <v>100</v>
      </c>
      <c r="T19" s="1570" t="s">
        <v>8</v>
      </c>
      <c r="U19" s="1571">
        <f>H19</f>
        <v>100</v>
      </c>
      <c r="V19" s="1570" t="s">
        <v>8</v>
      </c>
      <c r="W19" s="1571">
        <f>J19</f>
        <v>100</v>
      </c>
      <c r="X19" s="1564"/>
      <c r="Y19" s="3674"/>
      <c r="Z19" s="1572" t="str">
        <f>Q19</f>
        <v>商业繁华度</v>
      </c>
      <c r="AA19" s="1573">
        <f t="shared" si="3"/>
        <v>1</v>
      </c>
      <c r="AB19" s="1573">
        <f t="shared" si="4"/>
        <v>1</v>
      </c>
      <c r="AC19" s="1573">
        <f t="shared" si="5"/>
        <v>1</v>
      </c>
    </row>
    <row r="20" spans="1:29" ht="20.25">
      <c r="A20" s="531"/>
      <c r="B20" s="565"/>
      <c r="C20" s="566" t="s">
        <v>3404</v>
      </c>
      <c r="D20" s="562"/>
      <c r="E20" s="568" t="s">
        <v>3404</v>
      </c>
      <c r="F20" s="558"/>
      <c r="G20" s="568" t="s">
        <v>3404</v>
      </c>
      <c r="H20" s="554"/>
      <c r="I20" s="568" t="s">
        <v>3404</v>
      </c>
      <c r="J20" s="554"/>
      <c r="K20" s="530"/>
      <c r="L20" s="2140"/>
      <c r="M20" s="2130"/>
      <c r="N20" s="2130"/>
      <c r="O20" s="2139"/>
      <c r="P20" s="3674"/>
      <c r="Q20" s="1569"/>
      <c r="R20" s="1570"/>
      <c r="S20" s="1571"/>
      <c r="T20" s="1570"/>
      <c r="U20" s="1571"/>
      <c r="V20" s="1570"/>
      <c r="W20" s="1571"/>
      <c r="X20" s="1564"/>
      <c r="Y20" s="3674"/>
      <c r="Z20" s="1572"/>
      <c r="AA20" s="1573">
        <v>1</v>
      </c>
      <c r="AB20" s="1573">
        <v>1</v>
      </c>
      <c r="AC20" s="1573">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c r="L21" s="2140"/>
      <c r="M21" s="2130"/>
      <c r="N21" s="2130"/>
      <c r="O21" s="2139"/>
      <c r="P21" s="3674"/>
      <c r="Q21" s="1569" t="str">
        <f>B21</f>
        <v>办公集聚程度</v>
      </c>
      <c r="R21" s="1570" t="s">
        <v>8</v>
      </c>
      <c r="S21" s="1571">
        <f>F21</f>
        <v>100</v>
      </c>
      <c r="T21" s="1570" t="s">
        <v>8</v>
      </c>
      <c r="U21" s="1571">
        <f>H21</f>
        <v>100</v>
      </c>
      <c r="V21" s="1570" t="s">
        <v>8</v>
      </c>
      <c r="W21" s="1571">
        <f>J21</f>
        <v>100</v>
      </c>
      <c r="X21" s="1564"/>
      <c r="Y21" s="3674"/>
      <c r="Z21" s="1572" t="str">
        <f>Q21</f>
        <v>办公集聚程度</v>
      </c>
      <c r="AA21" s="1573">
        <f t="shared" si="3"/>
        <v>1</v>
      </c>
      <c r="AB21" s="1573">
        <f t="shared" si="4"/>
        <v>1</v>
      </c>
      <c r="AC21" s="1573">
        <f t="shared" si="5"/>
        <v>1</v>
      </c>
    </row>
    <row r="22" spans="1:29" ht="20.25" hidden="1">
      <c r="A22" s="531"/>
      <c r="B22" s="565"/>
      <c r="C22" s="553"/>
      <c r="D22" s="556"/>
      <c r="E22" s="557"/>
      <c r="F22" s="554"/>
      <c r="G22" s="557"/>
      <c r="H22" s="554"/>
      <c r="I22" s="557"/>
      <c r="J22" s="554"/>
      <c r="K22" s="530"/>
      <c r="L22" s="2140"/>
      <c r="M22" s="2130"/>
      <c r="N22" s="2130"/>
      <c r="O22" s="2139"/>
      <c r="P22" s="3674"/>
      <c r="Q22" s="1569"/>
      <c r="R22" s="1570"/>
      <c r="S22" s="1571"/>
      <c r="T22" s="1570"/>
      <c r="U22" s="1571"/>
      <c r="V22" s="1570"/>
      <c r="W22" s="1571"/>
      <c r="X22" s="1564"/>
      <c r="Y22" s="3674"/>
      <c r="Z22" s="1572"/>
      <c r="AA22" s="1573">
        <v>1</v>
      </c>
      <c r="AB22" s="1573">
        <v>1</v>
      </c>
      <c r="AC22" s="1573">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3"/>
      <c r="H23" s="558">
        <f>SUMIF(96:96,G24,97:97)-SUMIF(96:96,C24,97:97)+100</f>
        <v>100</v>
      </c>
      <c r="I23" s="563"/>
      <c r="J23" s="558">
        <f>SUMIF(96:96,I24,97:97)-SUMIF(96:96,C24,97:97)+100</f>
        <v>100</v>
      </c>
      <c r="K23" s="534">
        <v>3</v>
      </c>
      <c r="L23" s="2140"/>
      <c r="M23" s="2130"/>
      <c r="N23" s="2130"/>
      <c r="O23" s="2139"/>
      <c r="P23" s="3674"/>
      <c r="Q23" s="1569" t="str">
        <f>B23</f>
        <v>交通便捷度</v>
      </c>
      <c r="R23" s="1570" t="s">
        <v>8</v>
      </c>
      <c r="S23" s="1571">
        <f>F23</f>
        <v>100</v>
      </c>
      <c r="T23" s="1570" t="s">
        <v>8</v>
      </c>
      <c r="U23" s="1571">
        <f>H23</f>
        <v>100</v>
      </c>
      <c r="V23" s="1570" t="s">
        <v>8</v>
      </c>
      <c r="W23" s="1571">
        <f>J23</f>
        <v>100</v>
      </c>
      <c r="X23" s="1564"/>
      <c r="Y23" s="3674"/>
      <c r="Z23" s="1572" t="str">
        <f>Q23</f>
        <v>交通便捷度</v>
      </c>
      <c r="AA23" s="1573">
        <f t="shared" si="3"/>
        <v>1</v>
      </c>
      <c r="AB23" s="1573">
        <f t="shared" si="4"/>
        <v>1</v>
      </c>
      <c r="AC23" s="1573">
        <f t="shared" si="5"/>
        <v>1</v>
      </c>
    </row>
    <row r="24" spans="1:29" ht="20.25">
      <c r="A24" s="531"/>
      <c r="B24" s="577"/>
      <c r="C24" s="553" t="s">
        <v>3405</v>
      </c>
      <c r="D24" s="556"/>
      <c r="E24" s="557" t="s">
        <v>3405</v>
      </c>
      <c r="F24" s="554"/>
      <c r="G24" s="557" t="s">
        <v>3405</v>
      </c>
      <c r="H24" s="554"/>
      <c r="I24" s="557" t="s">
        <v>3405</v>
      </c>
      <c r="J24" s="554"/>
      <c r="K24" s="530"/>
      <c r="L24" s="2140"/>
      <c r="M24" s="2130"/>
      <c r="N24" s="2130"/>
      <c r="O24" s="2139"/>
      <c r="P24" s="3674"/>
      <c r="Q24" s="1569"/>
      <c r="R24" s="1570"/>
      <c r="S24" s="1571"/>
      <c r="T24" s="1570"/>
      <c r="U24" s="1571"/>
      <c r="V24" s="1570"/>
      <c r="W24" s="1571"/>
      <c r="X24" s="1564"/>
      <c r="Y24" s="3674"/>
      <c r="Z24" s="1572"/>
      <c r="AA24" s="1573">
        <v>1</v>
      </c>
      <c r="AB24" s="1573">
        <v>1</v>
      </c>
      <c r="AC24" s="1573">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5</v>
      </c>
      <c r="L25" s="2140"/>
      <c r="M25" s="2130"/>
      <c r="N25" s="2130"/>
      <c r="O25" s="2139"/>
      <c r="P25" s="3674"/>
      <c r="Q25" s="1569" t="str">
        <f t="shared" ref="Q25:Q39" si="8">B25</f>
        <v>区域土地利用方向</v>
      </c>
      <c r="R25" s="1570" t="s">
        <v>8</v>
      </c>
      <c r="S25" s="1571">
        <f>F25</f>
        <v>100</v>
      </c>
      <c r="T25" s="1570" t="s">
        <v>8</v>
      </c>
      <c r="U25" s="1571">
        <f>H25</f>
        <v>100</v>
      </c>
      <c r="V25" s="1570" t="s">
        <v>8</v>
      </c>
      <c r="W25" s="1571">
        <f>J25</f>
        <v>100</v>
      </c>
      <c r="X25" s="1564"/>
      <c r="Y25" s="3674"/>
      <c r="Z25" s="1572" t="str">
        <f>Q25</f>
        <v>区域土地利用方向</v>
      </c>
      <c r="AA25" s="1573">
        <f t="shared" si="3"/>
        <v>1</v>
      </c>
      <c r="AB25" s="1573">
        <f t="shared" si="4"/>
        <v>1</v>
      </c>
      <c r="AC25" s="1573">
        <f t="shared" si="5"/>
        <v>1</v>
      </c>
    </row>
    <row r="26" spans="1:29" ht="20.25">
      <c r="A26" s="514"/>
      <c r="B26" s="1005"/>
      <c r="C26" s="553" t="s">
        <v>3406</v>
      </c>
      <c r="D26" s="556"/>
      <c r="E26" s="557" t="s">
        <v>3406</v>
      </c>
      <c r="F26" s="554"/>
      <c r="G26" s="557" t="s">
        <v>3406</v>
      </c>
      <c r="H26" s="554"/>
      <c r="I26" s="557" t="s">
        <v>3406</v>
      </c>
      <c r="J26" s="554"/>
      <c r="K26" s="530"/>
      <c r="L26" s="2140"/>
      <c r="M26" s="2130"/>
      <c r="N26" s="2130"/>
      <c r="O26" s="2139"/>
      <c r="P26" s="3674"/>
      <c r="Q26" s="1569"/>
      <c r="R26" s="1570"/>
      <c r="S26" s="1571"/>
      <c r="T26" s="1570"/>
      <c r="U26" s="1571"/>
      <c r="V26" s="1570"/>
      <c r="W26" s="1571"/>
      <c r="X26" s="1564"/>
      <c r="Y26" s="3674"/>
      <c r="Z26" s="1572"/>
      <c r="AA26" s="1573"/>
      <c r="AB26" s="1573"/>
      <c r="AC26" s="1573"/>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3"/>
      <c r="J27" s="558">
        <f>SUMIF(100:100,I28,101:101)-SUMIF(100:100,C28,101:101)+100</f>
        <v>100</v>
      </c>
      <c r="K27" s="534">
        <v>3</v>
      </c>
      <c r="L27" s="2140"/>
      <c r="M27" s="2130"/>
      <c r="N27" s="2130"/>
      <c r="O27" s="2139"/>
      <c r="P27" s="3674"/>
      <c r="Q27" s="1569" t="str">
        <f t="shared" si="8"/>
        <v>自然及人文环境状况</v>
      </c>
      <c r="R27" s="1570" t="s">
        <v>8</v>
      </c>
      <c r="S27" s="1571">
        <f>F27</f>
        <v>100</v>
      </c>
      <c r="T27" s="1570" t="s">
        <v>8</v>
      </c>
      <c r="U27" s="1571">
        <f>H27</f>
        <v>100</v>
      </c>
      <c r="V27" s="1570" t="s">
        <v>8</v>
      </c>
      <c r="W27" s="1571">
        <f>J27</f>
        <v>100</v>
      </c>
      <c r="X27" s="1564"/>
      <c r="Y27" s="3674"/>
      <c r="Z27" s="1572" t="str">
        <f>Q27</f>
        <v>自然及人文环境状况</v>
      </c>
      <c r="AA27" s="1573">
        <f t="shared" si="3"/>
        <v>1</v>
      </c>
      <c r="AB27" s="1573">
        <f t="shared" si="4"/>
        <v>1</v>
      </c>
      <c r="AC27" s="1573">
        <f t="shared" si="5"/>
        <v>1</v>
      </c>
    </row>
    <row r="28" spans="1:29" ht="20.25">
      <c r="A28" s="514"/>
      <c r="B28" s="565"/>
      <c r="C28" s="553" t="s">
        <v>3406</v>
      </c>
      <c r="D28" s="556"/>
      <c r="E28" s="575" t="s">
        <v>3406</v>
      </c>
      <c r="F28" s="554"/>
      <c r="G28" s="575" t="s">
        <v>3406</v>
      </c>
      <c r="H28" s="554"/>
      <c r="I28" s="575" t="s">
        <v>3406</v>
      </c>
      <c r="J28" s="554"/>
      <c r="K28" s="530"/>
      <c r="L28" s="2140"/>
      <c r="M28" s="2130"/>
      <c r="N28" s="2130"/>
      <c r="O28" s="2139"/>
      <c r="P28" s="3674"/>
      <c r="Q28" s="1569"/>
      <c r="R28" s="1570"/>
      <c r="S28" s="1571"/>
      <c r="T28" s="1570"/>
      <c r="U28" s="1571"/>
      <c r="V28" s="1570"/>
      <c r="W28" s="1571"/>
      <c r="X28" s="1564"/>
      <c r="Y28" s="3674"/>
      <c r="Z28" s="1572"/>
      <c r="AA28" s="1573">
        <v>1</v>
      </c>
      <c r="AB28" s="1573">
        <v>1</v>
      </c>
      <c r="AC28" s="1573">
        <v>1</v>
      </c>
    </row>
    <row r="29" spans="1:29" s="1218" customFormat="1" ht="42.75">
      <c r="A29" s="576"/>
      <c r="B29" s="2589" t="s">
        <v>2548</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100</v>
      </c>
      <c r="I29" s="563"/>
      <c r="J29" s="558">
        <f>SUMIF(102:102,I30,103:103)-SUMIF(102:102,C30,103:103)+100</f>
        <v>100</v>
      </c>
      <c r="K29" s="534">
        <v>3</v>
      </c>
      <c r="L29" s="2133"/>
      <c r="M29" s="2130"/>
      <c r="N29" s="2130"/>
      <c r="O29" s="2135"/>
      <c r="P29" s="3674"/>
      <c r="Q29" s="1149" t="str">
        <f t="shared" si="8"/>
        <v>公共配套设施</v>
      </c>
      <c r="R29" s="1565" t="s">
        <v>8</v>
      </c>
      <c r="S29" s="1566">
        <f>F29</f>
        <v>100</v>
      </c>
      <c r="T29" s="1565" t="s">
        <v>8</v>
      </c>
      <c r="U29" s="1566">
        <f>H29</f>
        <v>100</v>
      </c>
      <c r="V29" s="1565" t="s">
        <v>8</v>
      </c>
      <c r="W29" s="1566">
        <f>J29</f>
        <v>100</v>
      </c>
      <c r="X29" s="1567"/>
      <c r="Y29" s="3674"/>
      <c r="Z29" s="1148" t="str">
        <f>Q29</f>
        <v>公共配套设施</v>
      </c>
      <c r="AA29" s="1573">
        <f>D29/F29</f>
        <v>1</v>
      </c>
      <c r="AB29" s="1573">
        <f>D29/H29</f>
        <v>1</v>
      </c>
      <c r="AC29" s="1573">
        <f>D29/J29</f>
        <v>1</v>
      </c>
    </row>
    <row r="30" spans="1:29" s="1218" customFormat="1" ht="20.25">
      <c r="A30" s="576"/>
      <c r="B30" s="565"/>
      <c r="C30" s="578" t="s">
        <v>3405</v>
      </c>
      <c r="D30" s="556"/>
      <c r="E30" s="575" t="s">
        <v>3405</v>
      </c>
      <c r="F30" s="554"/>
      <c r="G30" s="575" t="s">
        <v>3405</v>
      </c>
      <c r="H30" s="554"/>
      <c r="I30" s="575" t="s">
        <v>3405</v>
      </c>
      <c r="J30" s="554"/>
      <c r="K30" s="530"/>
      <c r="L30" s="2133"/>
      <c r="M30" s="2130"/>
      <c r="N30" s="2130"/>
      <c r="O30" s="2135"/>
      <c r="P30" s="3674"/>
      <c r="Q30" s="1149"/>
      <c r="R30" s="1565"/>
      <c r="S30" s="1566"/>
      <c r="T30" s="1565"/>
      <c r="U30" s="1566"/>
      <c r="V30" s="1565"/>
      <c r="W30" s="1566"/>
      <c r="X30" s="1567"/>
      <c r="Y30" s="3674"/>
      <c r="Z30" s="1148"/>
      <c r="AA30" s="1573">
        <v>1</v>
      </c>
      <c r="AB30" s="1573">
        <v>1</v>
      </c>
      <c r="AC30" s="1573">
        <v>1</v>
      </c>
    </row>
    <row r="31" spans="1:29" s="1218" customFormat="1" ht="28.5">
      <c r="A31" s="576"/>
      <c r="B31" s="2589" t="s">
        <v>2549</v>
      </c>
      <c r="C31" s="572" t="str">
        <f>估价对象房地状况!C22</f>
        <v>估价对象所在区域基础设施水平</v>
      </c>
      <c r="D31" s="562">
        <v>100</v>
      </c>
      <c r="E31" s="563"/>
      <c r="F31" s="558">
        <f>SUMIF(104:104,E32,105:105)-SUMIF(104:104,C32,105:105)+100</f>
        <v>100</v>
      </c>
      <c r="G31" s="563"/>
      <c r="H31" s="558">
        <f>SUMIF(104:104,G32,105:105)-SUMIF(104:104,C32,105:105)+100</f>
        <v>100</v>
      </c>
      <c r="I31" s="563"/>
      <c r="J31" s="558">
        <f>SUMIF(104:104,I32,105:105)-SUMIF(104:104,C32,105:105)+100</f>
        <v>100</v>
      </c>
      <c r="K31" s="534">
        <v>2</v>
      </c>
      <c r="L31" s="2133"/>
      <c r="M31" s="2130"/>
      <c r="N31" s="2130"/>
      <c r="O31" s="2135"/>
      <c r="P31" s="3674"/>
      <c r="Q31" s="2576" t="str">
        <f t="shared" ref="Q31" si="9">B31</f>
        <v>基础设施水平</v>
      </c>
      <c r="R31" s="1565" t="s">
        <v>8</v>
      </c>
      <c r="S31" s="1566">
        <f>F31</f>
        <v>100</v>
      </c>
      <c r="T31" s="1565" t="s">
        <v>8</v>
      </c>
      <c r="U31" s="1566">
        <f>H31</f>
        <v>100</v>
      </c>
      <c r="V31" s="1565" t="s">
        <v>8</v>
      </c>
      <c r="W31" s="1566">
        <f>J31</f>
        <v>100</v>
      </c>
      <c r="X31" s="1567"/>
      <c r="Y31" s="3674"/>
      <c r="Z31" s="2573" t="str">
        <f>Q31</f>
        <v>基础设施水平</v>
      </c>
      <c r="AA31" s="1573">
        <f>D31/F31</f>
        <v>1</v>
      </c>
      <c r="AB31" s="1573">
        <f>D31/H31</f>
        <v>1</v>
      </c>
      <c r="AC31" s="1573">
        <f>D31/J31</f>
        <v>1</v>
      </c>
    </row>
    <row r="32" spans="1:29" s="1218" customFormat="1" ht="20.25">
      <c r="A32" s="576"/>
      <c r="B32" s="565"/>
      <c r="C32" s="578" t="s">
        <v>3407</v>
      </c>
      <c r="D32" s="556"/>
      <c r="E32" s="2590" t="s">
        <v>3407</v>
      </c>
      <c r="F32" s="554"/>
      <c r="G32" s="2590" t="s">
        <v>3407</v>
      </c>
      <c r="H32" s="554"/>
      <c r="I32" s="2590" t="s">
        <v>3407</v>
      </c>
      <c r="J32" s="554"/>
      <c r="K32" s="530"/>
      <c r="L32" s="2133"/>
      <c r="M32" s="2130"/>
      <c r="N32" s="2130"/>
      <c r="O32" s="2135"/>
      <c r="P32" s="3674"/>
      <c r="Q32" s="2576"/>
      <c r="R32" s="1565"/>
      <c r="S32" s="1566"/>
      <c r="T32" s="1565"/>
      <c r="U32" s="1566"/>
      <c r="V32" s="1565"/>
      <c r="W32" s="1566"/>
      <c r="X32" s="1567"/>
      <c r="Y32" s="3674"/>
      <c r="Z32" s="2573"/>
      <c r="AA32" s="1573">
        <v>1</v>
      </c>
      <c r="AB32" s="1573">
        <v>1</v>
      </c>
      <c r="AC32" s="1573">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674"/>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674"/>
      <c r="Z33" s="1572" t="str">
        <f t="shared" ref="Z33:Z47" si="13">Q33</f>
        <v>临街状况</v>
      </c>
      <c r="AA33" s="1573">
        <f t="shared" si="3"/>
        <v>1</v>
      </c>
      <c r="AB33" s="1573">
        <f t="shared" si="4"/>
        <v>1</v>
      </c>
      <c r="AC33" s="1573">
        <f t="shared" si="5"/>
        <v>1</v>
      </c>
    </row>
    <row r="34" spans="1:29" ht="27">
      <c r="A34" s="531"/>
      <c r="B34" s="577" t="s">
        <v>548</v>
      </c>
      <c r="C34" s="3386" t="s">
        <v>3415</v>
      </c>
      <c r="D34" s="562">
        <v>100</v>
      </c>
      <c r="E34" s="3388" t="s">
        <v>3416</v>
      </c>
      <c r="F34" s="558">
        <f>SUMIF(108:108,E35,109:109)-SUMIF(108:108,C35,109:109)+100</f>
        <v>100</v>
      </c>
      <c r="G34" s="3386" t="s">
        <v>3417</v>
      </c>
      <c r="H34" s="558">
        <f>SUMIF(108:108,G35,109:109)-SUMIF(108:108,C35,109:109)+100</f>
        <v>100</v>
      </c>
      <c r="I34" s="3386" t="s">
        <v>3417</v>
      </c>
      <c r="J34" s="558">
        <f>SUMIF(108:108,I35,109:109)-SUMIF(108:108,C35,109:109)+100</f>
        <v>100</v>
      </c>
      <c r="K34" s="534">
        <v>2</v>
      </c>
      <c r="L34" s="2140"/>
      <c r="M34" s="2130"/>
      <c r="N34" s="2130"/>
      <c r="O34" s="2139"/>
      <c r="P34" s="3674"/>
      <c r="Q34" s="1569" t="str">
        <f t="shared" si="8"/>
        <v>毗邻道路的类型与等级</v>
      </c>
      <c r="R34" s="1570" t="s">
        <v>8</v>
      </c>
      <c r="S34" s="1571">
        <f t="shared" si="10"/>
        <v>100</v>
      </c>
      <c r="T34" s="1570" t="s">
        <v>8</v>
      </c>
      <c r="U34" s="1571">
        <f t="shared" si="11"/>
        <v>100</v>
      </c>
      <c r="V34" s="1570" t="s">
        <v>8</v>
      </c>
      <c r="W34" s="1571">
        <f t="shared" si="12"/>
        <v>100</v>
      </c>
      <c r="X34" s="1564"/>
      <c r="Y34" s="3674"/>
      <c r="Z34" s="1572" t="str">
        <f t="shared" si="13"/>
        <v>毗邻道路的类型与等级</v>
      </c>
      <c r="AA34" s="1573">
        <f t="shared" si="3"/>
        <v>1</v>
      </c>
      <c r="AB34" s="1573">
        <f t="shared" si="4"/>
        <v>1</v>
      </c>
      <c r="AC34" s="1573">
        <f t="shared" si="5"/>
        <v>1</v>
      </c>
    </row>
    <row r="35" spans="1:29" ht="21" thickBot="1">
      <c r="A35" s="531"/>
      <c r="B35" s="565"/>
      <c r="C35" s="3387" t="s">
        <v>3408</v>
      </c>
      <c r="D35" s="556"/>
      <c r="E35" s="3389" t="s">
        <v>3408</v>
      </c>
      <c r="F35" s="554"/>
      <c r="G35" s="3387" t="s">
        <v>3408</v>
      </c>
      <c r="H35" s="554"/>
      <c r="I35" s="3387" t="s">
        <v>3408</v>
      </c>
      <c r="J35" s="554"/>
      <c r="K35" s="580"/>
      <c r="L35" s="2140"/>
      <c r="M35" s="2130"/>
      <c r="N35" s="2130"/>
      <c r="O35" s="2139"/>
      <c r="P35" s="3674"/>
      <c r="Q35" s="1569"/>
      <c r="R35" s="1570"/>
      <c r="S35" s="1571"/>
      <c r="T35" s="1570"/>
      <c r="U35" s="1571"/>
      <c r="V35" s="1570"/>
      <c r="W35" s="1571"/>
      <c r="X35" s="1564"/>
      <c r="Y35" s="3674"/>
      <c r="Z35" s="1572"/>
      <c r="AA35" s="1573">
        <v>1</v>
      </c>
      <c r="AB35" s="1573">
        <v>1</v>
      </c>
      <c r="AC35" s="1573">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674"/>
      <c r="Q36" s="1569" t="str">
        <f t="shared" si="8"/>
        <v>土地级别</v>
      </c>
      <c r="R36" s="1570" t="s">
        <v>8</v>
      </c>
      <c r="S36" s="1571">
        <f t="shared" si="10"/>
        <v>100</v>
      </c>
      <c r="T36" s="1570" t="s">
        <v>8</v>
      </c>
      <c r="U36" s="1571">
        <f t="shared" si="11"/>
        <v>100</v>
      </c>
      <c r="V36" s="1570" t="s">
        <v>8</v>
      </c>
      <c r="W36" s="1571">
        <f t="shared" si="12"/>
        <v>100</v>
      </c>
      <c r="X36" s="1564"/>
      <c r="Y36" s="3674"/>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674"/>
      <c r="Q37" s="1569">
        <f t="shared" si="8"/>
        <v>111</v>
      </c>
      <c r="R37" s="1570" t="s">
        <v>8</v>
      </c>
      <c r="S37" s="1571">
        <f t="shared" si="10"/>
        <v>100</v>
      </c>
      <c r="T37" s="1570" t="s">
        <v>8</v>
      </c>
      <c r="U37" s="1571">
        <f t="shared" si="11"/>
        <v>100</v>
      </c>
      <c r="V37" s="1570" t="s">
        <v>8</v>
      </c>
      <c r="W37" s="1571">
        <f t="shared" si="12"/>
        <v>100</v>
      </c>
      <c r="X37" s="1564"/>
      <c r="Y37" s="3674"/>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675" t="s">
        <v>550</v>
      </c>
      <c r="Q38" s="1569">
        <f t="shared" si="8"/>
        <v>111</v>
      </c>
      <c r="R38" s="1570" t="s">
        <v>8</v>
      </c>
      <c r="S38" s="1571">
        <f t="shared" si="10"/>
        <v>100</v>
      </c>
      <c r="T38" s="1570" t="s">
        <v>8</v>
      </c>
      <c r="U38" s="1571">
        <f t="shared" si="11"/>
        <v>100</v>
      </c>
      <c r="V38" s="1570" t="s">
        <v>8</v>
      </c>
      <c r="W38" s="1571">
        <f t="shared" si="12"/>
        <v>100</v>
      </c>
      <c r="X38" s="1564"/>
      <c r="Y38" s="3676" t="s">
        <v>550</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676"/>
      <c r="Q39" s="1569">
        <f t="shared" si="8"/>
        <v>111</v>
      </c>
      <c r="R39" s="1574" t="s">
        <v>8</v>
      </c>
      <c r="S39" s="1575">
        <f t="shared" si="10"/>
        <v>100</v>
      </c>
      <c r="T39" s="1574" t="s">
        <v>8</v>
      </c>
      <c r="U39" s="1575">
        <f t="shared" si="11"/>
        <v>100</v>
      </c>
      <c r="V39" s="1574" t="s">
        <v>8</v>
      </c>
      <c r="W39" s="1575">
        <f t="shared" si="12"/>
        <v>100</v>
      </c>
      <c r="X39" s="1576"/>
      <c r="Y39" s="3676"/>
      <c r="Z39" s="1577">
        <f t="shared" si="13"/>
        <v>111</v>
      </c>
      <c r="AA39" s="1573">
        <f t="shared" si="3"/>
        <v>1</v>
      </c>
      <c r="AB39" s="1573">
        <f t="shared" si="4"/>
        <v>1</v>
      </c>
      <c r="AC39" s="1573">
        <f t="shared" si="5"/>
        <v>1</v>
      </c>
    </row>
    <row r="40" spans="1:29" ht="20.25">
      <c r="A40" s="2905" t="s">
        <v>2754</v>
      </c>
      <c r="B40" s="594" t="s">
        <v>552</v>
      </c>
      <c r="C40" s="595">
        <f>'数据-汇总表'!D3</f>
        <v>72846.2</v>
      </c>
      <c r="D40" s="596">
        <v>100</v>
      </c>
      <c r="E40" s="595">
        <f>土地案例1!I2</f>
        <v>72416.399999999994</v>
      </c>
      <c r="F40" s="596">
        <f>LOOKUP(E40,119:119,120:120)-LOOKUP(C40,119:119,120:120)+100</f>
        <v>100</v>
      </c>
      <c r="G40" s="595">
        <f>土地案例1!I5</f>
        <v>24219.7</v>
      </c>
      <c r="H40" s="596">
        <f>LOOKUP(G40,119:119,120:120)-LOOKUP(C40,119:119,120:120)+100</f>
        <v>100</v>
      </c>
      <c r="I40" s="597">
        <f>土地案例1!I6</f>
        <v>61512.800000000003</v>
      </c>
      <c r="J40" s="596">
        <f>LOOKUP(I40,119:119,120:120)-LOOKUP(C40,119:119,120:120)+100</f>
        <v>100</v>
      </c>
      <c r="K40" s="580"/>
      <c r="L40" s="2140"/>
      <c r="M40" s="2130"/>
      <c r="N40" s="2130"/>
      <c r="O40" s="2139"/>
      <c r="P40" s="3676"/>
      <c r="Q40" s="1569" t="str">
        <f>B40</f>
        <v>宗地面积</v>
      </c>
      <c r="R40" s="1570" t="s">
        <v>8</v>
      </c>
      <c r="S40" s="1571">
        <f t="shared" si="10"/>
        <v>100</v>
      </c>
      <c r="T40" s="1570" t="s">
        <v>8</v>
      </c>
      <c r="U40" s="1571">
        <f t="shared" si="11"/>
        <v>100</v>
      </c>
      <c r="V40" s="1570" t="s">
        <v>8</v>
      </c>
      <c r="W40" s="1571">
        <f t="shared" si="12"/>
        <v>100</v>
      </c>
      <c r="X40" s="1564"/>
      <c r="Y40" s="3676"/>
      <c r="Z40" s="1572" t="str">
        <f t="shared" si="13"/>
        <v>宗地面积</v>
      </c>
      <c r="AA40" s="1573">
        <f t="shared" si="3"/>
        <v>1</v>
      </c>
      <c r="AB40" s="1573">
        <f t="shared" si="4"/>
        <v>1</v>
      </c>
      <c r="AC40" s="1573">
        <f t="shared" si="5"/>
        <v>1</v>
      </c>
    </row>
    <row r="41" spans="1:29" ht="20.25">
      <c r="A41" s="593"/>
      <c r="B41" s="526" t="s">
        <v>553</v>
      </c>
      <c r="C41" s="598" t="s">
        <v>3410</v>
      </c>
      <c r="D41" s="539">
        <v>100</v>
      </c>
      <c r="E41" s="598" t="s">
        <v>3410</v>
      </c>
      <c r="F41" s="539">
        <f>SUMIF(121:121,E41,122:122)-SUMIF(121:121,C41,122:122)+100</f>
        <v>100</v>
      </c>
      <c r="G41" s="598" t="s">
        <v>3410</v>
      </c>
      <c r="H41" s="539">
        <f>SUMIF(121:121,G41,122:122)-SUMIF(121:121,C41,122:122)+100</f>
        <v>100</v>
      </c>
      <c r="I41" s="598" t="s">
        <v>3410</v>
      </c>
      <c r="J41" s="539">
        <f>SUMIF(121:121,I41,122:122)-SUMIF(121:121,C41,122:122)+100</f>
        <v>100</v>
      </c>
      <c r="K41" s="583">
        <v>2</v>
      </c>
      <c r="L41" s="2140"/>
      <c r="M41" s="2130"/>
      <c r="N41" s="2130"/>
      <c r="O41" s="2139"/>
      <c r="P41" s="3676"/>
      <c r="Q41" s="1569" t="str">
        <f t="shared" ref="Q41:Q47" si="14">B41</f>
        <v>宗地形状</v>
      </c>
      <c r="R41" s="1570" t="s">
        <v>8</v>
      </c>
      <c r="S41" s="1571">
        <f t="shared" si="10"/>
        <v>100</v>
      </c>
      <c r="T41" s="1570" t="s">
        <v>8</v>
      </c>
      <c r="U41" s="1571">
        <f t="shared" si="11"/>
        <v>100</v>
      </c>
      <c r="V41" s="1570" t="s">
        <v>8</v>
      </c>
      <c r="W41" s="1571">
        <f t="shared" si="12"/>
        <v>100</v>
      </c>
      <c r="X41" s="1564"/>
      <c r="Y41" s="3676"/>
      <c r="Z41" s="1572" t="str">
        <f t="shared" si="13"/>
        <v>宗地形状</v>
      </c>
      <c r="AA41" s="1573">
        <f t="shared" si="3"/>
        <v>1</v>
      </c>
      <c r="AB41" s="1573">
        <f t="shared" si="4"/>
        <v>1</v>
      </c>
      <c r="AC41" s="1573">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676"/>
      <c r="Q42" s="1569" t="str">
        <f t="shared" si="14"/>
        <v>临街宽度及深度</v>
      </c>
      <c r="R42" s="1570" t="s">
        <v>8</v>
      </c>
      <c r="S42" s="1571">
        <f t="shared" si="10"/>
        <v>100</v>
      </c>
      <c r="T42" s="1570" t="s">
        <v>8</v>
      </c>
      <c r="U42" s="1571">
        <f t="shared" si="11"/>
        <v>100</v>
      </c>
      <c r="V42" s="1570" t="s">
        <v>8</v>
      </c>
      <c r="W42" s="1571">
        <f t="shared" si="12"/>
        <v>100</v>
      </c>
      <c r="X42" s="1564"/>
      <c r="Y42" s="3676"/>
      <c r="Z42" s="1572" t="str">
        <f t="shared" si="13"/>
        <v>临街宽度及深度</v>
      </c>
      <c r="AA42" s="1573">
        <f t="shared" si="3"/>
        <v>1</v>
      </c>
      <c r="AB42" s="1573">
        <f t="shared" si="4"/>
        <v>1</v>
      </c>
      <c r="AC42" s="1573">
        <f t="shared" si="5"/>
        <v>1</v>
      </c>
    </row>
    <row r="43" spans="1:29" s="1218" customFormat="1" ht="20.25">
      <c r="A43" s="599"/>
      <c r="B43" s="1893" t="s">
        <v>2424</v>
      </c>
      <c r="C43" s="600" t="s">
        <v>3412</v>
      </c>
      <c r="D43" s="254">
        <v>100</v>
      </c>
      <c r="E43" s="600" t="s">
        <v>3412</v>
      </c>
      <c r="F43" s="539">
        <f>SUMIF(125:125,E43,126:126)-SUMIF(125:125,C43,126:126)+100</f>
        <v>100</v>
      </c>
      <c r="G43" s="600" t="s">
        <v>3412</v>
      </c>
      <c r="H43" s="539">
        <f>SUMIF(125:125,G43,126:126)-SUMIF(125:125,C43,126:126)+100</f>
        <v>100</v>
      </c>
      <c r="I43" s="600" t="s">
        <v>3412</v>
      </c>
      <c r="J43" s="539">
        <f>SUMIF(125:125,I43,126:126)-SUMIF(125:125,C43,126:126)+100</f>
        <v>100</v>
      </c>
      <c r="K43" s="583">
        <v>2</v>
      </c>
      <c r="L43" s="2133"/>
      <c r="M43" s="2130"/>
      <c r="N43" s="2130"/>
      <c r="O43" s="2135"/>
      <c r="P43" s="3676"/>
      <c r="Q43" s="1569" t="str">
        <f t="shared" si="14"/>
        <v>宗地开发程度</v>
      </c>
      <c r="R43" s="1565" t="s">
        <v>8</v>
      </c>
      <c r="S43" s="1566">
        <f t="shared" si="10"/>
        <v>100</v>
      </c>
      <c r="T43" s="1565" t="s">
        <v>8</v>
      </c>
      <c r="U43" s="1566">
        <f t="shared" si="11"/>
        <v>100</v>
      </c>
      <c r="V43" s="1565" t="s">
        <v>8</v>
      </c>
      <c r="W43" s="1566">
        <f t="shared" si="12"/>
        <v>100</v>
      </c>
      <c r="X43" s="1567"/>
      <c r="Y43" s="3676"/>
      <c r="Z43" s="1148" t="str">
        <f t="shared" si="13"/>
        <v>宗地开发程度</v>
      </c>
      <c r="AA43" s="1568">
        <f t="shared" si="3"/>
        <v>1</v>
      </c>
      <c r="AB43" s="1568">
        <f t="shared" si="4"/>
        <v>1</v>
      </c>
      <c r="AC43" s="1568">
        <f t="shared" si="5"/>
        <v>1</v>
      </c>
    </row>
    <row r="44" spans="1:29" ht="21" thickBot="1">
      <c r="A44" s="593"/>
      <c r="B44" s="526" t="s">
        <v>555</v>
      </c>
      <c r="C44" s="598" t="s">
        <v>3406</v>
      </c>
      <c r="D44" s="539">
        <v>100</v>
      </c>
      <c r="E44" s="598" t="s">
        <v>3406</v>
      </c>
      <c r="F44" s="539">
        <f>SUMIF(127:127,E44,128:128)-SUMIF(127:127,C44,128:128)+100</f>
        <v>100</v>
      </c>
      <c r="G44" s="598" t="s">
        <v>3406</v>
      </c>
      <c r="H44" s="539">
        <f>SUMIF(127:127,G44,128:128)-SUMIF(127:127,C44,128:128)+100</f>
        <v>100</v>
      </c>
      <c r="I44" s="598" t="s">
        <v>3406</v>
      </c>
      <c r="J44" s="539">
        <f>SUMIF(127:127,I44,128:128)-SUMIF(127:127,C44,128:128)+100</f>
        <v>100</v>
      </c>
      <c r="K44" s="583">
        <v>2</v>
      </c>
      <c r="L44" s="2140"/>
      <c r="M44" s="2130"/>
      <c r="N44" s="2130"/>
      <c r="O44" s="2139"/>
      <c r="P44" s="3676" t="s">
        <v>550</v>
      </c>
      <c r="Q44" s="1569" t="str">
        <f t="shared" si="14"/>
        <v>工程地质条件</v>
      </c>
      <c r="R44" s="1570" t="s">
        <v>8</v>
      </c>
      <c r="S44" s="1571">
        <f t="shared" si="10"/>
        <v>100</v>
      </c>
      <c r="T44" s="1570" t="s">
        <v>8</v>
      </c>
      <c r="U44" s="1571">
        <f t="shared" si="11"/>
        <v>100</v>
      </c>
      <c r="V44" s="1570" t="s">
        <v>8</v>
      </c>
      <c r="W44" s="1571">
        <f t="shared" si="12"/>
        <v>100</v>
      </c>
      <c r="X44" s="1564"/>
      <c r="Y44" s="3676" t="s">
        <v>550</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676"/>
      <c r="Q45" s="1569">
        <f t="shared" si="14"/>
        <v>111</v>
      </c>
      <c r="R45" s="1570" t="s">
        <v>8</v>
      </c>
      <c r="S45" s="1571">
        <f t="shared" si="10"/>
        <v>100</v>
      </c>
      <c r="T45" s="1570" t="s">
        <v>8</v>
      </c>
      <c r="U45" s="1571">
        <f t="shared" si="11"/>
        <v>100</v>
      </c>
      <c r="V45" s="1570" t="s">
        <v>8</v>
      </c>
      <c r="W45" s="1571">
        <f t="shared" si="12"/>
        <v>100</v>
      </c>
      <c r="X45" s="1564"/>
      <c r="Y45" s="3676"/>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676"/>
      <c r="Q46" s="1569">
        <f t="shared" si="14"/>
        <v>111</v>
      </c>
      <c r="R46" s="1570" t="s">
        <v>8</v>
      </c>
      <c r="S46" s="1571">
        <f t="shared" si="10"/>
        <v>100</v>
      </c>
      <c r="T46" s="1570" t="s">
        <v>8</v>
      </c>
      <c r="U46" s="1571">
        <f t="shared" si="11"/>
        <v>100</v>
      </c>
      <c r="V46" s="1570" t="s">
        <v>8</v>
      </c>
      <c r="W46" s="1571">
        <f t="shared" si="12"/>
        <v>100</v>
      </c>
      <c r="X46" s="1564"/>
      <c r="Y46" s="3676"/>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676"/>
      <c r="Q47" s="1569">
        <f t="shared" si="14"/>
        <v>111</v>
      </c>
      <c r="R47" s="1574" t="s">
        <v>8</v>
      </c>
      <c r="S47" s="1575">
        <f t="shared" si="10"/>
        <v>100</v>
      </c>
      <c r="T47" s="1574" t="s">
        <v>8</v>
      </c>
      <c r="U47" s="1575">
        <f t="shared" si="11"/>
        <v>100</v>
      </c>
      <c r="V47" s="1574" t="s">
        <v>8</v>
      </c>
      <c r="W47" s="1575">
        <f t="shared" si="12"/>
        <v>100</v>
      </c>
      <c r="X47" s="1576"/>
      <c r="Y47" s="3676"/>
      <c r="Z47" s="1577">
        <f t="shared" si="13"/>
        <v>111</v>
      </c>
      <c r="AA47" s="1573">
        <f t="shared" si="3"/>
        <v>1</v>
      </c>
      <c r="AB47" s="1573">
        <f t="shared" si="4"/>
        <v>1</v>
      </c>
      <c r="AC47" s="1573">
        <f t="shared" si="5"/>
        <v>1</v>
      </c>
    </row>
    <row r="48" spans="1:29" ht="20.25">
      <c r="A48" s="606" t="s">
        <v>556</v>
      </c>
      <c r="B48" s="607" t="s">
        <v>3444</v>
      </c>
      <c r="C48" s="608" t="s">
        <v>1</v>
      </c>
      <c r="D48" s="609"/>
      <c r="E48" s="610">
        <f>土地案例1!Q2</f>
        <v>5399.97</v>
      </c>
      <c r="F48" s="611"/>
      <c r="G48" s="612">
        <f>土地案例1!Q5</f>
        <v>5649.93</v>
      </c>
      <c r="H48" s="613"/>
      <c r="I48" s="610">
        <f>土地案例1!Q6</f>
        <v>5650</v>
      </c>
      <c r="J48" s="613"/>
      <c r="K48" s="1338"/>
      <c r="L48" s="2142"/>
      <c r="M48" s="2130"/>
      <c r="N48" s="2130"/>
      <c r="O48" s="2143"/>
      <c r="P48" s="3671" t="str">
        <f>A48</f>
        <v>成交单价</v>
      </c>
      <c r="Q48" s="3671"/>
      <c r="R48" s="3685">
        <f>E48</f>
        <v>5399.97</v>
      </c>
      <c r="S48" s="3685"/>
      <c r="T48" s="3685">
        <f>G48</f>
        <v>5649.93</v>
      </c>
      <c r="U48" s="3685"/>
      <c r="V48" s="3685">
        <f>I48</f>
        <v>5650</v>
      </c>
      <c r="W48" s="3685"/>
      <c r="X48" s="1556"/>
      <c r="Y48" s="1578"/>
      <c r="Z48" s="1556"/>
      <c r="AA48" s="1556"/>
      <c r="AB48" s="1556"/>
      <c r="AC48" s="1556"/>
    </row>
    <row r="49" spans="1:29" ht="21" thickBot="1">
      <c r="A49" s="614" t="s">
        <v>2692</v>
      </c>
      <c r="B49" s="615"/>
      <c r="C49" s="616">
        <f>R50</f>
        <v>5643</v>
      </c>
      <c r="D49" s="617"/>
      <c r="E49" s="616">
        <f>R49</f>
        <v>5400</v>
      </c>
      <c r="F49" s="618"/>
      <c r="G49" s="619">
        <f>T49</f>
        <v>5765</v>
      </c>
      <c r="H49" s="617"/>
      <c r="I49" s="616">
        <f>V49</f>
        <v>5765</v>
      </c>
      <c r="J49" s="617"/>
      <c r="K49" s="1339"/>
      <c r="L49" s="2142"/>
      <c r="M49" s="2130"/>
      <c r="N49" s="2130"/>
      <c r="O49" s="2143"/>
      <c r="P49" s="3671" t="str">
        <f>A49</f>
        <v>比较价格（元/平方米）</v>
      </c>
      <c r="Q49" s="3671"/>
      <c r="R49" s="3695">
        <f>ROUND(PRODUCT(R48,AA9:AA47),0)</f>
        <v>5400</v>
      </c>
      <c r="S49" s="3695"/>
      <c r="T49" s="3695">
        <f>ROUND(PRODUCT(T48,AB9:AB47),0)</f>
        <v>5765</v>
      </c>
      <c r="U49" s="3695"/>
      <c r="V49" s="3695">
        <f>ROUND(PRODUCT(V48,AC9:AC47),0)</f>
        <v>5765</v>
      </c>
      <c r="W49" s="3695"/>
      <c r="X49" s="1556"/>
      <c r="Y49" s="1556"/>
      <c r="Z49" s="1556"/>
      <c r="AA49" s="1556"/>
      <c r="AB49" s="1556"/>
      <c r="AC49" s="1556"/>
    </row>
    <row r="50" spans="1:29" ht="21" thickBot="1">
      <c r="A50" s="620" t="s">
        <v>2934</v>
      </c>
      <c r="B50" s="621"/>
      <c r="C50" s="622">
        <f>R50</f>
        <v>5643</v>
      </c>
      <c r="D50" s="622"/>
      <c r="E50" s="622"/>
      <c r="F50" s="622"/>
      <c r="G50" s="622"/>
      <c r="H50" s="622"/>
      <c r="I50" s="622"/>
      <c r="J50" s="622"/>
      <c r="K50" s="1340"/>
      <c r="L50" s="2142"/>
      <c r="M50" s="2130"/>
      <c r="N50" s="2130"/>
      <c r="O50" s="2143"/>
      <c r="P50" s="3692" t="str">
        <f>A50</f>
        <v>估价对象XX用房的比较价格（楼面单价，元/平方米）</v>
      </c>
      <c r="Q50" s="3693"/>
      <c r="R50" s="3694">
        <f>ROUND(AVERAGE(R49:V49),0)</f>
        <v>5643</v>
      </c>
      <c r="S50" s="3694"/>
      <c r="T50" s="3694"/>
      <c r="U50" s="3694"/>
      <c r="V50" s="3694"/>
      <c r="W50" s="3694"/>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5.5555864197920357E-6</v>
      </c>
      <c r="F53" s="626" t="str">
        <f>IF(OR(E53&gt;=0.3,E53&lt;=-0.3),"超过30%","")</f>
        <v/>
      </c>
      <c r="G53" s="625">
        <f>IF(G48&lt;G49,G49/G48-1,G48/G49-1)</f>
        <v>2.0366624011270984E-2</v>
      </c>
      <c r="H53" s="626" t="str">
        <f>IF(OR(G53&gt;=0.3,G53&lt;=-0.3),"超过30%","")</f>
        <v/>
      </c>
      <c r="I53" s="625">
        <f>IF(I48&lt;I49,I49/I48-1,I48/I49-1)</f>
        <v>2.0353982300884921E-2</v>
      </c>
      <c r="J53" s="626"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6.7592592592592649E-2</v>
      </c>
      <c r="F54" s="626" t="str">
        <f>IF(OR(E54&gt;=0.2,E54&lt;=-0.2),"超过20%","")</f>
        <v/>
      </c>
      <c r="G54" s="625">
        <f>IF(G49&lt;I49,I49/G49-1,G49/I49-1)</f>
        <v>0</v>
      </c>
      <c r="H54" s="626" t="str">
        <f>IF(OR(G54&gt;=0.2,G54&lt;=-0.2),"超过20%","")</f>
        <v/>
      </c>
      <c r="I54" s="625">
        <f>IF(I49&lt;E49,E49/I49-1,I49/E49-1)</f>
        <v>6.7592592592592649E-2</v>
      </c>
      <c r="J54" s="626"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4.6289146050811469E-2</v>
      </c>
      <c r="F55" s="626" t="str">
        <f>IF(OR(E55&gt;=0.3,E55&lt;=-0.3),"超过30%","")</f>
        <v/>
      </c>
      <c r="G55" s="625">
        <f>IF(G48&lt;I48,I48/G48-1,G48/I48-1)</f>
        <v>1.2389534029599858E-5</v>
      </c>
      <c r="H55" s="626" t="str">
        <f>IF(OR(G55&gt;=0.3,G55&lt;=-0.3),"超过30%","")</f>
        <v/>
      </c>
      <c r="I55" s="625">
        <f>IF(I48&lt;E48,E48/I48-1,I48/E48-1)</f>
        <v>4.6302109085791132E-2</v>
      </c>
      <c r="J55" s="626"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560</v>
      </c>
      <c r="B57" s="629" t="s">
        <v>561</v>
      </c>
      <c r="C57" s="1557" t="s">
        <v>1725</v>
      </c>
      <c r="D57" s="2225" t="s">
        <v>2293</v>
      </c>
      <c r="E57" s="630" t="s">
        <v>562</v>
      </c>
      <c r="F57" s="631" t="s">
        <v>563</v>
      </c>
      <c r="G57" s="3655" t="s">
        <v>2281</v>
      </c>
      <c r="H57" s="3656"/>
      <c r="I57" s="1552" t="s">
        <v>1723</v>
      </c>
      <c r="J57" s="1552" t="str">
        <f>项目基本情况!F41</f>
        <v>山东省青岛市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5643</v>
      </c>
      <c r="C58" s="634">
        <v>1</v>
      </c>
      <c r="D58" s="2226">
        <v>1</v>
      </c>
      <c r="E58" s="634">
        <f>'数据-汇总表'!E8+'数据-汇总表'!E9</f>
        <v>129061</v>
      </c>
      <c r="F58" s="635">
        <f t="shared" ref="F58:F67" si="15">ROUND(B58*E58/10000,0)</f>
        <v>72829</v>
      </c>
      <c r="G58" s="3657"/>
      <c r="H58" s="3658"/>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659" t="s">
        <v>2282</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659"/>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659"/>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659"/>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7">
        <f t="shared" si="17"/>
        <v>0</v>
      </c>
      <c r="C63" s="377">
        <f t="shared" si="16"/>
        <v>0</v>
      </c>
      <c r="D63" s="2227">
        <v>0.25</v>
      </c>
      <c r="E63" s="640">
        <f>'数据-汇总表'!E11</f>
        <v>0</v>
      </c>
      <c r="F63" s="635">
        <f t="shared" si="15"/>
        <v>0</v>
      </c>
      <c r="G63" s="1943" t="s">
        <v>2283</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28104</v>
      </c>
      <c r="F65" s="635">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2282</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2283</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2294</v>
      </c>
      <c r="E68" s="642">
        <f>IF(B48="楼面地价",SUM(E58:E67),'数据-汇总表'!D3)</f>
        <v>157165</v>
      </c>
      <c r="F68" s="643">
        <f>IF(B48="楼面地价",SUM(F58:F67),ROUND(C50*E68/10000,0))</f>
        <v>72829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2018-9-1</v>
      </c>
      <c r="D70" s="2797">
        <f>EDATE(C70,-3)</f>
        <v>43252</v>
      </c>
      <c r="E70" s="2797">
        <f t="shared" ref="E70:N70" si="18">EDATE(D70,-3)</f>
        <v>43160</v>
      </c>
      <c r="F70" s="2797">
        <f t="shared" si="18"/>
        <v>43070</v>
      </c>
      <c r="G70" s="2797">
        <f t="shared" si="18"/>
        <v>42979</v>
      </c>
      <c r="H70" s="2797">
        <f t="shared" si="18"/>
        <v>42887</v>
      </c>
      <c r="I70" s="2797">
        <f t="shared" si="18"/>
        <v>42795</v>
      </c>
      <c r="J70" s="2797">
        <f t="shared" si="18"/>
        <v>42705</v>
      </c>
      <c r="K70" s="2797">
        <f t="shared" si="18"/>
        <v>42614</v>
      </c>
      <c r="L70" s="2797">
        <f t="shared" si="18"/>
        <v>42522</v>
      </c>
      <c r="M70" s="2797">
        <f t="shared" si="18"/>
        <v>42430</v>
      </c>
      <c r="N70" s="2797">
        <f t="shared" si="18"/>
        <v>42339</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66" t="s">
        <v>2532</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923</v>
      </c>
      <c r="B73" s="478" t="str">
        <f>"北京市平均增长率"&amp;TEXT(SUMIF(基准地价!N21:N25,A73,基准地价!P21:P25),"0.00%")</f>
        <v>北京市平均增长率2.45%</v>
      </c>
      <c r="C73" s="892">
        <v>100</v>
      </c>
      <c r="D73" s="3383">
        <f>C73-$C$74</f>
        <v>99</v>
      </c>
      <c r="E73" s="3383">
        <f t="shared" ref="E73:N73" si="20">D73-$C$74</f>
        <v>98</v>
      </c>
      <c r="F73" s="3383">
        <f t="shared" si="20"/>
        <v>97</v>
      </c>
      <c r="G73" s="3383">
        <f t="shared" si="20"/>
        <v>96</v>
      </c>
      <c r="H73" s="3383">
        <f t="shared" si="20"/>
        <v>95</v>
      </c>
      <c r="I73" s="3383">
        <f t="shared" si="20"/>
        <v>94</v>
      </c>
      <c r="J73" s="3383">
        <f t="shared" si="20"/>
        <v>93</v>
      </c>
      <c r="K73" s="3383">
        <f t="shared" si="20"/>
        <v>92</v>
      </c>
      <c r="L73" s="3383">
        <f t="shared" si="20"/>
        <v>91</v>
      </c>
      <c r="M73" s="3383">
        <f t="shared" si="20"/>
        <v>90</v>
      </c>
      <c r="N73" s="3383">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2646</v>
      </c>
      <c r="B74" s="2803"/>
      <c r="C74" s="2788">
        <v>1</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42.75">
      <c r="A77" s="663" t="s">
        <v>577</v>
      </c>
      <c r="B77" s="664" t="s">
        <v>534</v>
      </c>
      <c r="C77" s="597" t="str">
        <f>项目基本情况!B12</f>
        <v>其他普通商品住房、批发零售</v>
      </c>
      <c r="D77" s="597" t="str">
        <f>土地案例1!H2</f>
        <v>城镇住宅用地、零售商业用地</v>
      </c>
      <c r="E77" s="597" t="str">
        <f>土地案例1!H5</f>
        <v>其他普通商品住房用地</v>
      </c>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v>100</v>
      </c>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v>
      </c>
      <c r="D81" s="681" t="str">
        <f t="shared" ref="D81:L81" si="21">D82&amp;"（含）"&amp;"-"&amp;E82</f>
        <v>（含）-</v>
      </c>
      <c r="E81" s="681" t="str">
        <f t="shared" si="21"/>
        <v>（含）-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c r="E82" s="540"/>
      <c r="F82" s="540"/>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6"/>
      <c r="B84" s="672" t="str">
        <f>B14</f>
        <v>配建</v>
      </c>
      <c r="C84" s="687"/>
      <c r="D84" s="1372"/>
      <c r="E84" s="1373"/>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t="str">
        <f>B15</f>
        <v>人才公寓面积</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t="str">
        <f>B16</f>
        <v>销售均价</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95" t="s">
        <v>2550</v>
      </c>
      <c r="C104" s="2596" t="s">
        <v>2551</v>
      </c>
      <c r="D104" s="2596" t="s">
        <v>2552</v>
      </c>
      <c r="E104" s="2596" t="s">
        <v>2553</v>
      </c>
      <c r="F104" s="2596" t="s">
        <v>2554</v>
      </c>
      <c r="G104" s="2596"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384" t="s">
        <v>3409</v>
      </c>
      <c r="D108" s="687"/>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15" thickTop="1">
      <c r="A118" s="663" t="s">
        <v>551</v>
      </c>
      <c r="B118" s="664" t="s">
        <v>593</v>
      </c>
      <c r="C118" s="703" t="str">
        <f t="shared" ref="C118:L118" si="26">C119&amp;"(含)"&amp;"-"&amp;D119</f>
        <v>0(含)-</v>
      </c>
      <c r="D118" s="703" t="str">
        <f t="shared" si="26"/>
        <v>(含)-</v>
      </c>
      <c r="E118" s="703" t="str">
        <f t="shared" si="26"/>
        <v>(含)-</v>
      </c>
      <c r="F118" s="703" t="str">
        <f t="shared" si="26"/>
        <v>(含)-</v>
      </c>
      <c r="G118" s="703" t="str">
        <f t="shared" si="26"/>
        <v>(含)-</v>
      </c>
      <c r="H118" s="703" t="str">
        <f t="shared" si="26"/>
        <v>(含)-</v>
      </c>
      <c r="I118" s="703" t="str">
        <f t="shared" si="26"/>
        <v>(含)-</v>
      </c>
      <c r="J118" s="3091" t="str">
        <f t="shared" si="26"/>
        <v>(含)-</v>
      </c>
      <c r="K118" s="3091" t="str">
        <f t="shared" si="26"/>
        <v>(含)-</v>
      </c>
      <c r="L118" s="3092" t="str">
        <f t="shared" si="26"/>
        <v>(含)-</v>
      </c>
      <c r="M118" s="309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c r="E119" s="729"/>
      <c r="F119" s="729"/>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c r="D120" s="725"/>
      <c r="E120" s="725"/>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385" t="s">
        <v>3411</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2425</v>
      </c>
      <c r="C125" s="1372" t="s">
        <v>3413</v>
      </c>
      <c r="D125" s="1372"/>
      <c r="E125" s="1372"/>
      <c r="F125" s="1372"/>
      <c r="G125" s="1372"/>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384" t="s">
        <v>3414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topLeftCell="N1" workbookViewId="0">
      <selection activeCell="G40" sqref="G40"/>
    </sheetView>
  </sheetViews>
  <sheetFormatPr defaultRowHeight="13.5"/>
  <cols>
    <col min="1" max="1" width="64.25" style="3362" customWidth="1"/>
    <col min="2" max="6" width="19" style="3362" hidden="1" customWidth="1"/>
    <col min="7" max="7" width="16.5" style="3362" customWidth="1"/>
    <col min="8" max="8" width="28.625" style="3362" customWidth="1"/>
    <col min="9" max="9" width="17.25" style="3362" customWidth="1"/>
    <col min="10" max="10" width="19" style="3362" hidden="1" customWidth="1"/>
    <col min="11" max="11" width="16.875" style="3362" customWidth="1"/>
    <col min="12" max="12" width="14" style="3362" customWidth="1"/>
    <col min="13" max="13" width="29.125" style="3362" customWidth="1"/>
    <col min="14" max="14" width="51.125" style="3362" customWidth="1"/>
    <col min="15" max="15" width="13.375" style="3362" customWidth="1"/>
    <col min="16" max="16" width="19" style="3362" customWidth="1"/>
    <col min="17" max="17" width="18" style="3362" customWidth="1"/>
    <col min="18" max="18" width="9.25" style="3362" customWidth="1"/>
    <col min="19" max="19" width="19" style="3362" customWidth="1"/>
    <col min="20" max="26" width="9" style="3363"/>
    <col min="27" max="16384" width="9" style="3350"/>
  </cols>
  <sheetData>
    <row r="1" spans="1:26" s="3346" customFormat="1">
      <c r="A1" s="3351" t="s">
        <v>3197</v>
      </c>
      <c r="B1" s="3351" t="s">
        <v>3198</v>
      </c>
      <c r="C1" s="3351" t="s">
        <v>3199</v>
      </c>
      <c r="D1" s="3351" t="s">
        <v>3200</v>
      </c>
      <c r="E1" s="3351" t="s">
        <v>3201</v>
      </c>
      <c r="F1" s="3351" t="s">
        <v>3202</v>
      </c>
      <c r="G1" s="3351" t="s">
        <v>3203</v>
      </c>
      <c r="H1" s="3351" t="s">
        <v>3204</v>
      </c>
      <c r="I1" s="3351" t="s">
        <v>3205</v>
      </c>
      <c r="J1" s="3351" t="s">
        <v>3206</v>
      </c>
      <c r="K1" s="3351" t="s">
        <v>2032</v>
      </c>
      <c r="L1" s="3351" t="s">
        <v>3207</v>
      </c>
      <c r="M1" s="3351" t="s">
        <v>3208</v>
      </c>
      <c r="N1" s="3351" t="s">
        <v>3209</v>
      </c>
      <c r="O1" s="3351" t="s">
        <v>3210</v>
      </c>
      <c r="P1" s="3351" t="s">
        <v>3211</v>
      </c>
      <c r="Q1" s="3351" t="s">
        <v>3212</v>
      </c>
      <c r="R1" s="3351" t="s">
        <v>3213</v>
      </c>
      <c r="S1" s="3351" t="s">
        <v>3214</v>
      </c>
      <c r="T1" s="3352"/>
      <c r="U1" s="3352"/>
      <c r="V1" s="3352"/>
      <c r="W1" s="3352"/>
      <c r="X1" s="3352"/>
      <c r="Y1" s="3352"/>
      <c r="Z1" s="3352"/>
    </row>
    <row r="2" spans="1:26" s="3347" customFormat="1">
      <c r="A2" s="3353" t="s">
        <v>3215</v>
      </c>
      <c r="B2" s="3353" t="s">
        <v>3216</v>
      </c>
      <c r="C2" s="3353" t="s">
        <v>3217</v>
      </c>
      <c r="D2" s="3353" t="s">
        <v>2817</v>
      </c>
      <c r="E2" s="3353" t="s">
        <v>3215</v>
      </c>
      <c r="F2" s="3353" t="s">
        <v>3218</v>
      </c>
      <c r="G2" s="3353" t="s">
        <v>3219</v>
      </c>
      <c r="H2" s="3353" t="s">
        <v>3220</v>
      </c>
      <c r="I2" s="3353">
        <v>72416.399999999994</v>
      </c>
      <c r="J2" s="3353">
        <v>130349.5</v>
      </c>
      <c r="K2" s="3353" t="s">
        <v>3221</v>
      </c>
      <c r="L2" s="3353" t="s">
        <v>3222</v>
      </c>
      <c r="M2" s="3353" t="s">
        <v>3223</v>
      </c>
      <c r="N2" s="3353" t="s">
        <v>3224</v>
      </c>
      <c r="O2" s="3353">
        <v>70388.460000000006</v>
      </c>
      <c r="P2" s="3353">
        <v>648</v>
      </c>
      <c r="Q2" s="3353">
        <v>5399.97</v>
      </c>
      <c r="R2" s="3353">
        <v>35</v>
      </c>
      <c r="S2" s="3353" t="s">
        <v>3225</v>
      </c>
      <c r="T2" s="3354"/>
      <c r="U2" s="3354"/>
      <c r="V2" s="3354"/>
      <c r="W2" s="3354"/>
      <c r="X2" s="3354"/>
      <c r="Y2" s="3354"/>
      <c r="Z2" s="3354"/>
    </row>
    <row r="3" spans="1:26" s="3348" customFormat="1">
      <c r="A3" s="3355" t="s">
        <v>3226</v>
      </c>
      <c r="B3" s="3355" t="s">
        <v>3216</v>
      </c>
      <c r="C3" s="3355" t="s">
        <v>3217</v>
      </c>
      <c r="D3" s="3355" t="s">
        <v>2817</v>
      </c>
      <c r="E3" s="3355" t="s">
        <v>3226</v>
      </c>
      <c r="F3" s="3355" t="s">
        <v>3218</v>
      </c>
      <c r="G3" s="3355" t="s">
        <v>3227</v>
      </c>
      <c r="H3" s="3355" t="s">
        <v>3220</v>
      </c>
      <c r="I3" s="3355">
        <v>72846.2</v>
      </c>
      <c r="J3" s="3355">
        <v>131123.20000000001</v>
      </c>
      <c r="K3" s="3355" t="s">
        <v>3221</v>
      </c>
      <c r="L3" s="3355" t="s">
        <v>3228</v>
      </c>
      <c r="M3" s="3355" t="s">
        <v>3229</v>
      </c>
      <c r="N3" s="3355" t="s">
        <v>3230</v>
      </c>
      <c r="O3" s="3355">
        <v>76051.33</v>
      </c>
      <c r="P3" s="3355">
        <v>696</v>
      </c>
      <c r="Q3" s="3355">
        <v>5799.98</v>
      </c>
      <c r="R3" s="3355">
        <v>161</v>
      </c>
      <c r="S3" s="3355" t="s">
        <v>3225</v>
      </c>
      <c r="T3" s="3356"/>
      <c r="U3" s="3356"/>
      <c r="V3" s="3356"/>
      <c r="W3" s="3356"/>
      <c r="X3" s="3356"/>
      <c r="Y3" s="3356"/>
      <c r="Z3" s="3356"/>
    </row>
    <row r="4" spans="1:26" s="3346" customFormat="1">
      <c r="A4" s="3351" t="s">
        <v>3231</v>
      </c>
      <c r="B4" s="3351" t="s">
        <v>3216</v>
      </c>
      <c r="C4" s="3351" t="s">
        <v>3232</v>
      </c>
      <c r="D4" s="3351" t="s">
        <v>2817</v>
      </c>
      <c r="E4" s="3351" t="s">
        <v>3231</v>
      </c>
      <c r="F4" s="3351" t="s">
        <v>3218</v>
      </c>
      <c r="G4" s="3351" t="s">
        <v>3233</v>
      </c>
      <c r="H4" s="3351" t="s">
        <v>3234</v>
      </c>
      <c r="I4" s="3351">
        <v>35782.199999999997</v>
      </c>
      <c r="J4" s="3351">
        <v>53673.3</v>
      </c>
      <c r="K4" s="3351" t="s">
        <v>3235</v>
      </c>
      <c r="L4" s="3351" t="s">
        <v>3236</v>
      </c>
      <c r="M4" s="3351" t="s">
        <v>3237</v>
      </c>
      <c r="N4" s="3357" t="s">
        <v>3238</v>
      </c>
      <c r="O4" s="3351">
        <v>15570.54</v>
      </c>
      <c r="P4" s="3351">
        <v>290.10000000000002</v>
      </c>
      <c r="Q4" s="3351">
        <v>2900.98</v>
      </c>
      <c r="R4" s="3351">
        <v>0</v>
      </c>
      <c r="S4" s="3351" t="s">
        <v>3239</v>
      </c>
      <c r="T4" s="3352"/>
      <c r="U4" s="3352"/>
      <c r="V4" s="3352"/>
      <c r="W4" s="3352"/>
      <c r="X4" s="3352"/>
      <c r="Y4" s="3352"/>
      <c r="Z4" s="3352"/>
    </row>
    <row r="5" spans="1:26" s="3347" customFormat="1">
      <c r="A5" s="3353" t="s">
        <v>3240</v>
      </c>
      <c r="B5" s="3353" t="s">
        <v>3216</v>
      </c>
      <c r="C5" s="3353" t="s">
        <v>3232</v>
      </c>
      <c r="D5" s="3353" t="s">
        <v>2817</v>
      </c>
      <c r="E5" s="3353" t="s">
        <v>3240</v>
      </c>
      <c r="F5" s="3353" t="s">
        <v>3218</v>
      </c>
      <c r="G5" s="3353" t="s">
        <v>3241</v>
      </c>
      <c r="H5" s="3353" t="s">
        <v>3234</v>
      </c>
      <c r="I5" s="3353">
        <v>24219.7</v>
      </c>
      <c r="J5" s="3353">
        <v>43595.46</v>
      </c>
      <c r="K5" s="3353" t="s">
        <v>3221</v>
      </c>
      <c r="L5" s="3353" t="s">
        <v>3242</v>
      </c>
      <c r="M5" s="3353" t="s">
        <v>3243</v>
      </c>
      <c r="N5" s="3353" t="s">
        <v>3244</v>
      </c>
      <c r="O5" s="3353">
        <v>24631.18</v>
      </c>
      <c r="P5" s="3353">
        <v>677.99</v>
      </c>
      <c r="Q5" s="3353">
        <v>5649.93</v>
      </c>
      <c r="R5" s="3353">
        <v>41.25</v>
      </c>
      <c r="S5" s="3353" t="s">
        <v>3239</v>
      </c>
      <c r="T5" s="3354"/>
      <c r="U5" s="3354"/>
      <c r="V5" s="3354"/>
      <c r="W5" s="3354"/>
      <c r="X5" s="3354"/>
      <c r="Y5" s="3354"/>
      <c r="Z5" s="3354"/>
    </row>
    <row r="6" spans="1:26" s="3347" customFormat="1">
      <c r="A6" s="3353" t="s">
        <v>3240</v>
      </c>
      <c r="B6" s="3353" t="s">
        <v>3216</v>
      </c>
      <c r="C6" s="3353" t="s">
        <v>3232</v>
      </c>
      <c r="D6" s="3353" t="s">
        <v>2817</v>
      </c>
      <c r="E6" s="3353" t="s">
        <v>3240</v>
      </c>
      <c r="F6" s="3353" t="s">
        <v>3218</v>
      </c>
      <c r="G6" s="3358" t="s">
        <v>3245</v>
      </c>
      <c r="H6" s="3353" t="s">
        <v>3234</v>
      </c>
      <c r="I6" s="3353">
        <v>61512.800000000003</v>
      </c>
      <c r="J6" s="3353">
        <v>110723</v>
      </c>
      <c r="K6" s="3353" t="s">
        <v>3221</v>
      </c>
      <c r="L6" s="3353" t="s">
        <v>3242</v>
      </c>
      <c r="M6" s="3353" t="s">
        <v>3246</v>
      </c>
      <c r="N6" s="3353" t="s">
        <v>3244</v>
      </c>
      <c r="O6" s="3353">
        <v>62558.5</v>
      </c>
      <c r="P6" s="3353">
        <v>678</v>
      </c>
      <c r="Q6" s="3353">
        <v>5650</v>
      </c>
      <c r="R6" s="3353">
        <v>41.25</v>
      </c>
      <c r="S6" s="3353" t="s">
        <v>3239</v>
      </c>
      <c r="T6" s="3354"/>
      <c r="U6" s="3354"/>
      <c r="V6" s="3354"/>
      <c r="W6" s="3354"/>
      <c r="X6" s="3354"/>
      <c r="Y6" s="3354"/>
      <c r="Z6" s="3354"/>
    </row>
    <row r="7" spans="1:26" s="3346" customFormat="1">
      <c r="A7" s="3351" t="s">
        <v>3247</v>
      </c>
      <c r="B7" s="3351" t="s">
        <v>3216</v>
      </c>
      <c r="C7" s="3351" t="s">
        <v>3232</v>
      </c>
      <c r="D7" s="3351" t="s">
        <v>2817</v>
      </c>
      <c r="E7" s="3351" t="s">
        <v>3248</v>
      </c>
      <c r="F7" s="3351" t="s">
        <v>3218</v>
      </c>
      <c r="G7" s="3351" t="s">
        <v>3249</v>
      </c>
      <c r="H7" s="3351" t="s">
        <v>3234</v>
      </c>
      <c r="I7" s="3351">
        <v>66667</v>
      </c>
      <c r="J7" s="3351">
        <v>120000.6</v>
      </c>
      <c r="K7" s="3351" t="s">
        <v>3250</v>
      </c>
      <c r="L7" s="3351" t="s">
        <v>3251</v>
      </c>
      <c r="M7" s="3351" t="s">
        <v>3252</v>
      </c>
      <c r="N7" s="3351" t="s">
        <v>3253</v>
      </c>
      <c r="O7" s="3351">
        <v>36000</v>
      </c>
      <c r="P7" s="3351">
        <v>360</v>
      </c>
      <c r="Q7" s="3351">
        <v>2999.98</v>
      </c>
      <c r="R7" s="3351">
        <v>0</v>
      </c>
      <c r="S7" s="3351" t="s">
        <v>3239</v>
      </c>
      <c r="T7" s="3352"/>
      <c r="U7" s="3352"/>
      <c r="V7" s="3352"/>
      <c r="W7" s="3352"/>
      <c r="X7" s="3352"/>
      <c r="Y7" s="3352"/>
      <c r="Z7" s="3352"/>
    </row>
    <row r="8" spans="1:26" s="3346" customFormat="1">
      <c r="A8" s="3351" t="s">
        <v>3254</v>
      </c>
      <c r="B8" s="3351" t="s">
        <v>3216</v>
      </c>
      <c r="C8" s="3351" t="s">
        <v>3232</v>
      </c>
      <c r="D8" s="3351" t="s">
        <v>2817</v>
      </c>
      <c r="E8" s="3351" t="s">
        <v>3254</v>
      </c>
      <c r="F8" s="3351" t="s">
        <v>3218</v>
      </c>
      <c r="G8" s="3351" t="s">
        <v>3255</v>
      </c>
      <c r="H8" s="3351" t="s">
        <v>3234</v>
      </c>
      <c r="I8" s="3351">
        <v>42806.6</v>
      </c>
      <c r="J8" s="3351">
        <v>94174</v>
      </c>
      <c r="K8" s="3351" t="s">
        <v>3256</v>
      </c>
      <c r="L8" s="3351" t="s">
        <v>3257</v>
      </c>
      <c r="M8" s="3351" t="s">
        <v>3258</v>
      </c>
      <c r="N8" s="3351" t="s">
        <v>3259</v>
      </c>
      <c r="O8" s="3351">
        <v>28252.2</v>
      </c>
      <c r="P8" s="3351">
        <v>440</v>
      </c>
      <c r="Q8" s="3351">
        <v>3000</v>
      </c>
      <c r="R8" s="3351">
        <v>0</v>
      </c>
      <c r="S8" s="3351" t="s">
        <v>3239</v>
      </c>
      <c r="T8" s="3352"/>
      <c r="U8" s="3352"/>
      <c r="V8" s="3352"/>
      <c r="W8" s="3352"/>
      <c r="X8" s="3352"/>
      <c r="Y8" s="3352"/>
      <c r="Z8" s="3352"/>
    </row>
    <row r="9" spans="1:26" s="3346" customFormat="1">
      <c r="A9" s="3351" t="s">
        <v>3254</v>
      </c>
      <c r="B9" s="3351" t="s">
        <v>3216</v>
      </c>
      <c r="C9" s="3351" t="s">
        <v>3217</v>
      </c>
      <c r="D9" s="3351" t="s">
        <v>2817</v>
      </c>
      <c r="E9" s="3351" t="s">
        <v>3254</v>
      </c>
      <c r="F9" s="3351" t="s">
        <v>3218</v>
      </c>
      <c r="G9" s="3351" t="s">
        <v>3260</v>
      </c>
      <c r="H9" s="3351" t="s">
        <v>3220</v>
      </c>
      <c r="I9" s="3351">
        <v>65691.899999999994</v>
      </c>
      <c r="J9" s="3351">
        <v>164229</v>
      </c>
      <c r="K9" s="3351" t="s">
        <v>3261</v>
      </c>
      <c r="L9" s="3351" t="s">
        <v>3257</v>
      </c>
      <c r="M9" s="3351" t="s">
        <v>3262</v>
      </c>
      <c r="N9" s="3351" t="s">
        <v>3259</v>
      </c>
      <c r="O9" s="3351">
        <v>49268.69</v>
      </c>
      <c r="P9" s="3351">
        <v>500</v>
      </c>
      <c r="Q9" s="3351">
        <v>3000</v>
      </c>
      <c r="R9" s="3351">
        <v>0</v>
      </c>
      <c r="S9" s="3351" t="s">
        <v>3239</v>
      </c>
      <c r="T9" s="3352"/>
      <c r="U9" s="3352"/>
      <c r="V9" s="3352"/>
      <c r="W9" s="3352"/>
      <c r="X9" s="3352"/>
      <c r="Y9" s="3352"/>
      <c r="Z9" s="3352"/>
    </row>
    <row r="10" spans="1:26" s="3346" customFormat="1">
      <c r="A10" s="3351" t="s">
        <v>3254</v>
      </c>
      <c r="B10" s="3351" t="s">
        <v>3216</v>
      </c>
      <c r="C10" s="3351" t="s">
        <v>3232</v>
      </c>
      <c r="D10" s="3351" t="s">
        <v>2817</v>
      </c>
      <c r="E10" s="3351" t="s">
        <v>3254</v>
      </c>
      <c r="F10" s="3351" t="s">
        <v>3218</v>
      </c>
      <c r="G10" s="3351" t="s">
        <v>3263</v>
      </c>
      <c r="H10" s="3351" t="s">
        <v>3234</v>
      </c>
      <c r="I10" s="3351">
        <v>34357.4</v>
      </c>
      <c r="J10" s="3351">
        <v>75586</v>
      </c>
      <c r="K10" s="3351" t="s">
        <v>3256</v>
      </c>
      <c r="L10" s="3351" t="s">
        <v>3257</v>
      </c>
      <c r="M10" s="3351" t="s">
        <v>3264</v>
      </c>
      <c r="N10" s="3351" t="s">
        <v>3259</v>
      </c>
      <c r="O10" s="3351">
        <v>22675.79</v>
      </c>
      <c r="P10" s="3351">
        <v>440</v>
      </c>
      <c r="Q10" s="3351">
        <v>3000</v>
      </c>
      <c r="R10" s="3351">
        <v>0</v>
      </c>
      <c r="S10" s="3351" t="s">
        <v>3239</v>
      </c>
      <c r="T10" s="3352"/>
      <c r="U10" s="3352"/>
      <c r="V10" s="3352"/>
      <c r="W10" s="3352"/>
      <c r="X10" s="3352"/>
      <c r="Y10" s="3352"/>
      <c r="Z10" s="3352"/>
    </row>
    <row r="11" spans="1:26" s="3346" customFormat="1">
      <c r="A11" s="3351" t="s">
        <v>3254</v>
      </c>
      <c r="B11" s="3351" t="s">
        <v>3216</v>
      </c>
      <c r="C11" s="3351" t="s">
        <v>3217</v>
      </c>
      <c r="D11" s="3351" t="s">
        <v>2817</v>
      </c>
      <c r="E11" s="3351" t="s">
        <v>3254</v>
      </c>
      <c r="F11" s="3351" t="s">
        <v>3218</v>
      </c>
      <c r="G11" s="3351" t="s">
        <v>3265</v>
      </c>
      <c r="H11" s="3351" t="s">
        <v>3220</v>
      </c>
      <c r="I11" s="3351">
        <v>38193</v>
      </c>
      <c r="J11" s="3351">
        <v>95482</v>
      </c>
      <c r="K11" s="3351" t="s">
        <v>3261</v>
      </c>
      <c r="L11" s="3351" t="s">
        <v>3257</v>
      </c>
      <c r="M11" s="3351" t="s">
        <v>3266</v>
      </c>
      <c r="N11" s="3351" t="s">
        <v>3259</v>
      </c>
      <c r="O11" s="3351">
        <v>28644.59</v>
      </c>
      <c r="P11" s="3351">
        <v>500</v>
      </c>
      <c r="Q11" s="3351">
        <v>3000</v>
      </c>
      <c r="R11" s="3351">
        <v>0</v>
      </c>
      <c r="S11" s="3351" t="s">
        <v>3239</v>
      </c>
      <c r="T11" s="3352"/>
      <c r="U11" s="3352"/>
      <c r="V11" s="3352"/>
      <c r="W11" s="3352"/>
      <c r="X11" s="3352"/>
      <c r="Y11" s="3352"/>
      <c r="Z11" s="3352"/>
    </row>
    <row r="12" spans="1:26" s="3346" customFormat="1">
      <c r="A12" s="3351" t="s">
        <v>3267</v>
      </c>
      <c r="B12" s="3351" t="s">
        <v>3216</v>
      </c>
      <c r="C12" s="3351" t="s">
        <v>3232</v>
      </c>
      <c r="D12" s="3351" t="s">
        <v>2817</v>
      </c>
      <c r="E12" s="3351" t="s">
        <v>3267</v>
      </c>
      <c r="F12" s="3351" t="s">
        <v>3218</v>
      </c>
      <c r="G12" s="3351" t="s">
        <v>3268</v>
      </c>
      <c r="H12" s="3351" t="s">
        <v>3234</v>
      </c>
      <c r="I12" s="3351">
        <v>70112</v>
      </c>
      <c r="J12" s="3351">
        <v>189302</v>
      </c>
      <c r="K12" s="3351" t="s">
        <v>3269</v>
      </c>
      <c r="L12" s="3351" t="s">
        <v>3270</v>
      </c>
      <c r="M12" s="3351" t="s">
        <v>3271</v>
      </c>
      <c r="N12" s="3351" t="s">
        <v>3272</v>
      </c>
      <c r="O12" s="3351">
        <v>56790.59</v>
      </c>
      <c r="P12" s="3351">
        <v>540</v>
      </c>
      <c r="Q12" s="3351">
        <v>3000</v>
      </c>
      <c r="R12" s="3351">
        <v>0</v>
      </c>
      <c r="S12" s="3351" t="s">
        <v>3239</v>
      </c>
      <c r="T12" s="3352"/>
      <c r="U12" s="3352"/>
      <c r="V12" s="3352"/>
      <c r="W12" s="3352"/>
      <c r="X12" s="3352"/>
      <c r="Y12" s="3352"/>
      <c r="Z12" s="3352"/>
    </row>
    <row r="13" spans="1:26" s="3346" customFormat="1">
      <c r="A13" s="3351" t="s">
        <v>3273</v>
      </c>
      <c r="B13" s="3351" t="s">
        <v>3216</v>
      </c>
      <c r="C13" s="3351" t="s">
        <v>3232</v>
      </c>
      <c r="D13" s="3351" t="s">
        <v>2817</v>
      </c>
      <c r="E13" s="3351" t="s">
        <v>3274</v>
      </c>
      <c r="F13" s="3351" t="s">
        <v>3218</v>
      </c>
      <c r="G13" s="3351" t="s">
        <v>3275</v>
      </c>
      <c r="H13" s="3351" t="s">
        <v>3234</v>
      </c>
      <c r="I13" s="3351">
        <v>76189.7</v>
      </c>
      <c r="J13" s="3351">
        <v>228569</v>
      </c>
      <c r="K13" s="3351" t="s">
        <v>3276</v>
      </c>
      <c r="L13" s="3351" t="s">
        <v>3277</v>
      </c>
      <c r="M13" s="3351" t="s">
        <v>3278</v>
      </c>
      <c r="N13" s="3351" t="s">
        <v>3279</v>
      </c>
      <c r="O13" s="3351">
        <v>49142.33</v>
      </c>
      <c r="P13" s="3351">
        <v>430</v>
      </c>
      <c r="Q13" s="3351">
        <v>2150</v>
      </c>
      <c r="R13" s="3351">
        <v>2.38</v>
      </c>
      <c r="S13" s="3351" t="s">
        <v>3239</v>
      </c>
      <c r="T13" s="3352"/>
      <c r="U13" s="3352"/>
      <c r="V13" s="3352"/>
      <c r="W13" s="3352"/>
      <c r="X13" s="3352"/>
      <c r="Y13" s="3352"/>
      <c r="Z13" s="3352"/>
    </row>
    <row r="14" spans="1:26" s="3346" customFormat="1">
      <c r="A14" s="3351" t="s">
        <v>3280</v>
      </c>
      <c r="B14" s="3351" t="s">
        <v>3216</v>
      </c>
      <c r="C14" s="3351" t="s">
        <v>3232</v>
      </c>
      <c r="D14" s="3351" t="s">
        <v>2817</v>
      </c>
      <c r="E14" s="3351" t="s">
        <v>3281</v>
      </c>
      <c r="F14" s="3351" t="s">
        <v>3218</v>
      </c>
      <c r="G14" s="3351" t="s">
        <v>3282</v>
      </c>
      <c r="H14" s="3351" t="s">
        <v>3234</v>
      </c>
      <c r="I14" s="3351">
        <v>92103.4</v>
      </c>
      <c r="J14" s="3351">
        <v>257889.5</v>
      </c>
      <c r="K14" s="3351" t="s">
        <v>3283</v>
      </c>
      <c r="L14" s="3351" t="s">
        <v>3277</v>
      </c>
      <c r="M14" s="3351" t="s">
        <v>3284</v>
      </c>
      <c r="N14" s="3351" t="s">
        <v>3279</v>
      </c>
      <c r="O14" s="3351">
        <v>91550.58</v>
      </c>
      <c r="P14" s="3351">
        <v>662.67</v>
      </c>
      <c r="Q14" s="3351">
        <v>3549.98</v>
      </c>
      <c r="R14" s="3351">
        <v>1.43</v>
      </c>
      <c r="S14" s="3351" t="s">
        <v>3285</v>
      </c>
      <c r="T14" s="3352"/>
      <c r="U14" s="3352"/>
      <c r="V14" s="3352"/>
      <c r="W14" s="3352"/>
      <c r="X14" s="3352"/>
      <c r="Y14" s="3352"/>
      <c r="Z14" s="3352"/>
    </row>
    <row r="15" spans="1:26" s="3346" customFormat="1">
      <c r="A15" s="3351" t="s">
        <v>3286</v>
      </c>
      <c r="B15" s="3351" t="s">
        <v>3216</v>
      </c>
      <c r="C15" s="3351" t="s">
        <v>3232</v>
      </c>
      <c r="D15" s="3351" t="s">
        <v>2817</v>
      </c>
      <c r="E15" s="3351" t="s">
        <v>3287</v>
      </c>
      <c r="F15" s="3351" t="s">
        <v>3218</v>
      </c>
      <c r="G15" s="3351" t="s">
        <v>3288</v>
      </c>
      <c r="H15" s="3351" t="s">
        <v>3234</v>
      </c>
      <c r="I15" s="3351">
        <v>29066.1</v>
      </c>
      <c r="J15" s="3351">
        <v>58132.2</v>
      </c>
      <c r="K15" s="3351" t="s">
        <v>3289</v>
      </c>
      <c r="L15" s="3351" t="s">
        <v>3277</v>
      </c>
      <c r="M15" s="3351" t="s">
        <v>3290</v>
      </c>
      <c r="N15" s="3351" t="s">
        <v>3279</v>
      </c>
      <c r="O15" s="3351">
        <v>20636.86</v>
      </c>
      <c r="P15" s="3351">
        <v>473.33</v>
      </c>
      <c r="Q15" s="3351">
        <v>3549.98</v>
      </c>
      <c r="R15" s="3351">
        <v>1.43</v>
      </c>
      <c r="S15" s="3351" t="s">
        <v>3239</v>
      </c>
      <c r="T15" s="3352"/>
      <c r="U15" s="3352"/>
      <c r="V15" s="3352"/>
      <c r="W15" s="3352"/>
      <c r="X15" s="3352"/>
      <c r="Y15" s="3352"/>
      <c r="Z15" s="3352"/>
    </row>
    <row r="16" spans="1:26" s="3346" customFormat="1">
      <c r="A16" s="3351" t="s">
        <v>3291</v>
      </c>
      <c r="B16" s="3351" t="s">
        <v>3216</v>
      </c>
      <c r="C16" s="3351" t="s">
        <v>3232</v>
      </c>
      <c r="D16" s="3351" t="s">
        <v>2817</v>
      </c>
      <c r="E16" s="3351" t="s">
        <v>3292</v>
      </c>
      <c r="F16" s="3351" t="s">
        <v>3218</v>
      </c>
      <c r="G16" s="3351" t="s">
        <v>3293</v>
      </c>
      <c r="H16" s="3351" t="s">
        <v>3234</v>
      </c>
      <c r="I16" s="3351">
        <v>26952.5</v>
      </c>
      <c r="J16" s="3351">
        <v>67381.25</v>
      </c>
      <c r="K16" s="3351" t="s">
        <v>3294</v>
      </c>
      <c r="L16" s="3351" t="s">
        <v>3277</v>
      </c>
      <c r="M16" s="3351" t="s">
        <v>3295</v>
      </c>
      <c r="N16" s="3351" t="s">
        <v>3279</v>
      </c>
      <c r="O16" s="3351">
        <v>23920.25</v>
      </c>
      <c r="P16" s="3351">
        <v>591.66</v>
      </c>
      <c r="Q16" s="3351">
        <v>3549.98</v>
      </c>
      <c r="R16" s="3351">
        <v>1.43</v>
      </c>
      <c r="S16" s="3351" t="s">
        <v>3239</v>
      </c>
      <c r="T16" s="3352"/>
      <c r="U16" s="3352"/>
      <c r="V16" s="3352"/>
      <c r="W16" s="3352"/>
      <c r="X16" s="3352"/>
      <c r="Y16" s="3352"/>
      <c r="Z16" s="3352"/>
    </row>
    <row r="17" spans="1:26" s="3346" customFormat="1">
      <c r="A17" s="3351" t="s">
        <v>3296</v>
      </c>
      <c r="B17" s="3351" t="s">
        <v>3216</v>
      </c>
      <c r="C17" s="3351" t="s">
        <v>3232</v>
      </c>
      <c r="D17" s="3351" t="s">
        <v>2817</v>
      </c>
      <c r="E17" s="3351" t="s">
        <v>3297</v>
      </c>
      <c r="F17" s="3351" t="s">
        <v>3218</v>
      </c>
      <c r="G17" s="3351" t="s">
        <v>3298</v>
      </c>
      <c r="H17" s="3351" t="s">
        <v>3234</v>
      </c>
      <c r="I17" s="3351">
        <v>34683.9</v>
      </c>
      <c r="J17" s="3351">
        <v>76304.58</v>
      </c>
      <c r="K17" s="3351" t="s">
        <v>3299</v>
      </c>
      <c r="L17" s="3351" t="s">
        <v>3277</v>
      </c>
      <c r="M17" s="3351" t="s">
        <v>3300</v>
      </c>
      <c r="N17" s="3351" t="s">
        <v>3279</v>
      </c>
      <c r="O17" s="3351">
        <v>27087.91</v>
      </c>
      <c r="P17" s="3351">
        <v>520.66</v>
      </c>
      <c r="Q17" s="3351">
        <v>3549.96</v>
      </c>
      <c r="R17" s="3351">
        <v>1.43</v>
      </c>
      <c r="S17" s="3351" t="s">
        <v>3239</v>
      </c>
      <c r="T17" s="3352"/>
      <c r="U17" s="3352"/>
      <c r="V17" s="3352"/>
      <c r="W17" s="3352"/>
      <c r="X17" s="3352"/>
      <c r="Y17" s="3352"/>
      <c r="Z17" s="3352"/>
    </row>
    <row r="18" spans="1:26" s="3346" customFormat="1">
      <c r="A18" s="3351" t="s">
        <v>3301</v>
      </c>
      <c r="B18" s="3351" t="s">
        <v>3216</v>
      </c>
      <c r="C18" s="3351" t="s">
        <v>3217</v>
      </c>
      <c r="D18" s="3351" t="s">
        <v>2817</v>
      </c>
      <c r="E18" s="3351" t="s">
        <v>3301</v>
      </c>
      <c r="F18" s="3351" t="s">
        <v>3218</v>
      </c>
      <c r="G18" s="3351" t="s">
        <v>3302</v>
      </c>
      <c r="H18" s="3351" t="s">
        <v>3303</v>
      </c>
      <c r="I18" s="3351">
        <v>27016.5</v>
      </c>
      <c r="J18" s="3351">
        <v>81049</v>
      </c>
      <c r="K18" s="3351" t="s">
        <v>3276</v>
      </c>
      <c r="L18" s="3351" t="s">
        <v>3304</v>
      </c>
      <c r="M18" s="3351" t="s">
        <v>3305</v>
      </c>
      <c r="N18" s="3351" t="s">
        <v>3306</v>
      </c>
      <c r="O18" s="3351">
        <v>29177.63</v>
      </c>
      <c r="P18" s="3351">
        <v>720</v>
      </c>
      <c r="Q18" s="3351">
        <v>3600</v>
      </c>
      <c r="R18" s="3351">
        <v>2.86</v>
      </c>
      <c r="S18" s="3351" t="s">
        <v>3307</v>
      </c>
      <c r="T18" s="3352"/>
      <c r="U18" s="3352"/>
      <c r="V18" s="3352"/>
      <c r="W18" s="3352"/>
      <c r="X18" s="3352"/>
      <c r="Y18" s="3352"/>
      <c r="Z18" s="3352"/>
    </row>
    <row r="19" spans="1:26" s="3346" customFormat="1">
      <c r="A19" s="3351" t="s">
        <v>3308</v>
      </c>
      <c r="B19" s="3351" t="s">
        <v>3216</v>
      </c>
      <c r="C19" s="3351" t="s">
        <v>3217</v>
      </c>
      <c r="D19" s="3351" t="s">
        <v>2817</v>
      </c>
      <c r="E19" s="3351" t="s">
        <v>3308</v>
      </c>
      <c r="F19" s="3351" t="s">
        <v>3218</v>
      </c>
      <c r="G19" s="3351" t="s">
        <v>3309</v>
      </c>
      <c r="H19" s="3351" t="s">
        <v>3303</v>
      </c>
      <c r="I19" s="3351">
        <v>35682.400000000001</v>
      </c>
      <c r="J19" s="3351">
        <v>107047</v>
      </c>
      <c r="K19" s="3351" t="s">
        <v>3276</v>
      </c>
      <c r="L19" s="3351" t="s">
        <v>3304</v>
      </c>
      <c r="M19" s="3351" t="s">
        <v>3305</v>
      </c>
      <c r="N19" s="3351" t="s">
        <v>3306</v>
      </c>
      <c r="O19" s="3351">
        <v>38536.910000000003</v>
      </c>
      <c r="P19" s="3351">
        <v>720</v>
      </c>
      <c r="Q19" s="3351">
        <v>3600</v>
      </c>
      <c r="R19" s="3351">
        <v>2.86</v>
      </c>
      <c r="S19" s="3351" t="s">
        <v>3307</v>
      </c>
      <c r="T19" s="3352"/>
      <c r="U19" s="3352"/>
      <c r="V19" s="3352"/>
      <c r="W19" s="3352"/>
      <c r="X19" s="3352"/>
      <c r="Y19" s="3352"/>
      <c r="Z19" s="3352"/>
    </row>
    <row r="20" spans="1:26" s="3346" customFormat="1">
      <c r="A20" s="3351" t="s">
        <v>3310</v>
      </c>
      <c r="B20" s="3351" t="s">
        <v>3216</v>
      </c>
      <c r="C20" s="3351" t="s">
        <v>3217</v>
      </c>
      <c r="D20" s="3351" t="s">
        <v>2817</v>
      </c>
      <c r="E20" s="3351" t="s">
        <v>3310</v>
      </c>
      <c r="F20" s="3351" t="s">
        <v>3218</v>
      </c>
      <c r="G20" s="3351" t="s">
        <v>3311</v>
      </c>
      <c r="H20" s="3351" t="s">
        <v>3303</v>
      </c>
      <c r="I20" s="3351">
        <v>45799.9</v>
      </c>
      <c r="J20" s="3351">
        <v>137399</v>
      </c>
      <c r="K20" s="3351" t="s">
        <v>3276</v>
      </c>
      <c r="L20" s="3351" t="s">
        <v>3304</v>
      </c>
      <c r="M20" s="3351" t="s">
        <v>3305</v>
      </c>
      <c r="N20" s="3351" t="s">
        <v>3306</v>
      </c>
      <c r="O20" s="3351">
        <v>32975.760000000002</v>
      </c>
      <c r="P20" s="3351">
        <v>480</v>
      </c>
      <c r="Q20" s="3351">
        <v>2400</v>
      </c>
      <c r="R20" s="3351">
        <v>4.3499999999999996</v>
      </c>
      <c r="S20" s="3351" t="s">
        <v>3307</v>
      </c>
      <c r="T20" s="3352"/>
      <c r="U20" s="3352"/>
      <c r="V20" s="3352"/>
      <c r="W20" s="3352"/>
      <c r="X20" s="3352"/>
      <c r="Y20" s="3352"/>
      <c r="Z20" s="3352"/>
    </row>
    <row r="21" spans="1:26" s="3346" customFormat="1">
      <c r="A21" s="3351" t="s">
        <v>3312</v>
      </c>
      <c r="B21" s="3351" t="s">
        <v>3216</v>
      </c>
      <c r="C21" s="3351" t="s">
        <v>3217</v>
      </c>
      <c r="D21" s="3351" t="s">
        <v>2817</v>
      </c>
      <c r="E21" s="3351" t="s">
        <v>3312</v>
      </c>
      <c r="F21" s="3351" t="s">
        <v>3218</v>
      </c>
      <c r="G21" s="3351" t="s">
        <v>3313</v>
      </c>
      <c r="H21" s="3351" t="s">
        <v>3303</v>
      </c>
      <c r="I21" s="3351">
        <v>54494</v>
      </c>
      <c r="J21" s="3351">
        <v>163482</v>
      </c>
      <c r="K21" s="3351" t="s">
        <v>3276</v>
      </c>
      <c r="L21" s="3351" t="s">
        <v>3304</v>
      </c>
      <c r="M21" s="3351" t="s">
        <v>3305</v>
      </c>
      <c r="N21" s="3351" t="s">
        <v>3306</v>
      </c>
      <c r="O21" s="3351">
        <v>58853.51</v>
      </c>
      <c r="P21" s="3351">
        <v>720</v>
      </c>
      <c r="Q21" s="3351">
        <v>3600</v>
      </c>
      <c r="R21" s="3351">
        <v>2.86</v>
      </c>
      <c r="S21" s="3351" t="s">
        <v>3307</v>
      </c>
      <c r="T21" s="3352"/>
      <c r="U21" s="3352"/>
      <c r="V21" s="3352"/>
      <c r="W21" s="3352"/>
      <c r="X21" s="3352"/>
      <c r="Y21" s="3352"/>
      <c r="Z21" s="3352"/>
    </row>
    <row r="22" spans="1:26" s="3346" customFormat="1">
      <c r="A22" s="3351" t="s">
        <v>3314</v>
      </c>
      <c r="B22" s="3351" t="s">
        <v>3216</v>
      </c>
      <c r="C22" s="3351" t="s">
        <v>3217</v>
      </c>
      <c r="D22" s="3351" t="s">
        <v>2817</v>
      </c>
      <c r="E22" s="3351" t="s">
        <v>3314</v>
      </c>
      <c r="F22" s="3351" t="s">
        <v>3218</v>
      </c>
      <c r="G22" s="3351" t="s">
        <v>3315</v>
      </c>
      <c r="H22" s="3351" t="s">
        <v>3303</v>
      </c>
      <c r="I22" s="3351">
        <v>48962.3</v>
      </c>
      <c r="J22" s="3351">
        <v>161575</v>
      </c>
      <c r="K22" s="3351" t="s">
        <v>3316</v>
      </c>
      <c r="L22" s="3351" t="s">
        <v>3304</v>
      </c>
      <c r="M22" s="3351" t="s">
        <v>3305</v>
      </c>
      <c r="N22" s="3351" t="s">
        <v>3306</v>
      </c>
      <c r="O22" s="3351">
        <v>38778</v>
      </c>
      <c r="P22" s="3351">
        <v>528</v>
      </c>
      <c r="Q22" s="3351">
        <v>2400</v>
      </c>
      <c r="R22" s="3351">
        <v>4.3499999999999996</v>
      </c>
      <c r="S22" s="3351" t="s">
        <v>3307</v>
      </c>
      <c r="T22" s="3352"/>
      <c r="U22" s="3352"/>
      <c r="V22" s="3352"/>
      <c r="W22" s="3352"/>
      <c r="X22" s="3352"/>
      <c r="Y22" s="3352"/>
      <c r="Z22" s="3352"/>
    </row>
    <row r="23" spans="1:26" s="3346" customFormat="1">
      <c r="A23" s="3351" t="s">
        <v>3317</v>
      </c>
      <c r="B23" s="3351" t="s">
        <v>3216</v>
      </c>
      <c r="C23" s="3351" t="s">
        <v>3232</v>
      </c>
      <c r="D23" s="3351" t="s">
        <v>2817</v>
      </c>
      <c r="E23" s="3351" t="s">
        <v>3317</v>
      </c>
      <c r="F23" s="3351" t="s">
        <v>3218</v>
      </c>
      <c r="G23" s="3351" t="s">
        <v>3318</v>
      </c>
      <c r="H23" s="3351" t="s">
        <v>3234</v>
      </c>
      <c r="I23" s="3351">
        <v>63397.7</v>
      </c>
      <c r="J23" s="3351">
        <v>114115.9</v>
      </c>
      <c r="K23" s="3351" t="s">
        <v>3319</v>
      </c>
      <c r="L23" s="3351" t="s">
        <v>3320</v>
      </c>
      <c r="M23" s="3351" t="s">
        <v>3321</v>
      </c>
      <c r="N23" s="3351" t="s">
        <v>3322</v>
      </c>
      <c r="O23" s="3351">
        <v>35375.65</v>
      </c>
      <c r="P23" s="3351">
        <v>372</v>
      </c>
      <c r="Q23" s="3351">
        <v>3099.98</v>
      </c>
      <c r="R23" s="3351">
        <v>3.33</v>
      </c>
      <c r="S23" s="3351" t="s">
        <v>3239</v>
      </c>
      <c r="T23" s="3352"/>
      <c r="U23" s="3352"/>
      <c r="V23" s="3352"/>
      <c r="W23" s="3352"/>
      <c r="X23" s="3352"/>
      <c r="Y23" s="3352"/>
      <c r="Z23" s="3352"/>
    </row>
    <row r="24" spans="1:26" s="3346" customFormat="1">
      <c r="A24" s="3351" t="s">
        <v>3323</v>
      </c>
      <c r="B24" s="3351" t="s">
        <v>3216</v>
      </c>
      <c r="C24" s="3351" t="s">
        <v>3217</v>
      </c>
      <c r="D24" s="3351" t="s">
        <v>2817</v>
      </c>
      <c r="E24" s="3351" t="s">
        <v>3324</v>
      </c>
      <c r="F24" s="3351" t="s">
        <v>3218</v>
      </c>
      <c r="G24" s="3351" t="s">
        <v>3325</v>
      </c>
      <c r="H24" s="3351" t="s">
        <v>3234</v>
      </c>
      <c r="I24" s="3351">
        <v>100184.3</v>
      </c>
      <c r="J24" s="3351">
        <v>180331.7</v>
      </c>
      <c r="K24" s="3351" t="s">
        <v>3319</v>
      </c>
      <c r="L24" s="3351" t="s">
        <v>3326</v>
      </c>
      <c r="M24" s="3351" t="s">
        <v>3327</v>
      </c>
      <c r="N24" s="3351" t="s">
        <v>3328</v>
      </c>
      <c r="O24" s="3351">
        <v>54099.3</v>
      </c>
      <c r="P24" s="3351">
        <v>360</v>
      </c>
      <c r="Q24" s="3351">
        <v>2999.98</v>
      </c>
      <c r="R24" s="3351">
        <v>0</v>
      </c>
      <c r="S24" s="3351" t="s">
        <v>3239</v>
      </c>
      <c r="T24" s="3352"/>
      <c r="U24" s="3352"/>
      <c r="V24" s="3352"/>
      <c r="W24" s="3352"/>
      <c r="X24" s="3352"/>
      <c r="Y24" s="3352"/>
      <c r="Z24" s="3352"/>
    </row>
    <row r="25" spans="1:26" s="3346" customFormat="1">
      <c r="A25" s="3351" t="s">
        <v>3329</v>
      </c>
      <c r="B25" s="3351" t="s">
        <v>3216</v>
      </c>
      <c r="C25" s="3351" t="s">
        <v>3217</v>
      </c>
      <c r="D25" s="3351" t="s">
        <v>2817</v>
      </c>
      <c r="E25" s="3351" t="s">
        <v>3329</v>
      </c>
      <c r="F25" s="3351" t="s">
        <v>3218</v>
      </c>
      <c r="G25" s="3351" t="s">
        <v>3330</v>
      </c>
      <c r="H25" s="3351" t="s">
        <v>3234</v>
      </c>
      <c r="I25" s="3351">
        <v>36978.199999999997</v>
      </c>
      <c r="J25" s="3351">
        <v>66560.759999999995</v>
      </c>
      <c r="K25" s="3351" t="s">
        <v>3331</v>
      </c>
      <c r="L25" s="3351" t="s">
        <v>3332</v>
      </c>
      <c r="M25" s="3351" t="s">
        <v>3333</v>
      </c>
      <c r="N25" s="3351" t="s">
        <v>3322</v>
      </c>
      <c r="O25" s="3351">
        <v>20966.400000000001</v>
      </c>
      <c r="P25" s="3351">
        <v>378</v>
      </c>
      <c r="Q25" s="3351">
        <v>3149.96</v>
      </c>
      <c r="R25" s="3351">
        <v>5</v>
      </c>
      <c r="S25" s="3351" t="s">
        <v>3307</v>
      </c>
      <c r="T25" s="3352"/>
      <c r="U25" s="3352"/>
      <c r="V25" s="3352"/>
      <c r="W25" s="3352"/>
      <c r="X25" s="3352"/>
      <c r="Y25" s="3352"/>
      <c r="Z25" s="3352"/>
    </row>
    <row r="26" spans="1:26" s="3346" customFormat="1">
      <c r="A26" s="3351" t="s">
        <v>3334</v>
      </c>
      <c r="B26" s="3351" t="s">
        <v>3216</v>
      </c>
      <c r="C26" s="3351" t="s">
        <v>3217</v>
      </c>
      <c r="D26" s="3351" t="s">
        <v>2817</v>
      </c>
      <c r="E26" s="3351" t="s">
        <v>3334</v>
      </c>
      <c r="F26" s="3351" t="s">
        <v>3218</v>
      </c>
      <c r="G26" s="3351" t="s">
        <v>3335</v>
      </c>
      <c r="H26" s="3351" t="s">
        <v>3234</v>
      </c>
      <c r="I26" s="3351">
        <v>61365.7</v>
      </c>
      <c r="J26" s="3351">
        <v>110458.3</v>
      </c>
      <c r="K26" s="3351" t="s">
        <v>3331</v>
      </c>
      <c r="L26" s="3351" t="s">
        <v>3332</v>
      </c>
      <c r="M26" s="3351" t="s">
        <v>3336</v>
      </c>
      <c r="N26" s="3351" t="s">
        <v>3322</v>
      </c>
      <c r="O26" s="3351">
        <v>34794.26</v>
      </c>
      <c r="P26" s="3351">
        <v>378</v>
      </c>
      <c r="Q26" s="3351">
        <v>3149.98</v>
      </c>
      <c r="R26" s="3351">
        <v>5</v>
      </c>
      <c r="S26" s="3351" t="s">
        <v>3307</v>
      </c>
      <c r="T26" s="3352"/>
      <c r="U26" s="3352"/>
      <c r="V26" s="3352"/>
      <c r="W26" s="3352"/>
      <c r="X26" s="3352"/>
      <c r="Y26" s="3352"/>
      <c r="Z26" s="3352"/>
    </row>
    <row r="27" spans="1:26" s="3346" customFormat="1">
      <c r="A27" s="3351" t="s">
        <v>3337</v>
      </c>
      <c r="B27" s="3351" t="s">
        <v>3216</v>
      </c>
      <c r="C27" s="3351" t="s">
        <v>3217</v>
      </c>
      <c r="D27" s="3351" t="s">
        <v>2817</v>
      </c>
      <c r="E27" s="3351" t="s">
        <v>3338</v>
      </c>
      <c r="F27" s="3351" t="s">
        <v>3218</v>
      </c>
      <c r="G27" s="3351" t="s">
        <v>3339</v>
      </c>
      <c r="H27" s="3351" t="s">
        <v>3234</v>
      </c>
      <c r="I27" s="3351">
        <v>38296.300000000003</v>
      </c>
      <c r="J27" s="3351">
        <v>45955.56</v>
      </c>
      <c r="K27" s="3351" t="s">
        <v>3340</v>
      </c>
      <c r="L27" s="3351" t="s">
        <v>3341</v>
      </c>
      <c r="M27" s="3351" t="s">
        <v>3342</v>
      </c>
      <c r="N27" s="3351" t="s">
        <v>3343</v>
      </c>
      <c r="O27" s="3351">
        <v>13786.5</v>
      </c>
      <c r="P27" s="3351">
        <v>240</v>
      </c>
      <c r="Q27" s="3351">
        <v>2999.96</v>
      </c>
      <c r="R27" s="3351">
        <v>0</v>
      </c>
      <c r="S27" s="3351" t="s">
        <v>3307</v>
      </c>
      <c r="T27" s="3352"/>
      <c r="U27" s="3352"/>
      <c r="V27" s="3352"/>
      <c r="W27" s="3352"/>
      <c r="X27" s="3352"/>
      <c r="Y27" s="3352"/>
      <c r="Z27" s="3352"/>
    </row>
    <row r="28" spans="1:26" s="3346" customFormat="1">
      <c r="A28" s="3351" t="s">
        <v>3344</v>
      </c>
      <c r="B28" s="3351" t="s">
        <v>3216</v>
      </c>
      <c r="C28" s="3351" t="s">
        <v>3232</v>
      </c>
      <c r="D28" s="3351" t="s">
        <v>2817</v>
      </c>
      <c r="E28" s="3351" t="s">
        <v>3344</v>
      </c>
      <c r="F28" s="3351" t="s">
        <v>3218</v>
      </c>
      <c r="G28" s="3351" t="s">
        <v>3345</v>
      </c>
      <c r="H28" s="3351" t="s">
        <v>3234</v>
      </c>
      <c r="I28" s="3351">
        <v>85294.6</v>
      </c>
      <c r="J28" s="3351">
        <v>102353.52</v>
      </c>
      <c r="K28" s="3351" t="s">
        <v>3340</v>
      </c>
      <c r="L28" s="3351" t="s">
        <v>3341</v>
      </c>
      <c r="M28" s="3351" t="s">
        <v>3346</v>
      </c>
      <c r="N28" s="3351" t="s">
        <v>3343</v>
      </c>
      <c r="O28" s="3351">
        <v>30705.9</v>
      </c>
      <c r="P28" s="3351">
        <v>240</v>
      </c>
      <c r="Q28" s="3351">
        <v>2999.98</v>
      </c>
      <c r="R28" s="3351">
        <v>0</v>
      </c>
      <c r="S28" s="3351" t="s">
        <v>3239</v>
      </c>
      <c r="T28" s="3352"/>
      <c r="U28" s="3352"/>
      <c r="V28" s="3352"/>
      <c r="W28" s="3352"/>
      <c r="X28" s="3352"/>
      <c r="Y28" s="3352"/>
      <c r="Z28" s="3352"/>
    </row>
    <row r="29" spans="1:26" s="3346" customFormat="1">
      <c r="A29" s="3351" t="s">
        <v>3347</v>
      </c>
      <c r="B29" s="3351" t="s">
        <v>3216</v>
      </c>
      <c r="C29" s="3351" t="s">
        <v>3217</v>
      </c>
      <c r="D29" s="3351" t="s">
        <v>2817</v>
      </c>
      <c r="E29" s="3351" t="s">
        <v>3347</v>
      </c>
      <c r="F29" s="3351" t="s">
        <v>3218</v>
      </c>
      <c r="G29" s="3351" t="s">
        <v>3348</v>
      </c>
      <c r="H29" s="3351" t="s">
        <v>3349</v>
      </c>
      <c r="I29" s="3351">
        <v>34168.699999999997</v>
      </c>
      <c r="J29" s="3351">
        <v>68337.399999999994</v>
      </c>
      <c r="K29" s="3351" t="s">
        <v>3350</v>
      </c>
      <c r="L29" s="3351" t="s">
        <v>3351</v>
      </c>
      <c r="M29" s="3351" t="s">
        <v>3352</v>
      </c>
      <c r="N29" s="3351" t="s">
        <v>3353</v>
      </c>
      <c r="O29" s="3351">
        <v>13906.57</v>
      </c>
      <c r="P29" s="3351">
        <v>271.33</v>
      </c>
      <c r="Q29" s="3351">
        <v>2034.99</v>
      </c>
      <c r="R29" s="3351">
        <v>39.86</v>
      </c>
      <c r="S29" s="3351" t="s">
        <v>3307</v>
      </c>
      <c r="T29" s="3352"/>
      <c r="U29" s="3352"/>
      <c r="V29" s="3352"/>
      <c r="W29" s="3352"/>
      <c r="X29" s="3352"/>
      <c r="Y29" s="3352"/>
      <c r="Z29" s="3352"/>
    </row>
    <row r="30" spans="1:26" s="3349" customFormat="1">
      <c r="A30" s="3359" t="s">
        <v>3354</v>
      </c>
      <c r="B30" s="3359" t="s">
        <v>3216</v>
      </c>
      <c r="C30" s="3359" t="s">
        <v>3232</v>
      </c>
      <c r="D30" s="3359" t="s">
        <v>2817</v>
      </c>
      <c r="E30" s="3359" t="s">
        <v>3354</v>
      </c>
      <c r="F30" s="3359" t="s">
        <v>3218</v>
      </c>
      <c r="G30" s="3360" t="s">
        <v>3355</v>
      </c>
      <c r="H30" s="3359" t="s">
        <v>3356</v>
      </c>
      <c r="I30" s="3359">
        <v>67677.100000000006</v>
      </c>
      <c r="J30" s="3359">
        <v>121818</v>
      </c>
      <c r="K30" s="3359" t="s">
        <v>3357</v>
      </c>
      <c r="L30" s="3359" t="s">
        <v>3358</v>
      </c>
      <c r="M30" s="3359" t="s">
        <v>3359</v>
      </c>
      <c r="N30" s="3360" t="s">
        <v>3360</v>
      </c>
      <c r="O30" s="3359">
        <v>83469.69</v>
      </c>
      <c r="P30" s="3359">
        <v>822.23</v>
      </c>
      <c r="Q30" s="3359">
        <v>6852</v>
      </c>
      <c r="R30" s="3359">
        <v>341.49</v>
      </c>
      <c r="S30" s="3359" t="s">
        <v>3239</v>
      </c>
      <c r="T30" s="3361"/>
      <c r="U30" s="3361"/>
      <c r="V30" s="3361"/>
      <c r="W30" s="3361"/>
      <c r="X30" s="3361"/>
      <c r="Y30" s="3361"/>
      <c r="Z30" s="3361"/>
    </row>
    <row r="31" spans="1:26" s="3346" customFormat="1">
      <c r="A31" s="3351" t="s">
        <v>3361</v>
      </c>
      <c r="B31" s="3351" t="s">
        <v>3216</v>
      </c>
      <c r="C31" s="3351" t="s">
        <v>3217</v>
      </c>
      <c r="D31" s="3351" t="s">
        <v>2817</v>
      </c>
      <c r="E31" s="3351" t="s">
        <v>3361</v>
      </c>
      <c r="F31" s="3351" t="s">
        <v>3218</v>
      </c>
      <c r="G31" s="3351" t="s">
        <v>3362</v>
      </c>
      <c r="H31" s="3351" t="s">
        <v>3363</v>
      </c>
      <c r="I31" s="3351">
        <v>43937.9</v>
      </c>
      <c r="J31" s="3351">
        <v>87875</v>
      </c>
      <c r="K31" s="3351" t="s">
        <v>3364</v>
      </c>
      <c r="L31" s="3351" t="s">
        <v>3365</v>
      </c>
      <c r="M31" s="3351" t="s">
        <v>3366</v>
      </c>
      <c r="N31" s="3351" t="s">
        <v>3367</v>
      </c>
      <c r="O31" s="3351">
        <v>13304.28</v>
      </c>
      <c r="P31" s="3351">
        <v>201.86</v>
      </c>
      <c r="Q31" s="3351">
        <v>1514</v>
      </c>
      <c r="R31" s="3351">
        <v>0.33</v>
      </c>
      <c r="S31" s="3351" t="s">
        <v>3368</v>
      </c>
      <c r="T31" s="3352"/>
      <c r="U31" s="3352"/>
      <c r="V31" s="3352"/>
      <c r="W31" s="3352"/>
      <c r="X31" s="3352"/>
      <c r="Y31" s="3352"/>
      <c r="Z31" s="3352"/>
    </row>
    <row r="32" spans="1:26" s="3346" customFormat="1">
      <c r="A32" s="3351" t="s">
        <v>3369</v>
      </c>
      <c r="B32" s="3351" t="s">
        <v>3216</v>
      </c>
      <c r="C32" s="3351" t="s">
        <v>3232</v>
      </c>
      <c r="D32" s="3351" t="s">
        <v>2817</v>
      </c>
      <c r="E32" s="3351" t="s">
        <v>3369</v>
      </c>
      <c r="F32" s="3351" t="s">
        <v>3218</v>
      </c>
      <c r="G32" s="3351" t="s">
        <v>3370</v>
      </c>
      <c r="H32" s="3351" t="s">
        <v>3356</v>
      </c>
      <c r="I32" s="3351">
        <v>30694.400000000001</v>
      </c>
      <c r="J32" s="3351">
        <v>36833</v>
      </c>
      <c r="K32" s="3351" t="s">
        <v>3371</v>
      </c>
      <c r="L32" s="3351" t="s">
        <v>3372</v>
      </c>
      <c r="M32" s="3351" t="s">
        <v>3373</v>
      </c>
      <c r="N32" s="3351" t="s">
        <v>3306</v>
      </c>
      <c r="O32" s="3351">
        <v>7683.35</v>
      </c>
      <c r="P32" s="3351">
        <v>166.88</v>
      </c>
      <c r="Q32" s="3351">
        <v>2086</v>
      </c>
      <c r="R32" s="3351">
        <v>0</v>
      </c>
      <c r="S32" s="3351" t="s">
        <v>3239</v>
      </c>
      <c r="T32" s="3352"/>
      <c r="U32" s="3352"/>
      <c r="V32" s="3352"/>
      <c r="W32" s="3352"/>
      <c r="X32" s="3352"/>
      <c r="Y32" s="3352"/>
      <c r="Z32" s="3352"/>
    </row>
    <row r="33" spans="1:26" s="3346" customFormat="1">
      <c r="A33" s="3351" t="s">
        <v>3374</v>
      </c>
      <c r="B33" s="3351" t="s">
        <v>3216</v>
      </c>
      <c r="C33" s="3351" t="s">
        <v>3232</v>
      </c>
      <c r="D33" s="3351" t="s">
        <v>2817</v>
      </c>
      <c r="E33" s="3351" t="s">
        <v>3374</v>
      </c>
      <c r="F33" s="3351" t="s">
        <v>3218</v>
      </c>
      <c r="G33" s="3351" t="s">
        <v>3375</v>
      </c>
      <c r="H33" s="3351" t="s">
        <v>3356</v>
      </c>
      <c r="I33" s="3351">
        <v>14347.6</v>
      </c>
      <c r="J33" s="3351">
        <v>28695</v>
      </c>
      <c r="K33" s="3351" t="s">
        <v>3376</v>
      </c>
      <c r="L33" s="3351" t="s">
        <v>3372</v>
      </c>
      <c r="M33" s="3351" t="s">
        <v>3377</v>
      </c>
      <c r="N33" s="3351" t="s">
        <v>3378</v>
      </c>
      <c r="O33" s="3351">
        <v>4353.0200000000004</v>
      </c>
      <c r="P33" s="3351">
        <v>202.26</v>
      </c>
      <c r="Q33" s="3351">
        <v>1517</v>
      </c>
      <c r="R33" s="3351">
        <v>0</v>
      </c>
      <c r="S33" s="3351" t="s">
        <v>3239</v>
      </c>
      <c r="T33" s="3352"/>
      <c r="U33" s="3352"/>
      <c r="V33" s="3352"/>
      <c r="W33" s="3352"/>
      <c r="X33" s="3352"/>
      <c r="Y33" s="3352"/>
      <c r="Z33" s="3352"/>
    </row>
    <row r="34" spans="1:26" s="3346" customFormat="1">
      <c r="A34" s="3351" t="s">
        <v>3379</v>
      </c>
      <c r="B34" s="3351" t="s">
        <v>3216</v>
      </c>
      <c r="C34" s="3351" t="s">
        <v>3217</v>
      </c>
      <c r="D34" s="3351" t="s">
        <v>2817</v>
      </c>
      <c r="E34" s="3351" t="s">
        <v>3379</v>
      </c>
      <c r="F34" s="3351" t="s">
        <v>3218</v>
      </c>
      <c r="G34" s="3351" t="s">
        <v>3380</v>
      </c>
      <c r="H34" s="3351" t="s">
        <v>3381</v>
      </c>
      <c r="I34" s="3351">
        <v>51672.2</v>
      </c>
      <c r="J34" s="3351">
        <v>93009</v>
      </c>
      <c r="K34" s="3351" t="s">
        <v>3357</v>
      </c>
      <c r="L34" s="3351" t="s">
        <v>3382</v>
      </c>
      <c r="M34" s="3351" t="s">
        <v>3383</v>
      </c>
      <c r="N34" s="3351" t="s">
        <v>3384</v>
      </c>
      <c r="O34" s="3351">
        <v>13430.5</v>
      </c>
      <c r="P34" s="3351">
        <v>173.28</v>
      </c>
      <c r="Q34" s="3351">
        <v>1444</v>
      </c>
      <c r="R34" s="3351">
        <v>0</v>
      </c>
      <c r="S34" s="3351" t="s">
        <v>3385</v>
      </c>
      <c r="T34" s="3352"/>
      <c r="U34" s="3352"/>
      <c r="V34" s="3352"/>
      <c r="W34" s="3352"/>
      <c r="X34" s="3352"/>
      <c r="Y34" s="3352"/>
      <c r="Z34" s="3352"/>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O76" workbookViewId="0">
      <selection activeCell="W102" sqref="W102"/>
    </sheetView>
  </sheetViews>
  <sheetFormatPr defaultRowHeight="14.25"/>
  <cols>
    <col min="1" max="3" width="10.125" style="3382" customWidth="1"/>
    <col min="4" max="6" width="9" style="3363"/>
    <col min="7" max="7" width="9" style="3365"/>
    <col min="8" max="30" width="9" style="3363"/>
    <col min="31" max="16384" width="9" style="3350"/>
  </cols>
  <sheetData>
    <row r="1" spans="1:7">
      <c r="A1" s="3696" t="s">
        <v>3386</v>
      </c>
      <c r="B1" s="3696"/>
      <c r="C1" s="3696"/>
      <c r="D1" s="3364" t="s">
        <v>3387</v>
      </c>
    </row>
    <row r="2" spans="1:7" ht="15" thickBot="1">
      <c r="A2" s="3366" t="s">
        <v>3388</v>
      </c>
      <c r="B2" s="3367" t="s">
        <v>3389</v>
      </c>
      <c r="C2" s="3367" t="s">
        <v>3390</v>
      </c>
      <c r="F2" s="3368" t="s">
        <v>3391</v>
      </c>
      <c r="G2" s="3369" t="s">
        <v>3392</v>
      </c>
    </row>
    <row r="3" spans="1:7">
      <c r="A3" s="3370">
        <v>2016.2</v>
      </c>
      <c r="B3" s="3371">
        <v>6294</v>
      </c>
      <c r="C3" s="3371">
        <v>2.2599999999999998</v>
      </c>
      <c r="F3" s="3368" t="s">
        <v>3393</v>
      </c>
      <c r="G3" s="3372" t="s">
        <v>3394</v>
      </c>
    </row>
    <row r="4" spans="1:7">
      <c r="A4" s="3373">
        <v>2016.3</v>
      </c>
      <c r="B4" s="3374">
        <v>6480</v>
      </c>
      <c r="C4" s="3374">
        <v>2.96</v>
      </c>
      <c r="F4" s="3375"/>
      <c r="G4" s="3372" t="s">
        <v>3395</v>
      </c>
    </row>
    <row r="5" spans="1:7">
      <c r="A5" s="3370">
        <v>2016.4</v>
      </c>
      <c r="B5" s="3371">
        <v>6850</v>
      </c>
      <c r="C5" s="3371">
        <v>5.71</v>
      </c>
      <c r="F5" s="3375"/>
      <c r="G5" s="3365" t="s">
        <v>3396</v>
      </c>
    </row>
    <row r="6" spans="1:7">
      <c r="A6" s="3373">
        <v>2017.1</v>
      </c>
      <c r="B6" s="3374">
        <v>7116</v>
      </c>
      <c r="C6" s="3374">
        <v>3.88</v>
      </c>
      <c r="F6" s="3368" t="s">
        <v>3397</v>
      </c>
      <c r="G6" s="3372" t="s">
        <v>3398</v>
      </c>
    </row>
    <row r="7" spans="1:7" ht="13.5">
      <c r="A7" s="3376">
        <v>2017.2</v>
      </c>
      <c r="B7" s="3377">
        <v>7604</v>
      </c>
      <c r="C7" s="3377">
        <v>6.86</v>
      </c>
    </row>
    <row r="8" spans="1:7" ht="13.5">
      <c r="A8" s="3378">
        <v>2017.3</v>
      </c>
      <c r="B8" s="3379">
        <v>17272</v>
      </c>
      <c r="C8" s="3379">
        <v>4</v>
      </c>
    </row>
    <row r="9" spans="1:7" ht="13.5">
      <c r="A9" s="3380">
        <v>2017.4</v>
      </c>
      <c r="B9" s="3381">
        <v>17456</v>
      </c>
      <c r="C9" s="3381">
        <v>1.07</v>
      </c>
    </row>
    <row r="10" spans="1:7" ht="13.5">
      <c r="A10" s="3378">
        <v>2018.1</v>
      </c>
      <c r="B10" s="3379">
        <v>17998</v>
      </c>
      <c r="C10" s="3379">
        <v>3.1</v>
      </c>
    </row>
    <row r="11" spans="1:7" ht="13.5">
      <c r="A11" s="3380">
        <v>2018.2</v>
      </c>
      <c r="B11" s="3381">
        <v>18702</v>
      </c>
      <c r="C11" s="3381">
        <v>3.91</v>
      </c>
    </row>
  </sheetData>
  <mergeCells count="1">
    <mergeCell ref="A1:C1"/>
  </mergeCells>
  <phoneticPr fontId="233" type="noConversion"/>
  <hyperlinks>
    <hyperlink ref="G2" r:id="rId1"/>
    <hyperlink ref="G3" r:id="rId2"/>
    <hyperlink ref="G4" r:id="rId3"/>
    <hyperlink ref="G6" r:id="rId4"/>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6" sqref="P36"/>
    </sheetView>
  </sheetViews>
  <sheetFormatPr defaultRowHeight="13.5"/>
  <cols>
    <col min="1" max="16384" width="9" style="3363"/>
  </cols>
  <sheetData/>
  <phoneticPr fontId="2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12" sqref="I12"/>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c r="A3" s="1377" t="s">
        <v>1686</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521</v>
      </c>
      <c r="B6" s="512"/>
      <c r="C6" s="3677" t="s">
        <v>522</v>
      </c>
      <c r="D6" s="3678"/>
      <c r="E6" s="3702" t="s">
        <v>523</v>
      </c>
      <c r="F6" s="3703"/>
      <c r="G6" s="3677" t="s">
        <v>524</v>
      </c>
      <c r="H6" s="3678"/>
      <c r="I6" s="3677" t="s">
        <v>525</v>
      </c>
      <c r="J6" s="3678"/>
      <c r="K6" s="513" t="s">
        <v>526</v>
      </c>
      <c r="L6" s="2131"/>
      <c r="M6" s="2132"/>
      <c r="N6" s="2132"/>
      <c r="O6" s="2132"/>
      <c r="P6" s="3679" t="s">
        <v>527</v>
      </c>
      <c r="Q6" s="3680"/>
      <c r="R6" s="3665" t="s">
        <v>523</v>
      </c>
      <c r="S6" s="3666"/>
      <c r="T6" s="3665" t="s">
        <v>524</v>
      </c>
      <c r="U6" s="3666"/>
      <c r="V6" s="3685" t="s">
        <v>525</v>
      </c>
      <c r="W6" s="3685"/>
      <c r="X6" s="1564"/>
      <c r="Y6" s="3665" t="s">
        <v>527</v>
      </c>
      <c r="Z6" s="3666"/>
      <c r="AA6" s="3660" t="s">
        <v>523</v>
      </c>
      <c r="AB6" s="3661" t="s">
        <v>524</v>
      </c>
      <c r="AC6" s="3660" t="s">
        <v>525</v>
      </c>
    </row>
    <row r="7" spans="1:29" ht="15">
      <c r="A7" s="514"/>
      <c r="B7" s="515"/>
      <c r="C7" s="3688" t="s">
        <v>2928</v>
      </c>
      <c r="D7" s="3689"/>
      <c r="E7" s="3704" t="s">
        <v>2929</v>
      </c>
      <c r="F7" s="3705"/>
      <c r="G7" s="3688" t="s">
        <v>2930</v>
      </c>
      <c r="H7" s="3689"/>
      <c r="I7" s="3688" t="s">
        <v>2931</v>
      </c>
      <c r="J7" s="3689"/>
      <c r="K7" s="513"/>
      <c r="L7" s="2131"/>
      <c r="M7" s="2132"/>
      <c r="N7" s="2132"/>
      <c r="O7" s="2132"/>
      <c r="P7" s="3681"/>
      <c r="Q7" s="3682"/>
      <c r="R7" s="3667"/>
      <c r="S7" s="3668"/>
      <c r="T7" s="3667"/>
      <c r="U7" s="3668"/>
      <c r="V7" s="3685"/>
      <c r="W7" s="3685"/>
      <c r="X7" s="1564"/>
      <c r="Y7" s="3667"/>
      <c r="Z7" s="3668"/>
      <c r="AA7" s="3661"/>
      <c r="AB7" s="3661"/>
      <c r="AC7" s="3661"/>
    </row>
    <row r="8" spans="1:29" ht="15.75" thickBot="1">
      <c r="A8" s="516"/>
      <c r="B8" s="517"/>
      <c r="C8" s="3686" t="s">
        <v>2932</v>
      </c>
      <c r="D8" s="3687"/>
      <c r="E8" s="3706" t="s">
        <v>2932</v>
      </c>
      <c r="F8" s="3707"/>
      <c r="G8" s="3686" t="s">
        <v>2932</v>
      </c>
      <c r="H8" s="3687"/>
      <c r="I8" s="3686" t="s">
        <v>2932</v>
      </c>
      <c r="J8" s="3687"/>
      <c r="K8" s="513" t="s">
        <v>528</v>
      </c>
      <c r="L8" s="2131"/>
      <c r="M8" s="2132"/>
      <c r="N8" s="2132"/>
      <c r="O8" s="2132"/>
      <c r="P8" s="3683"/>
      <c r="Q8" s="3684"/>
      <c r="R8" s="3667"/>
      <c r="S8" s="3668"/>
      <c r="T8" s="3669"/>
      <c r="U8" s="3670"/>
      <c r="V8" s="3685"/>
      <c r="W8" s="3685"/>
      <c r="X8" s="1564"/>
      <c r="Y8" s="3669"/>
      <c r="Z8" s="3670"/>
      <c r="AA8" s="3662"/>
      <c r="AB8" s="3662"/>
      <c r="AC8" s="3662"/>
    </row>
    <row r="9" spans="1:29" s="1218" customFormat="1" ht="15.75" thickBot="1">
      <c r="A9" s="2910"/>
      <c r="B9" s="2917" t="s">
        <v>529</v>
      </c>
      <c r="C9" s="518">
        <f>'数据-取费表'!B2</f>
        <v>43346</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663" t="s">
        <v>530</v>
      </c>
      <c r="Q9" s="3672"/>
      <c r="R9" s="1565" t="s">
        <v>8</v>
      </c>
      <c r="S9" s="1566">
        <f t="shared" ref="S9:S17" si="0">F9</f>
        <v>0</v>
      </c>
      <c r="T9" s="1565" t="s">
        <v>8</v>
      </c>
      <c r="U9" s="1566">
        <f t="shared" ref="U9:U17" si="1">H9</f>
        <v>0</v>
      </c>
      <c r="V9" s="1565" t="s">
        <v>8</v>
      </c>
      <c r="W9" s="1566">
        <f t="shared" ref="W9:W17" si="2">J9</f>
        <v>0</v>
      </c>
      <c r="X9" s="1567"/>
      <c r="Y9" s="3663" t="s">
        <v>530</v>
      </c>
      <c r="Z9" s="3664"/>
      <c r="AA9" s="1568" t="e">
        <f>D9/F9</f>
        <v>#DIV/0!</v>
      </c>
      <c r="AB9" s="1568" t="e">
        <f>D9/H9</f>
        <v>#DIV/0!</v>
      </c>
      <c r="AC9" s="1568" t="e">
        <f>D9/J9</f>
        <v>#DIV/0!</v>
      </c>
    </row>
    <row r="10" spans="1:29" s="1218" customFormat="1" ht="15.75" thickBot="1">
      <c r="A10" s="2911"/>
      <c r="B10" s="291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663" t="s">
        <v>533</v>
      </c>
      <c r="Q10" s="3664"/>
      <c r="R10" s="1565" t="s">
        <v>8</v>
      </c>
      <c r="S10" s="1566">
        <f t="shared" si="0"/>
        <v>0</v>
      </c>
      <c r="T10" s="1565" t="s">
        <v>8</v>
      </c>
      <c r="U10" s="1566">
        <f t="shared" si="1"/>
        <v>0</v>
      </c>
      <c r="V10" s="1565" t="s">
        <v>8</v>
      </c>
      <c r="W10" s="1566">
        <f t="shared" si="2"/>
        <v>0</v>
      </c>
      <c r="X10" s="1567"/>
      <c r="Y10" s="3663" t="s">
        <v>533</v>
      </c>
      <c r="Z10" s="3664"/>
      <c r="AA10" s="1568" t="e">
        <f t="shared" ref="AA10:AA42" si="3">D10/F10</f>
        <v>#DIV/0!</v>
      </c>
      <c r="AB10" s="1568" t="e">
        <f t="shared" ref="AB10:AB42" si="4">D10/H10</f>
        <v>#DIV/0!</v>
      </c>
      <c r="AC10" s="1568" t="e">
        <f t="shared" ref="AC10:AC42" si="5">D10/J10</f>
        <v>#DIV/0!</v>
      </c>
    </row>
    <row r="11" spans="1:29" s="1218" customFormat="1" ht="15">
      <c r="A11" s="2912"/>
      <c r="B11" s="2919" t="s">
        <v>2755</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671" t="s">
        <v>535</v>
      </c>
      <c r="Q11" s="1149" t="str">
        <f t="shared" ref="Q11:Q17" si="6">B11</f>
        <v>用途</v>
      </c>
      <c r="R11" s="1565" t="s">
        <v>8</v>
      </c>
      <c r="S11" s="1566">
        <f t="shared" si="0"/>
        <v>100</v>
      </c>
      <c r="T11" s="1565" t="s">
        <v>8</v>
      </c>
      <c r="U11" s="1566">
        <f t="shared" si="1"/>
        <v>100</v>
      </c>
      <c r="V11" s="1565" t="s">
        <v>8</v>
      </c>
      <c r="W11" s="1566">
        <f t="shared" si="2"/>
        <v>100</v>
      </c>
      <c r="X11" s="1567"/>
      <c r="Y11" s="3628" t="s">
        <v>536</v>
      </c>
      <c r="Z11" s="1148" t="str">
        <f t="shared" ref="Z11:Z17" si="7">Q11</f>
        <v>用途</v>
      </c>
      <c r="AA11" s="1568">
        <f t="shared" si="3"/>
        <v>1</v>
      </c>
      <c r="AB11" s="1568">
        <f t="shared" si="4"/>
        <v>1</v>
      </c>
      <c r="AC11" s="1568">
        <f t="shared" si="5"/>
        <v>1</v>
      </c>
    </row>
    <row r="12" spans="1:29" s="1336" customFormat="1" ht="27">
      <c r="A12" s="2913"/>
      <c r="B12" s="2918" t="s">
        <v>2756</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671"/>
      <c r="Q12" s="1149" t="str">
        <f t="shared" si="6"/>
        <v>土地使用年限（年）</v>
      </c>
      <c r="R12" s="1565" t="s">
        <v>8</v>
      </c>
      <c r="S12" s="1566">
        <f t="shared" si="0"/>
        <v>100</v>
      </c>
      <c r="T12" s="1565" t="s">
        <v>8</v>
      </c>
      <c r="U12" s="1566">
        <f t="shared" si="1"/>
        <v>100</v>
      </c>
      <c r="V12" s="1565" t="s">
        <v>8</v>
      </c>
      <c r="W12" s="1566">
        <f t="shared" si="2"/>
        <v>100</v>
      </c>
      <c r="X12" s="1567"/>
      <c r="Y12" s="3628"/>
      <c r="Z12" s="1148" t="str">
        <f t="shared" si="7"/>
        <v>土地使用年限（年）</v>
      </c>
      <c r="AA12" s="1568">
        <f t="shared" si="3"/>
        <v>1</v>
      </c>
      <c r="AB12" s="1568">
        <f t="shared" si="4"/>
        <v>1</v>
      </c>
      <c r="AC12" s="1568">
        <f t="shared" si="5"/>
        <v>1</v>
      </c>
    </row>
    <row r="13" spans="1:29" ht="15">
      <c r="A13" s="2914"/>
      <c r="B13" s="2918"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671"/>
      <c r="Q13" s="1149" t="str">
        <f t="shared" si="6"/>
        <v>容积率</v>
      </c>
      <c r="R13" s="1565" t="s">
        <v>8</v>
      </c>
      <c r="S13" s="1566" t="e">
        <f t="shared" si="0"/>
        <v>#N/A</v>
      </c>
      <c r="T13" s="1565" t="s">
        <v>8</v>
      </c>
      <c r="U13" s="1566" t="e">
        <f t="shared" si="1"/>
        <v>#N/A</v>
      </c>
      <c r="V13" s="1565" t="s">
        <v>8</v>
      </c>
      <c r="W13" s="1566" t="e">
        <f t="shared" si="2"/>
        <v>#N/A</v>
      </c>
      <c r="X13" s="1567"/>
      <c r="Y13" s="3628"/>
      <c r="Z13" s="1148" t="str">
        <f t="shared" si="7"/>
        <v>容积率</v>
      </c>
      <c r="AA13" s="1568" t="e">
        <f t="shared" si="3"/>
        <v>#N/A</v>
      </c>
      <c r="AB13" s="1568" t="e">
        <f t="shared" si="4"/>
        <v>#N/A</v>
      </c>
      <c r="AC13" s="1568" t="e">
        <f t="shared" si="5"/>
        <v>#N/A</v>
      </c>
    </row>
    <row r="14" spans="1:29" s="1218" customFormat="1" ht="15">
      <c r="A14" s="2915"/>
      <c r="B14" s="2921">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671"/>
      <c r="Q14" s="1149">
        <f t="shared" si="6"/>
        <v>111</v>
      </c>
      <c r="R14" s="1565" t="s">
        <v>8</v>
      </c>
      <c r="S14" s="1566">
        <f t="shared" si="0"/>
        <v>100</v>
      </c>
      <c r="T14" s="1565" t="s">
        <v>8</v>
      </c>
      <c r="U14" s="1566">
        <f t="shared" si="1"/>
        <v>100</v>
      </c>
      <c r="V14" s="1565" t="s">
        <v>8</v>
      </c>
      <c r="W14" s="1566">
        <f t="shared" si="2"/>
        <v>100</v>
      </c>
      <c r="X14" s="1567"/>
      <c r="Y14" s="3628"/>
      <c r="Z14" s="1148">
        <f t="shared" si="7"/>
        <v>111</v>
      </c>
      <c r="AA14" s="1568">
        <f>D14/F14</f>
        <v>1</v>
      </c>
      <c r="AB14" s="1568">
        <f>D14/H14</f>
        <v>1</v>
      </c>
      <c r="AC14" s="1568">
        <f>D14/J14</f>
        <v>1</v>
      </c>
    </row>
    <row r="15" spans="1:29" ht="15">
      <c r="A15" s="2915"/>
      <c r="B15" s="2921">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671"/>
      <c r="Q15" s="1149">
        <f t="shared" si="6"/>
        <v>111</v>
      </c>
      <c r="R15" s="1565" t="s">
        <v>8</v>
      </c>
      <c r="S15" s="1566">
        <f t="shared" si="0"/>
        <v>100</v>
      </c>
      <c r="T15" s="1565" t="s">
        <v>8</v>
      </c>
      <c r="U15" s="1566">
        <f t="shared" si="1"/>
        <v>100</v>
      </c>
      <c r="V15" s="1565" t="s">
        <v>8</v>
      </c>
      <c r="W15" s="1566">
        <f t="shared" si="2"/>
        <v>100</v>
      </c>
      <c r="X15" s="1567"/>
      <c r="Y15" s="3628"/>
      <c r="Z15" s="1148">
        <f t="shared" si="7"/>
        <v>111</v>
      </c>
      <c r="AA15" s="1568">
        <f t="shared" si="3"/>
        <v>1</v>
      </c>
      <c r="AB15" s="1568">
        <f t="shared" si="4"/>
        <v>1</v>
      </c>
      <c r="AC15" s="1568">
        <f t="shared" si="5"/>
        <v>1</v>
      </c>
    </row>
    <row r="16" spans="1:29" ht="15.75" thickBot="1">
      <c r="A16" s="2916"/>
      <c r="B16" s="2922">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671"/>
      <c r="Q16" s="1149">
        <f t="shared" si="6"/>
        <v>111</v>
      </c>
      <c r="R16" s="1565" t="s">
        <v>8</v>
      </c>
      <c r="S16" s="1566">
        <f t="shared" si="0"/>
        <v>100</v>
      </c>
      <c r="T16" s="1565" t="s">
        <v>8</v>
      </c>
      <c r="U16" s="1566">
        <f t="shared" si="1"/>
        <v>100</v>
      </c>
      <c r="V16" s="1565" t="s">
        <v>8</v>
      </c>
      <c r="W16" s="1566">
        <f t="shared" si="2"/>
        <v>100</v>
      </c>
      <c r="X16" s="1567"/>
      <c r="Y16" s="3628"/>
      <c r="Z16" s="1148">
        <f t="shared" si="7"/>
        <v>111</v>
      </c>
      <c r="AA16" s="1568">
        <f t="shared" si="3"/>
        <v>1</v>
      </c>
      <c r="AB16" s="1568">
        <f t="shared" si="4"/>
        <v>1</v>
      </c>
      <c r="AC16" s="1568">
        <f t="shared" si="5"/>
        <v>1</v>
      </c>
    </row>
    <row r="17" spans="1:29" ht="57">
      <c r="A17" s="2908" t="s">
        <v>2753</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673" t="s">
        <v>540</v>
      </c>
      <c r="Q17" s="1569" t="str">
        <f t="shared" si="6"/>
        <v>产业集聚程度</v>
      </c>
      <c r="R17" s="1570" t="s">
        <v>8</v>
      </c>
      <c r="S17" s="1571">
        <f t="shared" si="0"/>
        <v>100</v>
      </c>
      <c r="T17" s="1570" t="s">
        <v>8</v>
      </c>
      <c r="U17" s="1571">
        <f t="shared" si="1"/>
        <v>100</v>
      </c>
      <c r="V17" s="1570" t="s">
        <v>8</v>
      </c>
      <c r="W17" s="1571">
        <f t="shared" si="2"/>
        <v>100</v>
      </c>
      <c r="X17" s="1564"/>
      <c r="Y17" s="3673" t="s">
        <v>540</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674"/>
      <c r="Q18" s="1569"/>
      <c r="R18" s="1570"/>
      <c r="S18" s="1571"/>
      <c r="T18" s="1570"/>
      <c r="U18" s="1571"/>
      <c r="V18" s="1570"/>
      <c r="W18" s="1571"/>
      <c r="X18" s="1564"/>
      <c r="Y18" s="3674"/>
      <c r="Z18" s="1572"/>
      <c r="AA18" s="1573">
        <v>1</v>
      </c>
      <c r="AB18" s="1573">
        <v>1</v>
      </c>
      <c r="AC18" s="1573">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674"/>
      <c r="Q19" s="1569" t="str">
        <f>B19</f>
        <v>交通便捷度</v>
      </c>
      <c r="R19" s="1570" t="s">
        <v>8</v>
      </c>
      <c r="S19" s="1571">
        <f>F19</f>
        <v>100</v>
      </c>
      <c r="T19" s="1570" t="s">
        <v>8</v>
      </c>
      <c r="U19" s="1571">
        <f>H19</f>
        <v>100</v>
      </c>
      <c r="V19" s="1570" t="s">
        <v>8</v>
      </c>
      <c r="W19" s="1571">
        <f>J19</f>
        <v>100</v>
      </c>
      <c r="X19" s="1564"/>
      <c r="Y19" s="3674"/>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40"/>
      <c r="M20" s="2132"/>
      <c r="N20" s="2132"/>
      <c r="O20" s="2139"/>
      <c r="P20" s="3674"/>
      <c r="Q20" s="1569"/>
      <c r="R20" s="1570"/>
      <c r="S20" s="1571"/>
      <c r="T20" s="1570"/>
      <c r="U20" s="1571"/>
      <c r="V20" s="1570"/>
      <c r="W20" s="1571"/>
      <c r="X20" s="1564"/>
      <c r="Y20" s="3674"/>
      <c r="Z20" s="1572"/>
      <c r="AA20" s="1573">
        <v>1</v>
      </c>
      <c r="AB20" s="1573">
        <v>1</v>
      </c>
      <c r="AC20" s="1573">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674"/>
      <c r="Q21" s="1569" t="str">
        <f t="shared" ref="Q21:Q35" si="8">B21</f>
        <v>区域土地利用方向</v>
      </c>
      <c r="R21" s="1570" t="s">
        <v>8</v>
      </c>
      <c r="S21" s="1571">
        <f>F21</f>
        <v>100</v>
      </c>
      <c r="T21" s="1570" t="s">
        <v>8</v>
      </c>
      <c r="U21" s="1571">
        <f>H21</f>
        <v>100</v>
      </c>
      <c r="V21" s="1570" t="s">
        <v>8</v>
      </c>
      <c r="W21" s="1571">
        <f>J21</f>
        <v>100</v>
      </c>
      <c r="X21" s="1564"/>
      <c r="Y21" s="3674"/>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40"/>
      <c r="M22" s="2132"/>
      <c r="N22" s="2132"/>
      <c r="O22" s="2139"/>
      <c r="P22" s="3674"/>
      <c r="Q22" s="1569"/>
      <c r="R22" s="1570"/>
      <c r="S22" s="1571"/>
      <c r="T22" s="1570"/>
      <c r="U22" s="1571"/>
      <c r="V22" s="1570"/>
      <c r="W22" s="1571"/>
      <c r="X22" s="1564"/>
      <c r="Y22" s="3674"/>
      <c r="Z22" s="1572"/>
      <c r="AA22" s="1573"/>
      <c r="AB22" s="1573"/>
      <c r="AC22" s="1573"/>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674"/>
      <c r="Q23" s="1569" t="str">
        <f t="shared" si="8"/>
        <v>环境状况</v>
      </c>
      <c r="R23" s="1570" t="s">
        <v>8</v>
      </c>
      <c r="S23" s="1571">
        <f>F23</f>
        <v>100</v>
      </c>
      <c r="T23" s="1570" t="s">
        <v>8</v>
      </c>
      <c r="U23" s="1571">
        <f>H23</f>
        <v>100</v>
      </c>
      <c r="V23" s="1570" t="s">
        <v>8</v>
      </c>
      <c r="W23" s="1571">
        <f>J23</f>
        <v>100</v>
      </c>
      <c r="X23" s="1564"/>
      <c r="Y23" s="3674"/>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674"/>
      <c r="Q24" s="1569"/>
      <c r="R24" s="1570"/>
      <c r="S24" s="1571"/>
      <c r="T24" s="1570"/>
      <c r="U24" s="1571"/>
      <c r="V24" s="1570"/>
      <c r="W24" s="1571"/>
      <c r="X24" s="1564"/>
      <c r="Y24" s="3674"/>
      <c r="Z24" s="1572"/>
      <c r="AA24" s="1573">
        <v>1</v>
      </c>
      <c r="AB24" s="1573">
        <v>1</v>
      </c>
      <c r="AC24" s="1573">
        <v>1</v>
      </c>
    </row>
    <row r="25" spans="1:29" s="1218" customFormat="1" ht="42.75">
      <c r="A25" s="576"/>
      <c r="B25" s="2591"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674"/>
      <c r="Q25" s="1149" t="str">
        <f t="shared" si="8"/>
        <v>公共配套设施</v>
      </c>
      <c r="R25" s="1565" t="s">
        <v>8</v>
      </c>
      <c r="S25" s="1566">
        <f>F25</f>
        <v>100</v>
      </c>
      <c r="T25" s="1565" t="s">
        <v>8</v>
      </c>
      <c r="U25" s="1566">
        <f>H25</f>
        <v>100</v>
      </c>
      <c r="V25" s="1565" t="s">
        <v>8</v>
      </c>
      <c r="W25" s="1566">
        <f>J25</f>
        <v>100</v>
      </c>
      <c r="X25" s="1567"/>
      <c r="Y25" s="3674"/>
      <c r="Z25" s="1148" t="str">
        <f>Q25</f>
        <v>公共配套设施</v>
      </c>
      <c r="AA25" s="1573">
        <f>D25/F25</f>
        <v>1</v>
      </c>
      <c r="AB25" s="1573">
        <f>D25/H25</f>
        <v>1</v>
      </c>
      <c r="AC25" s="1573">
        <f>D25/J25</f>
        <v>1</v>
      </c>
    </row>
    <row r="26" spans="1:29" s="1218" customFormat="1" ht="15">
      <c r="A26" s="576"/>
      <c r="B26" s="594"/>
      <c r="C26" s="2590"/>
      <c r="D26" s="554"/>
      <c r="E26" s="553"/>
      <c r="F26" s="554"/>
      <c r="G26" s="553"/>
      <c r="H26" s="554"/>
      <c r="I26" s="575"/>
      <c r="J26" s="554"/>
      <c r="K26" s="530"/>
      <c r="L26" s="2133"/>
      <c r="M26" s="2134"/>
      <c r="N26" s="2134"/>
      <c r="O26" s="2135"/>
      <c r="P26" s="3674"/>
      <c r="Q26" s="1149"/>
      <c r="R26" s="1565"/>
      <c r="S26" s="1566"/>
      <c r="T26" s="1565"/>
      <c r="U26" s="1566"/>
      <c r="V26" s="1565"/>
      <c r="W26" s="1566"/>
      <c r="X26" s="1567"/>
      <c r="Y26" s="3674"/>
      <c r="Z26" s="1148"/>
      <c r="AA26" s="1568">
        <v>1</v>
      </c>
      <c r="AB26" s="1568">
        <v>1</v>
      </c>
      <c r="AC26" s="1568">
        <v>1</v>
      </c>
    </row>
    <row r="27" spans="1:29" s="1218" customFormat="1" ht="28.5">
      <c r="A27" s="576"/>
      <c r="B27" s="2591"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674"/>
      <c r="Q27" s="2576" t="str">
        <f t="shared" ref="Q27" si="9">B27</f>
        <v>基础设施水平</v>
      </c>
      <c r="R27" s="1565" t="s">
        <v>8</v>
      </c>
      <c r="S27" s="1566">
        <f>F27</f>
        <v>100</v>
      </c>
      <c r="T27" s="1565" t="s">
        <v>8</v>
      </c>
      <c r="U27" s="1566">
        <f>H27</f>
        <v>100</v>
      </c>
      <c r="V27" s="1565" t="s">
        <v>8</v>
      </c>
      <c r="W27" s="1566">
        <f>J27</f>
        <v>100</v>
      </c>
      <c r="X27" s="1567"/>
      <c r="Y27" s="3674"/>
      <c r="Z27" s="2573" t="str">
        <f>Q27</f>
        <v>基础设施水平</v>
      </c>
      <c r="AA27" s="1573">
        <f>D27/F27</f>
        <v>1</v>
      </c>
      <c r="AB27" s="1573">
        <f>D27/H27</f>
        <v>1</v>
      </c>
      <c r="AC27" s="1573">
        <f>D27/J27</f>
        <v>1</v>
      </c>
    </row>
    <row r="28" spans="1:29" s="1218" customFormat="1" ht="15">
      <c r="A28" s="576"/>
      <c r="B28" s="594"/>
      <c r="C28" s="2590"/>
      <c r="D28" s="554"/>
      <c r="E28" s="578"/>
      <c r="F28" s="554"/>
      <c r="G28" s="578"/>
      <c r="H28" s="554"/>
      <c r="I28" s="578"/>
      <c r="J28" s="554"/>
      <c r="K28" s="530"/>
      <c r="L28" s="2133"/>
      <c r="M28" s="2134"/>
      <c r="N28" s="2134"/>
      <c r="O28" s="2135"/>
      <c r="P28" s="3674"/>
      <c r="Q28" s="2576"/>
      <c r="R28" s="1565"/>
      <c r="S28" s="1566"/>
      <c r="T28" s="1565"/>
      <c r="U28" s="1566"/>
      <c r="V28" s="1565"/>
      <c r="W28" s="1566"/>
      <c r="X28" s="1567"/>
      <c r="Y28" s="3674"/>
      <c r="Z28" s="2573"/>
      <c r="AA28" s="1568">
        <v>1</v>
      </c>
      <c r="AB28" s="1568">
        <v>1</v>
      </c>
      <c r="AC28" s="1568">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674"/>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674"/>
      <c r="Z29" s="1572" t="str">
        <f t="shared" ref="Z29:Z42" si="13">Q29</f>
        <v>临街状况</v>
      </c>
      <c r="AA29" s="1573">
        <f t="shared" si="3"/>
        <v>1</v>
      </c>
      <c r="AB29" s="1573">
        <f t="shared" si="4"/>
        <v>1</v>
      </c>
      <c r="AC29" s="1573">
        <f t="shared" si="5"/>
        <v>1</v>
      </c>
    </row>
    <row r="30" spans="1:29" ht="27">
      <c r="A30" s="531"/>
      <c r="B30" s="920" t="s">
        <v>548</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674"/>
      <c r="Q30" s="1569" t="str">
        <f t="shared" si="8"/>
        <v>毗邻道路的类型与等级</v>
      </c>
      <c r="R30" s="1570" t="s">
        <v>8</v>
      </c>
      <c r="S30" s="1571">
        <f t="shared" si="10"/>
        <v>100</v>
      </c>
      <c r="T30" s="1570" t="s">
        <v>8</v>
      </c>
      <c r="U30" s="1571">
        <f t="shared" si="11"/>
        <v>100</v>
      </c>
      <c r="V30" s="1570" t="s">
        <v>8</v>
      </c>
      <c r="W30" s="1571">
        <f t="shared" si="12"/>
        <v>100</v>
      </c>
      <c r="X30" s="1564"/>
      <c r="Y30" s="3674"/>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674"/>
      <c r="Q31" s="1569"/>
      <c r="R31" s="1570"/>
      <c r="S31" s="1571"/>
      <c r="T31" s="1570"/>
      <c r="U31" s="1571"/>
      <c r="V31" s="1570"/>
      <c r="W31" s="1571"/>
      <c r="X31" s="1564"/>
      <c r="Y31" s="3674"/>
      <c r="Z31" s="1572"/>
      <c r="AA31" s="1573">
        <v>1</v>
      </c>
      <c r="AB31" s="1573">
        <v>1</v>
      </c>
      <c r="AC31" s="1573">
        <v>1</v>
      </c>
    </row>
    <row r="32" spans="1:29" ht="15">
      <c r="A32" s="531"/>
      <c r="B32" s="526" t="s">
        <v>549</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674"/>
      <c r="Q32" s="1569" t="str">
        <f t="shared" si="8"/>
        <v>土地级别</v>
      </c>
      <c r="R32" s="1570" t="s">
        <v>8</v>
      </c>
      <c r="S32" s="1571">
        <f t="shared" si="10"/>
        <v>100</v>
      </c>
      <c r="T32" s="1570" t="s">
        <v>8</v>
      </c>
      <c r="U32" s="1571">
        <f t="shared" si="11"/>
        <v>100</v>
      </c>
      <c r="V32" s="1570" t="s">
        <v>8</v>
      </c>
      <c r="W32" s="1571">
        <f t="shared" si="12"/>
        <v>100</v>
      </c>
      <c r="X32" s="1564"/>
      <c r="Y32" s="3674"/>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674"/>
      <c r="Q33" s="1569">
        <f t="shared" si="8"/>
        <v>111</v>
      </c>
      <c r="R33" s="1570" t="s">
        <v>8</v>
      </c>
      <c r="S33" s="1571">
        <f t="shared" si="10"/>
        <v>100</v>
      </c>
      <c r="T33" s="1570" t="s">
        <v>8</v>
      </c>
      <c r="U33" s="1571">
        <f t="shared" si="11"/>
        <v>100</v>
      </c>
      <c r="V33" s="1570" t="s">
        <v>8</v>
      </c>
      <c r="W33" s="1571">
        <f t="shared" si="12"/>
        <v>100</v>
      </c>
      <c r="X33" s="1564"/>
      <c r="Y33" s="3674"/>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675" t="s">
        <v>550</v>
      </c>
      <c r="Q34" s="1569">
        <f t="shared" si="8"/>
        <v>111</v>
      </c>
      <c r="R34" s="1570" t="s">
        <v>8</v>
      </c>
      <c r="S34" s="1571">
        <f t="shared" si="10"/>
        <v>100</v>
      </c>
      <c r="T34" s="1570" t="s">
        <v>8</v>
      </c>
      <c r="U34" s="1571">
        <f t="shared" si="11"/>
        <v>100</v>
      </c>
      <c r="V34" s="1570" t="s">
        <v>8</v>
      </c>
      <c r="W34" s="1571">
        <f t="shared" si="12"/>
        <v>100</v>
      </c>
      <c r="X34" s="1564"/>
      <c r="Y34" s="3676" t="s">
        <v>550</v>
      </c>
      <c r="Z34" s="1572">
        <f t="shared" si="13"/>
        <v>111</v>
      </c>
      <c r="AA34" s="1573">
        <f t="shared" si="3"/>
        <v>1</v>
      </c>
      <c r="AB34" s="1573">
        <f t="shared" si="4"/>
        <v>1</v>
      </c>
      <c r="AC34" s="1573">
        <f t="shared" si="5"/>
        <v>1</v>
      </c>
    </row>
    <row r="35" spans="1:29" s="1337"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676"/>
      <c r="Q35" s="1569">
        <f t="shared" si="8"/>
        <v>111</v>
      </c>
      <c r="R35" s="1574" t="s">
        <v>8</v>
      </c>
      <c r="S35" s="1575">
        <f t="shared" si="10"/>
        <v>100</v>
      </c>
      <c r="T35" s="1574" t="s">
        <v>8</v>
      </c>
      <c r="U35" s="1575">
        <f t="shared" si="11"/>
        <v>100</v>
      </c>
      <c r="V35" s="1574" t="s">
        <v>8</v>
      </c>
      <c r="W35" s="1575">
        <f t="shared" si="12"/>
        <v>100</v>
      </c>
      <c r="X35" s="1576"/>
      <c r="Y35" s="3676"/>
      <c r="Z35" s="1577">
        <f t="shared" si="13"/>
        <v>111</v>
      </c>
      <c r="AA35" s="1573">
        <f t="shared" si="3"/>
        <v>1</v>
      </c>
      <c r="AB35" s="1573">
        <f t="shared" si="4"/>
        <v>1</v>
      </c>
      <c r="AC35" s="1573">
        <f t="shared" si="5"/>
        <v>1</v>
      </c>
    </row>
    <row r="36" spans="1:29" ht="15">
      <c r="A36" s="2905"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676"/>
      <c r="Q36" s="1569" t="str">
        <f>B36</f>
        <v>宗地面积</v>
      </c>
      <c r="R36" s="1570" t="s">
        <v>8</v>
      </c>
      <c r="S36" s="1571" t="e">
        <f t="shared" si="10"/>
        <v>#N/A</v>
      </c>
      <c r="T36" s="1570" t="s">
        <v>8</v>
      </c>
      <c r="U36" s="1571" t="e">
        <f t="shared" si="11"/>
        <v>#N/A</v>
      </c>
      <c r="V36" s="1570" t="s">
        <v>8</v>
      </c>
      <c r="W36" s="1571" t="e">
        <f t="shared" si="12"/>
        <v>#N/A</v>
      </c>
      <c r="X36" s="1564"/>
      <c r="Y36" s="3676"/>
      <c r="Z36" s="1572" t="str">
        <f t="shared" si="13"/>
        <v>宗地面积</v>
      </c>
      <c r="AA36" s="1573" t="e">
        <f t="shared" si="3"/>
        <v>#N/A</v>
      </c>
      <c r="AB36" s="1573" t="e">
        <f t="shared" si="4"/>
        <v>#N/A</v>
      </c>
      <c r="AC36" s="1573"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676"/>
      <c r="Q37" s="1569" t="str">
        <f t="shared" ref="Q37:Q42" si="14">B37</f>
        <v>宗地形状</v>
      </c>
      <c r="R37" s="1570" t="s">
        <v>8</v>
      </c>
      <c r="S37" s="1571">
        <f t="shared" si="10"/>
        <v>100</v>
      </c>
      <c r="T37" s="1570" t="s">
        <v>8</v>
      </c>
      <c r="U37" s="1571">
        <f t="shared" si="11"/>
        <v>100</v>
      </c>
      <c r="V37" s="1570" t="s">
        <v>8</v>
      </c>
      <c r="W37" s="1571">
        <f t="shared" si="12"/>
        <v>100</v>
      </c>
      <c r="X37" s="1564"/>
      <c r="Y37" s="3676"/>
      <c r="Z37" s="1572" t="str">
        <f t="shared" si="13"/>
        <v>宗地形状</v>
      </c>
      <c r="AA37" s="1573">
        <f t="shared" si="3"/>
        <v>1</v>
      </c>
      <c r="AB37" s="1573">
        <f t="shared" si="4"/>
        <v>1</v>
      </c>
      <c r="AC37" s="1573">
        <f t="shared" si="5"/>
        <v>1</v>
      </c>
    </row>
    <row r="38" spans="1:29" s="1218"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676"/>
      <c r="Q38" s="1569" t="str">
        <f t="shared" si="14"/>
        <v>宗地开发程度</v>
      </c>
      <c r="R38" s="1565" t="s">
        <v>8</v>
      </c>
      <c r="S38" s="1566">
        <f t="shared" si="10"/>
        <v>100</v>
      </c>
      <c r="T38" s="1565" t="s">
        <v>8</v>
      </c>
      <c r="U38" s="1566">
        <f t="shared" si="11"/>
        <v>100</v>
      </c>
      <c r="V38" s="1565" t="s">
        <v>8</v>
      </c>
      <c r="W38" s="1566">
        <f t="shared" si="12"/>
        <v>100</v>
      </c>
      <c r="X38" s="1567"/>
      <c r="Y38" s="3676"/>
      <c r="Z38" s="1148" t="str">
        <f t="shared" si="13"/>
        <v>宗地开发程度</v>
      </c>
      <c r="AA38" s="1568">
        <f t="shared" si="3"/>
        <v>1</v>
      </c>
      <c r="AB38" s="1568">
        <f t="shared" si="4"/>
        <v>1</v>
      </c>
      <c r="AC38" s="1568">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676" t="s">
        <v>601</v>
      </c>
      <c r="Q39" s="1569" t="str">
        <f t="shared" si="14"/>
        <v>工程地质条件</v>
      </c>
      <c r="R39" s="1570" t="s">
        <v>8</v>
      </c>
      <c r="S39" s="1571">
        <f t="shared" si="10"/>
        <v>100</v>
      </c>
      <c r="T39" s="1570" t="s">
        <v>8</v>
      </c>
      <c r="U39" s="1571">
        <f t="shared" si="11"/>
        <v>100</v>
      </c>
      <c r="V39" s="1570" t="s">
        <v>8</v>
      </c>
      <c r="W39" s="1571">
        <f t="shared" si="12"/>
        <v>100</v>
      </c>
      <c r="X39" s="1564"/>
      <c r="Y39" s="3676" t="s">
        <v>601</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676"/>
      <c r="Q40" s="1569">
        <f t="shared" si="14"/>
        <v>111</v>
      </c>
      <c r="R40" s="1570" t="s">
        <v>8</v>
      </c>
      <c r="S40" s="1571">
        <f t="shared" si="10"/>
        <v>100</v>
      </c>
      <c r="T40" s="1570" t="s">
        <v>8</v>
      </c>
      <c r="U40" s="1571">
        <f t="shared" si="11"/>
        <v>100</v>
      </c>
      <c r="V40" s="1570" t="s">
        <v>8</v>
      </c>
      <c r="W40" s="1571">
        <f t="shared" si="12"/>
        <v>100</v>
      </c>
      <c r="X40" s="1564"/>
      <c r="Y40" s="3676"/>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676"/>
      <c r="Q41" s="1569">
        <f t="shared" si="14"/>
        <v>111</v>
      </c>
      <c r="R41" s="1570" t="s">
        <v>8</v>
      </c>
      <c r="S41" s="1571">
        <f t="shared" si="10"/>
        <v>100</v>
      </c>
      <c r="T41" s="1570" t="s">
        <v>8</v>
      </c>
      <c r="U41" s="1571">
        <f t="shared" si="11"/>
        <v>100</v>
      </c>
      <c r="V41" s="1570" t="s">
        <v>8</v>
      </c>
      <c r="W41" s="1571">
        <f t="shared" si="12"/>
        <v>100</v>
      </c>
      <c r="X41" s="1564"/>
      <c r="Y41" s="3676"/>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676"/>
      <c r="Q42" s="1569">
        <f t="shared" si="14"/>
        <v>111</v>
      </c>
      <c r="R42" s="1574" t="s">
        <v>8</v>
      </c>
      <c r="S42" s="1575">
        <f t="shared" si="10"/>
        <v>100</v>
      </c>
      <c r="T42" s="1574" t="s">
        <v>8</v>
      </c>
      <c r="U42" s="1575">
        <f t="shared" si="11"/>
        <v>100</v>
      </c>
      <c r="V42" s="1574" t="s">
        <v>8</v>
      </c>
      <c r="W42" s="1575">
        <f t="shared" si="12"/>
        <v>100</v>
      </c>
      <c r="X42" s="1576"/>
      <c r="Y42" s="3676"/>
      <c r="Z42" s="1577">
        <f t="shared" si="13"/>
        <v>111</v>
      </c>
      <c r="AA42" s="1573">
        <f t="shared" si="3"/>
        <v>1</v>
      </c>
      <c r="AB42" s="1573">
        <f t="shared" si="4"/>
        <v>1</v>
      </c>
      <c r="AC42" s="1573">
        <f t="shared" si="5"/>
        <v>1</v>
      </c>
    </row>
    <row r="43" spans="1:29" ht="15">
      <c r="A43" s="606" t="s">
        <v>556</v>
      </c>
      <c r="B43" s="607" t="s">
        <v>2933</v>
      </c>
      <c r="C43" s="608" t="s">
        <v>1</v>
      </c>
      <c r="D43" s="609"/>
      <c r="E43" s="610"/>
      <c r="F43" s="611"/>
      <c r="G43" s="612"/>
      <c r="H43" s="613"/>
      <c r="I43" s="610"/>
      <c r="J43" s="613"/>
      <c r="K43" s="1338"/>
      <c r="L43" s="2142"/>
      <c r="M43" s="2132"/>
      <c r="N43" s="2132"/>
      <c r="O43" s="2143"/>
      <c r="P43" s="3671" t="str">
        <f>A43</f>
        <v>成交单价</v>
      </c>
      <c r="Q43" s="3671"/>
      <c r="R43" s="3685">
        <f>E43</f>
        <v>0</v>
      </c>
      <c r="S43" s="3685"/>
      <c r="T43" s="3685">
        <f>G43</f>
        <v>0</v>
      </c>
      <c r="U43" s="3685"/>
      <c r="V43" s="3685">
        <f>I43</f>
        <v>0</v>
      </c>
      <c r="W43" s="3685"/>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2"/>
      <c r="M44" s="2132"/>
      <c r="N44" s="2132"/>
      <c r="O44" s="2143"/>
      <c r="P44" s="3671" t="str">
        <f>A44</f>
        <v>比较价格（元/平方米）</v>
      </c>
      <c r="Q44" s="3671"/>
      <c r="R44" s="3695" t="e">
        <f>ROUND(PRODUCT(R43,AA9:AA42),0)</f>
        <v>#DIV/0!</v>
      </c>
      <c r="S44" s="3695"/>
      <c r="T44" s="3695" t="e">
        <f>ROUND(PRODUCT(T43,AB9:AB42),0)</f>
        <v>#DIV/0!</v>
      </c>
      <c r="U44" s="3695"/>
      <c r="V44" s="3695" t="e">
        <f>ROUND(PRODUCT(V43,AC9:AC42),0)</f>
        <v>#DIV/0!</v>
      </c>
      <c r="W44" s="3695"/>
      <c r="X44" s="1556"/>
      <c r="Y44" s="1556"/>
      <c r="Z44" s="1556"/>
      <c r="AA44" s="1556"/>
      <c r="AB44" s="1556"/>
      <c r="AC44" s="1556"/>
    </row>
    <row r="45" spans="1:29" ht="15.75" thickBot="1">
      <c r="A45" s="620" t="s">
        <v>2934</v>
      </c>
      <c r="B45" s="621"/>
      <c r="C45" s="622" t="e">
        <f>R45</f>
        <v>#DIV/0!</v>
      </c>
      <c r="D45" s="622"/>
      <c r="E45" s="622"/>
      <c r="F45" s="622"/>
      <c r="G45" s="622"/>
      <c r="H45" s="622"/>
      <c r="I45" s="622"/>
      <c r="J45" s="622"/>
      <c r="K45" s="1340"/>
      <c r="L45" s="2142"/>
      <c r="M45" s="2132"/>
      <c r="N45" s="2132"/>
      <c r="O45" s="2143"/>
      <c r="P45" s="3692" t="str">
        <f>A45</f>
        <v>估价对象XX用房的比较价格（楼面单价，元/平方米）</v>
      </c>
      <c r="Q45" s="3693"/>
      <c r="R45" s="3694" t="e">
        <f>ROUND(AVERAGE(R44:V44),0)</f>
        <v>#DIV/0!</v>
      </c>
      <c r="S45" s="3694"/>
      <c r="T45" s="3694"/>
      <c r="U45" s="3694"/>
      <c r="V45" s="3694"/>
      <c r="W45" s="3694"/>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7" t="s">
        <v>1725</v>
      </c>
      <c r="D52" s="2225" t="s">
        <v>2293</v>
      </c>
      <c r="E52" s="630" t="s">
        <v>562</v>
      </c>
      <c r="F52" s="1949" t="s">
        <v>563</v>
      </c>
      <c r="G52" s="3697" t="s">
        <v>2284</v>
      </c>
      <c r="H52" s="3698"/>
      <c r="I52" s="1950" t="s">
        <v>1948</v>
      </c>
      <c r="J52" s="1552" t="str">
        <f>项目基本情况!F41</f>
        <v>山东省青岛市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129061</v>
      </c>
      <c r="F53" s="1948" t="e">
        <f t="shared" ref="F53:F62" si="15">ROUND(B53*E53/10000,0)</f>
        <v>#DIV/0!</v>
      </c>
      <c r="G53" s="3699"/>
      <c r="H53" s="3700"/>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701" t="s">
        <v>2285</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701"/>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701"/>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701"/>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2328</v>
      </c>
      <c r="B58" s="637" t="e">
        <f t="shared" si="17"/>
        <v>#DIV/0!</v>
      </c>
      <c r="C58" s="377">
        <f t="shared" si="16"/>
        <v>0</v>
      </c>
      <c r="D58" s="2227">
        <v>0.25</v>
      </c>
      <c r="E58" s="640">
        <f>'数据-汇总表'!E11</f>
        <v>0</v>
      </c>
      <c r="F58" s="1948" t="e">
        <f t="shared" si="15"/>
        <v>#DIV/0!</v>
      </c>
      <c r="G58" s="1954" t="s">
        <v>2286</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28104</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2285</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2286</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2294</v>
      </c>
      <c r="E63" s="642">
        <f>IF(B43="楼面地价",SUM(E53:E62),'数据-汇总表'!D3)</f>
        <v>72846.2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2018-9-1</v>
      </c>
      <c r="D65" s="2797">
        <f>EDATE(C65,-3)</f>
        <v>43252</v>
      </c>
      <c r="E65" s="2797">
        <f t="shared" ref="E65:N65" si="18">EDATE(D65,-3)</f>
        <v>43160</v>
      </c>
      <c r="F65" s="2797">
        <f t="shared" si="18"/>
        <v>43070</v>
      </c>
      <c r="G65" s="2797">
        <f t="shared" si="18"/>
        <v>42979</v>
      </c>
      <c r="H65" s="2797">
        <f t="shared" si="18"/>
        <v>42887</v>
      </c>
      <c r="I65" s="2797">
        <f t="shared" si="18"/>
        <v>42795</v>
      </c>
      <c r="J65" s="2797">
        <f t="shared" si="18"/>
        <v>42705</v>
      </c>
      <c r="K65" s="2797">
        <f t="shared" si="18"/>
        <v>42614</v>
      </c>
      <c r="L65" s="2797">
        <f t="shared" si="18"/>
        <v>42522</v>
      </c>
      <c r="M65" s="2797">
        <f t="shared" si="18"/>
        <v>42430</v>
      </c>
      <c r="N65" s="2797">
        <f t="shared" si="18"/>
        <v>42339</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5" customFormat="1" ht="15">
      <c r="A67" s="2566" t="s">
        <v>2533</v>
      </c>
      <c r="B67" s="645"/>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2648</v>
      </c>
      <c r="B68" s="478" t="str">
        <f>"北京市平均增长率"&amp;TEXT(基准地价!P24,"0.00%")</f>
        <v>北京市平均增长率1.41%</v>
      </c>
      <c r="C68" s="892">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95" t="s">
        <v>2550</v>
      </c>
      <c r="C95" s="2596" t="s">
        <v>2551</v>
      </c>
      <c r="D95" s="2596" t="s">
        <v>2552</v>
      </c>
      <c r="E95" s="2596" t="s">
        <v>2553</v>
      </c>
      <c r="F95" s="2596" t="s">
        <v>2554</v>
      </c>
      <c r="G95" s="2596"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2425</v>
      </c>
      <c r="C114" s="1372"/>
      <c r="D114" s="1372"/>
      <c r="E114" s="1372"/>
      <c r="F114" s="1372"/>
      <c r="G114" s="1372"/>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12" sqref="I12"/>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2426</v>
      </c>
      <c r="D1" s="1518">
        <f>SUM(D29:D30,D33:D39)</f>
        <v>0</v>
      </c>
      <c r="E1" s="1403" t="s">
        <v>2427</v>
      </c>
      <c r="F1" s="2450"/>
      <c r="G1" s="1398"/>
      <c r="H1" s="1398"/>
      <c r="I1" s="1398"/>
      <c r="J1" s="1398"/>
      <c r="K1" s="1398"/>
      <c r="L1" s="1880" t="s">
        <v>2238</v>
      </c>
      <c r="M1" s="1881">
        <f>SUMPRODUCT((区片价!B5:B9=I2)*(区片价!C3:F3=E2)*(区片价!C5:F9))</f>
        <v>0</v>
      </c>
      <c r="N1" s="1882">
        <f>SUMPRODUCT((因素修正幅度!B5:B9=I2)*(因素修正幅度!C3:F3=E2)*(因素修正幅度!C5:F9))</f>
        <v>0</v>
      </c>
      <c r="O1" s="2187"/>
      <c r="P1" s="2187"/>
      <c r="Q1" s="2187"/>
      <c r="R1" s="2934" t="s">
        <v>2761</v>
      </c>
      <c r="S1" s="2934" t="s">
        <v>2762</v>
      </c>
      <c r="T1" s="2934" t="s">
        <v>2783</v>
      </c>
      <c r="U1" s="2934" t="s">
        <v>2784</v>
      </c>
      <c r="V1" s="2934" t="s">
        <v>2785</v>
      </c>
      <c r="W1" s="2187"/>
      <c r="X1" s="2187"/>
      <c r="Y1" s="2187"/>
      <c r="Z1" s="2187"/>
      <c r="AA1" s="2187"/>
      <c r="AB1" s="2187"/>
      <c r="AC1" s="2188"/>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2239</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08" t="s">
        <v>1688</v>
      </c>
      <c r="B3" s="1036" t="e">
        <f>ROUND(B2*10000/D1,0)</f>
        <v>#DIV/0!</v>
      </c>
      <c r="C3" s="1404" t="s">
        <v>927</v>
      </c>
      <c r="D3" s="1405" t="s">
        <v>928</v>
      </c>
      <c r="E3" s="1409"/>
      <c r="F3" s="1410" t="s">
        <v>2935</v>
      </c>
      <c r="G3" s="1037">
        <f>IF(F3="宗地容积率",'数据-汇总表'!I4,IF(F3="估价对象容积率",'数据-汇总表'!I6,'数据-汇总表'!I7))</f>
        <v>1.8</v>
      </c>
      <c r="H3" s="1411" t="s">
        <v>929</v>
      </c>
      <c r="I3" s="1038">
        <v>8</v>
      </c>
      <c r="J3" s="1407" t="s">
        <v>930</v>
      </c>
      <c r="K3" s="1398"/>
      <c r="L3" s="1883" t="s">
        <v>2240</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398"/>
      <c r="L4" s="1883" t="s">
        <v>2241</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18" customFormat="1" ht="15.75" thickBot="1">
      <c r="A5" s="1635" t="s">
        <v>1824</v>
      </c>
      <c r="B5" s="1412" t="s">
        <v>931</v>
      </c>
      <c r="C5" s="1039" t="e">
        <f>ROUND(IF(E2="商业",IF(F16="增加",C6*C7+C16,C6*C7-C16),IF(E2="住宅",IF(F16="增加",C6*C12+C16,C6*C12-C16),IF(F16="增加",C6+C16,C6-C16))),0)</f>
        <v>#DIV/0!</v>
      </c>
      <c r="D5" s="3119">
        <f>ROUND(IF(E2="商业",IF(F16="增加",C6+C16,C6-C16)),0)</f>
        <v>0</v>
      </c>
      <c r="E5" s="1413"/>
      <c r="F5" s="1413"/>
      <c r="G5" s="1414"/>
      <c r="H5" s="1414"/>
      <c r="I5" s="1414"/>
      <c r="J5" s="1415"/>
      <c r="K5" s="1591"/>
      <c r="L5" s="1883" t="s">
        <v>2242</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3" t="s">
        <v>2243</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6"/>
      <c r="AE6" s="1416"/>
      <c r="AF6" s="1416"/>
      <c r="AG6" s="1416"/>
      <c r="AH6" s="1416"/>
      <c r="AI6" s="1416"/>
      <c r="AJ6" s="1417"/>
    </row>
    <row r="7" spans="1:39" ht="24">
      <c r="A7" s="3709" t="str">
        <f>IF(E2="商业",IF(C8="不临58条商业街","",2),"")</f>
        <v/>
      </c>
      <c r="B7" s="1424" t="s">
        <v>932</v>
      </c>
      <c r="C7" s="1041" t="e">
        <f>IF(C8="不临58条商业街",1,ROUND(1+(1.6*E8+1.2*E9+0.8*E10+0.4*E11)*C9,4))</f>
        <v>#DIV/0!</v>
      </c>
      <c r="D7" s="1425" t="s">
        <v>933</v>
      </c>
      <c r="E7" s="1042"/>
      <c r="F7" s="1426"/>
      <c r="G7" s="1427"/>
      <c r="H7" s="1427"/>
      <c r="I7" s="1427"/>
      <c r="J7" s="1428"/>
      <c r="K7" s="1592"/>
      <c r="L7" s="1883" t="s">
        <v>2244</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1.8</v>
      </c>
      <c r="AA7" s="2190"/>
      <c r="AB7" s="2190"/>
      <c r="AC7" s="2191"/>
      <c r="AD7" s="2927"/>
      <c r="AE7" s="2927"/>
      <c r="AF7" s="2927"/>
      <c r="AG7" s="2927"/>
      <c r="AH7" s="2927"/>
      <c r="AI7" s="2927"/>
      <c r="AJ7" s="2928"/>
    </row>
    <row r="8" spans="1:39" ht="15">
      <c r="A8" s="3710"/>
      <c r="B8" s="1411" t="s">
        <v>934</v>
      </c>
      <c r="C8" s="1526"/>
      <c r="D8" s="1043" t="s">
        <v>935</v>
      </c>
      <c r="E8" s="1044" t="e">
        <f>ROUND(C11/E7,4)</f>
        <v>#DIV/0!</v>
      </c>
      <c r="F8" s="1429" t="s">
        <v>936</v>
      </c>
      <c r="G8" s="1430"/>
      <c r="H8" s="1430"/>
      <c r="I8" s="1430"/>
      <c r="J8" s="1431"/>
      <c r="K8" s="1398"/>
      <c r="L8" s="1883" t="s">
        <v>2245</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719" t="s">
        <v>2782</v>
      </c>
      <c r="X8" s="3720"/>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710"/>
      <c r="B9" s="1411" t="s">
        <v>937</v>
      </c>
      <c r="C9" s="1045">
        <f>SUMIF(修正!C59:C119,C8,修正!E59:E119)</f>
        <v>0</v>
      </c>
      <c r="D9" s="1046" t="s">
        <v>938</v>
      </c>
      <c r="E9" s="1046" t="e">
        <f>ROUND(C11/E7,4)</f>
        <v>#DIV/0!</v>
      </c>
      <c r="F9" s="1429" t="s">
        <v>939</v>
      </c>
      <c r="G9" s="1430"/>
      <c r="H9" s="1430"/>
      <c r="I9" s="1430"/>
      <c r="J9" s="1431"/>
      <c r="K9" s="1398"/>
      <c r="L9" s="1883" t="s">
        <v>2246</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718" t="s">
        <v>2778</v>
      </c>
      <c r="X9" s="2929" t="s">
        <v>2779</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710"/>
      <c r="B10" s="1411" t="s">
        <v>940</v>
      </c>
      <c r="C10" s="1046">
        <f>SUMIF(修正!C59:C119,C8,修正!F59:F119)</f>
        <v>0</v>
      </c>
      <c r="D10" s="1046" t="s">
        <v>941</v>
      </c>
      <c r="E10" s="1046" t="e">
        <f>ROUND(C11/E7,4)</f>
        <v>#DIV/0!</v>
      </c>
      <c r="F10" s="1429" t="s">
        <v>942</v>
      </c>
      <c r="G10" s="1430"/>
      <c r="H10" s="1430"/>
      <c r="I10" s="1430"/>
      <c r="J10" s="1431"/>
      <c r="K10" s="1398"/>
      <c r="L10" s="1883" t="s">
        <v>2247</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718"/>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710"/>
      <c r="B11" s="1432" t="s">
        <v>943</v>
      </c>
      <c r="C11" s="1047">
        <f>C10/4</f>
        <v>0</v>
      </c>
      <c r="D11" s="1047" t="s">
        <v>944</v>
      </c>
      <c r="E11" s="1047" t="e">
        <f>ROUND(C11/E7,4)</f>
        <v>#DIV/0!</v>
      </c>
      <c r="F11" s="1433" t="s">
        <v>945</v>
      </c>
      <c r="G11" s="1434"/>
      <c r="H11" s="1434"/>
      <c r="I11" s="1434"/>
      <c r="J11" s="1435"/>
      <c r="K11" s="1398"/>
      <c r="L11" s="1883" t="s">
        <v>2248</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718" t="s">
        <v>2780</v>
      </c>
      <c r="X11" s="1046" t="s">
        <v>2765</v>
      </c>
      <c r="Y11" s="1650">
        <f>$G$3</f>
        <v>1.8</v>
      </c>
      <c r="Z11" s="1650">
        <f t="shared" ref="Z11:AJ11" si="3">$G$3</f>
        <v>1.8</v>
      </c>
      <c r="AA11" s="1650">
        <f t="shared" si="3"/>
        <v>1.8</v>
      </c>
      <c r="AB11" s="1650">
        <f t="shared" si="3"/>
        <v>1.8</v>
      </c>
      <c r="AC11" s="1650">
        <f t="shared" si="3"/>
        <v>1.8</v>
      </c>
      <c r="AD11" s="1650">
        <f t="shared" si="3"/>
        <v>1.8</v>
      </c>
      <c r="AE11" s="1650">
        <f t="shared" si="3"/>
        <v>1.8</v>
      </c>
      <c r="AF11" s="1650">
        <f t="shared" si="3"/>
        <v>1.8</v>
      </c>
      <c r="AG11" s="1650">
        <f t="shared" si="3"/>
        <v>1.8</v>
      </c>
      <c r="AH11" s="1650">
        <f t="shared" si="3"/>
        <v>1.8</v>
      </c>
      <c r="AI11" s="1650">
        <f t="shared" si="3"/>
        <v>1.8</v>
      </c>
      <c r="AJ11" s="1650">
        <f t="shared" si="3"/>
        <v>1.8</v>
      </c>
    </row>
    <row r="12" spans="1:39" ht="25.5" thickBot="1">
      <c r="A12" s="3709" t="s">
        <v>1872</v>
      </c>
      <c r="B12" s="1436" t="s">
        <v>946</v>
      </c>
      <c r="C12" s="1041">
        <f>ROUND(C15*D15*E15*F15*G15*H15*I15*J15,4)</f>
        <v>1</v>
      </c>
      <c r="D12" s="1437" t="s">
        <v>947</v>
      </c>
      <c r="E12" s="1438"/>
      <c r="F12" s="1438"/>
      <c r="G12" s="1439"/>
      <c r="H12" s="1439"/>
      <c r="I12" s="1439"/>
      <c r="J12" s="1440"/>
      <c r="K12" s="1398"/>
      <c r="L12" s="1886" t="s">
        <v>2249</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718"/>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711"/>
      <c r="B13" s="1441" t="s">
        <v>1697</v>
      </c>
      <c r="C13" s="1442" t="s">
        <v>1698</v>
      </c>
      <c r="D13" s="1087" t="s">
        <v>1699</v>
      </c>
      <c r="E13" s="1087" t="s">
        <v>1700</v>
      </c>
      <c r="F13" s="1443" t="s">
        <v>948</v>
      </c>
      <c r="G13" s="1444" t="s">
        <v>1643</v>
      </c>
      <c r="H13" s="1445" t="s">
        <v>1643</v>
      </c>
      <c r="I13" s="1446" t="s">
        <v>1643</v>
      </c>
      <c r="J13" s="1447" t="s">
        <v>1643</v>
      </c>
      <c r="K13" s="1398"/>
      <c r="L13" s="2187"/>
      <c r="M13" s="2187"/>
      <c r="N13" s="2187"/>
      <c r="O13" s="2187"/>
      <c r="P13" s="2187"/>
      <c r="Q13" s="2187"/>
      <c r="R13" s="2935">
        <v>12</v>
      </c>
      <c r="S13" s="2924"/>
      <c r="T13" s="2935" t="e">
        <f t="shared" si="0"/>
        <v>#DIV/0!</v>
      </c>
      <c r="U13" s="2924"/>
      <c r="V13" s="2935" t="e">
        <f t="shared" si="1"/>
        <v>#DIV/0!</v>
      </c>
      <c r="W13" s="3718"/>
      <c r="X13" s="2932"/>
      <c r="Y13" s="2931">
        <f>(-0.163*(Y12^2)-0.59*Y12+7617)*(10^(-4))/Y11</f>
        <v>0.42316666666666669</v>
      </c>
      <c r="Z13" s="2931">
        <f t="shared" ref="Z13:AJ13" si="5">(-0.163*(Z12^2)-0.59*Z12+7617)*(10^(-4))/Z11</f>
        <v>0.42316666666666669</v>
      </c>
      <c r="AA13" s="2931">
        <f t="shared" si="5"/>
        <v>0.42316666666666669</v>
      </c>
      <c r="AB13" s="2931">
        <f t="shared" si="5"/>
        <v>0.42316666666666669</v>
      </c>
      <c r="AC13" s="2931">
        <f t="shared" si="5"/>
        <v>0.42316666666666669</v>
      </c>
      <c r="AD13" s="2931">
        <f t="shared" si="5"/>
        <v>0.42316666666666669</v>
      </c>
      <c r="AE13" s="2931">
        <f t="shared" si="5"/>
        <v>0.42316666666666669</v>
      </c>
      <c r="AF13" s="2931">
        <f t="shared" si="5"/>
        <v>0.42316666666666669</v>
      </c>
      <c r="AG13" s="2931">
        <f t="shared" si="5"/>
        <v>0.42316666666666669</v>
      </c>
      <c r="AH13" s="2931">
        <f t="shared" si="5"/>
        <v>0.42316666666666669</v>
      </c>
      <c r="AI13" s="2931">
        <f t="shared" si="5"/>
        <v>0.42316666666666669</v>
      </c>
      <c r="AJ13" s="2931">
        <f t="shared" si="5"/>
        <v>0.42316666666666669</v>
      </c>
    </row>
    <row r="14" spans="1:39" ht="12.75" customHeight="1" thickBot="1">
      <c r="A14" s="3711"/>
      <c r="B14" s="1448"/>
      <c r="C14" s="1449"/>
      <c r="D14" s="1450"/>
      <c r="E14" s="1450"/>
      <c r="F14" s="1451"/>
      <c r="G14" s="1452" t="s">
        <v>949</v>
      </c>
      <c r="H14" s="1453"/>
      <c r="I14" s="1454"/>
      <c r="J14" s="1455"/>
      <c r="K14" s="1398"/>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712"/>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7"/>
      <c r="R15" s="2935">
        <v>14</v>
      </c>
      <c r="S15" s="2924"/>
      <c r="T15" s="2935" t="e">
        <f t="shared" si="0"/>
        <v>#DIV/0!</v>
      </c>
      <c r="U15" s="2924"/>
      <c r="V15" s="2935" t="e">
        <f t="shared" si="1"/>
        <v>#DIV/0!</v>
      </c>
      <c r="W15" s="2187"/>
      <c r="X15" s="2187"/>
      <c r="Y15" s="2187"/>
      <c r="Z15" s="2187"/>
      <c r="AA15" s="2187"/>
      <c r="AB15" s="2187"/>
      <c r="AC15" s="2188"/>
    </row>
    <row r="16" spans="1:39" ht="24">
      <c r="A16" s="3709"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710"/>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70" t="s">
        <v>956</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ROUND(IF(H19="按公示增长率计算",SUMPRODUCT((地价!A3:A23=YEAR(G19)&amp;"-"&amp;ROUNDUP(MONTH(G19)/3,0))*(地价!X2:AB2=E2)*(地价!X3:AB23)),IF(H19="地价指数",M20/M19,(1+I19)^O19)),4)</f>
        <v>#DIV/0!</v>
      </c>
      <c r="D19" s="1471" t="s">
        <v>958</v>
      </c>
      <c r="E19" s="1056">
        <v>41640</v>
      </c>
      <c r="F19" s="1471" t="s">
        <v>959</v>
      </c>
      <c r="G19" s="1057">
        <f>'数据-取费表'!B2</f>
        <v>43346</v>
      </c>
      <c r="H19" s="1472" t="s">
        <v>2936</v>
      </c>
      <c r="I19" s="2782" t="str">
        <f>IF(H19="季度增幅（自定义）",SUMIF(N21:N24,E2,O21:O24),"")</f>
        <v/>
      </c>
      <c r="J19" s="1468"/>
      <c r="K19" s="1478"/>
      <c r="L19" s="3038" t="s">
        <v>2840</v>
      </c>
      <c r="M19" s="3039">
        <f>ROUND(SUMIF(地价!B2:F2,E2,地价!B23:F23),0)</f>
        <v>0</v>
      </c>
      <c r="N19" s="2784" t="s">
        <v>1677</v>
      </c>
      <c r="O19" s="2783">
        <f>ROUNDDOWN(DATEDIF(E19,G19,"M")/3,0)</f>
        <v>18</v>
      </c>
      <c r="P19" s="1593"/>
      <c r="R19" s="2923"/>
      <c r="S19" s="2923"/>
      <c r="T19" s="2923"/>
      <c r="U19" s="2923"/>
      <c r="V19" s="2923"/>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776" t="s">
        <v>1837</v>
      </c>
      <c r="B20" s="2777" t="s">
        <v>972</v>
      </c>
      <c r="C20" s="2778" t="e">
        <f>ROUND(POWER(1+G20,J20-I20)*(POWER(1+G20,I20)-1)/(POWER(1+G20,J20)-1),4)</f>
        <v>#DIV/0!</v>
      </c>
      <c r="D20" s="2779" t="s">
        <v>973</v>
      </c>
      <c r="E20" s="3094">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8"/>
      <c r="L20" s="3040" t="s">
        <v>2841</v>
      </c>
      <c r="M20" s="3041">
        <f>ROUND(SUMPRODUCT((地价!A4:A23=YEAR(G19)&amp;"-"&amp;ROUNDUP(MONTH(G19)/3,0))*(地价!B2:F2=E2)*(地价!B4:F23)),0)</f>
        <v>0</v>
      </c>
      <c r="N20" s="2787" t="s">
        <v>2645</v>
      </c>
      <c r="O20" s="2785" t="s">
        <v>2644</v>
      </c>
      <c r="P20" s="2786" t="s">
        <v>2649</v>
      </c>
      <c r="R20" s="2923"/>
      <c r="S20" s="2923"/>
      <c r="T20" s="2923"/>
      <c r="U20" s="2923"/>
      <c r="V20" s="2923"/>
      <c r="W20" s="2193"/>
      <c r="X20" s="2193"/>
      <c r="Y20" s="2193"/>
      <c r="Z20" s="2193"/>
      <c r="AA20" s="2193"/>
      <c r="AB20" s="2193"/>
      <c r="AC20" s="2193"/>
      <c r="AD20" s="1469"/>
      <c r="AE20" s="1469"/>
      <c r="AF20" s="1469"/>
      <c r="AG20" s="1469"/>
      <c r="AH20" s="1469"/>
      <c r="AI20" s="1469"/>
    </row>
    <row r="21" spans="1:40" s="1418" customFormat="1" ht="14.25">
      <c r="A21" s="1639" t="s">
        <v>1838</v>
      </c>
      <c r="B21" s="1477" t="s">
        <v>2760</v>
      </c>
      <c r="C21" s="1156">
        <f>IF(B21="容积率修正",IF(G3&lt;=10,D22,J22),C23)</f>
        <v>0</v>
      </c>
      <c r="D21" s="1478"/>
      <c r="E21" s="1478"/>
      <c r="F21" s="1478"/>
      <c r="G21" s="1478"/>
      <c r="H21" s="1478"/>
      <c r="I21" s="1478"/>
      <c r="J21" s="1479"/>
      <c r="K21" s="1478"/>
      <c r="L21" s="1478"/>
      <c r="M21" s="1478"/>
      <c r="N21" s="1475" t="s">
        <v>976</v>
      </c>
      <c r="O21" s="1539"/>
      <c r="P21" s="2767">
        <f>SUMPRODUCT((地价!A3:A23=YEAR(G19)&amp;"-"&amp;ROUNDUP(MONTH(G19)/3,0))*(地价!AD2:AH2=N21)*(地价!AD3:AH23))</f>
        <v>1.54E-2</v>
      </c>
      <c r="R21" s="2923"/>
      <c r="S21" s="2923"/>
      <c r="T21" s="2923"/>
      <c r="U21" s="2923"/>
      <c r="V21" s="2923"/>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8" t="s">
        <v>1703</v>
      </c>
      <c r="D22" s="1058" t="b">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7">
        <f>SUMPRODUCT((地价!A3:A23=YEAR(G19)&amp;"-"&amp;ROUNDUP(MONTH(G19)/3,0))*(地价!AD2:AH2=N22)*(地价!AD3:AH23))</f>
        <v>1.54E-2</v>
      </c>
      <c r="R22" s="2923"/>
      <c r="S22" s="2923"/>
      <c r="T22" s="2923"/>
      <c r="U22" s="2923"/>
      <c r="V22" s="2923"/>
      <c r="W22" s="2193"/>
      <c r="X22" s="2193"/>
      <c r="Y22" s="2193"/>
      <c r="Z22" s="2193"/>
      <c r="AA22" s="2193"/>
      <c r="AB22" s="2193"/>
      <c r="AC22" s="2193"/>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7">
        <f>SUMPRODUCT((地价!A3:A23=YEAR(G19)&amp;"-"&amp;ROUNDUP(MONTH(G19)/3,0))*(地价!AD2:AH2=N23)*(地价!AD3:AH23))</f>
        <v>2.4500000000000001E-2</v>
      </c>
      <c r="R23" s="2923"/>
      <c r="S23" s="2923"/>
      <c r="T23" s="2923"/>
      <c r="U23" s="2923"/>
      <c r="V23" s="2923"/>
      <c r="W23" s="2193"/>
      <c r="X23" s="2193"/>
      <c r="Y23" s="2193"/>
      <c r="Z23" s="2193"/>
      <c r="AA23" s="2193"/>
      <c r="AB23" s="2193"/>
      <c r="AC23" s="2193"/>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3"/>
      <c r="S24" s="2923"/>
      <c r="T24" s="2923"/>
      <c r="U24" s="2923"/>
      <c r="V24" s="2923"/>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795" t="s">
        <v>2647</v>
      </c>
      <c r="O25" s="2193"/>
      <c r="P25" s="1538">
        <f>SUMPRODUCT((地价!A3:A23=YEAR(G19)&amp;"-"&amp;ROUNDUP(MONTH(G19)/3,0))*(地价!AD2:AH2=N25)*(地价!AD3:AH23))</f>
        <v>2.23E-2</v>
      </c>
      <c r="R25" s="2923"/>
      <c r="S25" s="2923"/>
      <c r="T25" s="2923"/>
      <c r="U25" s="2923"/>
      <c r="V25" s="2923"/>
      <c r="W25" s="2193"/>
      <c r="X25" s="2193"/>
      <c r="Y25" s="2193"/>
      <c r="Z25" s="2193"/>
      <c r="AA25" s="2193"/>
      <c r="AB25" s="2193"/>
      <c r="AC25" s="2193"/>
    </row>
    <row r="26" spans="1:40" ht="14.25">
      <c r="A26" s="1486"/>
      <c r="B26" s="1480" t="s">
        <v>987</v>
      </c>
      <c r="C26" s="1061" t="e">
        <f>E29+SUM(E33:E39)</f>
        <v>#DIV/0!</v>
      </c>
      <c r="D26" s="1487"/>
      <c r="E26" s="1453"/>
      <c r="F26" s="1488"/>
      <c r="G26" s="1453"/>
      <c r="H26" s="1453"/>
      <c r="I26" s="1453"/>
      <c r="J26" s="1489"/>
      <c r="K26" s="1398"/>
      <c r="L26" s="2193"/>
      <c r="M26" s="2193"/>
      <c r="N26" s="2193"/>
      <c r="O26" s="2193"/>
      <c r="P26" s="2193"/>
      <c r="Q26" s="2193"/>
      <c r="R26" s="2923"/>
      <c r="S26" s="2923"/>
      <c r="T26" s="2923"/>
      <c r="U26" s="2923"/>
      <c r="V26" s="2923"/>
      <c r="W26" s="2193"/>
      <c r="X26" s="2193"/>
      <c r="Y26" s="2193"/>
      <c r="Z26" s="2193"/>
      <c r="AA26" s="2193"/>
      <c r="AB26" s="2193"/>
      <c r="AC26" s="2193"/>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3"/>
      <c r="M27" s="2193"/>
      <c r="N27" s="2193"/>
      <c r="O27" s="2193"/>
      <c r="P27" s="2193"/>
      <c r="Q27" s="2193"/>
      <c r="R27" s="2923"/>
      <c r="S27" s="2923"/>
      <c r="T27" s="2923"/>
      <c r="U27" s="2923"/>
      <c r="V27" s="2923"/>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23"/>
      <c r="S28" s="2923"/>
      <c r="T28" s="2923"/>
      <c r="U28" s="2923"/>
      <c r="V28" s="2923"/>
      <c r="W28" s="2193"/>
      <c r="X28" s="2193"/>
      <c r="Y28" s="2193"/>
      <c r="Z28" s="2193"/>
      <c r="AA28" s="2193"/>
      <c r="AB28" s="2193"/>
      <c r="AC28" s="2193"/>
      <c r="AD28" s="1469"/>
      <c r="AE28" s="1469"/>
      <c r="AF28" s="1469"/>
      <c r="AG28" s="1469"/>
    </row>
    <row r="29" spans="1:40" ht="24">
      <c r="A29" s="1499"/>
      <c r="B29" s="1500" t="s">
        <v>994</v>
      </c>
      <c r="C29" s="1061" t="e">
        <f>ROUND(C5*C18*C19*C20*C21*C24,0)</f>
        <v>#DIV/0!</v>
      </c>
      <c r="D29" s="1501"/>
      <c r="E29" s="1847" t="e">
        <f>ROUND(C29*D29/10000,0)</f>
        <v>#DIV/0!</v>
      </c>
      <c r="F29" s="1502" t="s">
        <v>1702</v>
      </c>
      <c r="G29" s="1503"/>
      <c r="H29" s="1503"/>
      <c r="I29" s="1503"/>
      <c r="J29" s="1504"/>
      <c r="K29" s="1398"/>
      <c r="L29" s="2193"/>
      <c r="M29" s="2193"/>
      <c r="N29" s="2193"/>
      <c r="O29" s="2193"/>
      <c r="P29" s="2193"/>
      <c r="Q29" s="2193"/>
      <c r="R29" s="2923"/>
      <c r="S29" s="2923"/>
      <c r="T29" s="2923"/>
      <c r="U29" s="2923"/>
      <c r="V29" s="2923"/>
      <c r="W29" s="2193"/>
      <c r="X29" s="2193"/>
      <c r="Y29" s="2193"/>
      <c r="Z29" s="2193"/>
      <c r="AA29" s="2193"/>
      <c r="AB29" s="2193"/>
      <c r="AC29" s="2193"/>
      <c r="AH29" s="1399"/>
      <c r="AI29" s="1399"/>
      <c r="AJ29" s="1402"/>
      <c r="AK29" s="1402"/>
      <c r="AL29" s="1402"/>
      <c r="AM29" s="1402"/>
    </row>
    <row r="30" spans="1:40" ht="24.75" thickBot="1">
      <c r="A30" s="1505"/>
      <c r="B30" s="1506" t="s">
        <v>995</v>
      </c>
      <c r="C30" s="1049"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715" t="s">
        <v>2962</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716"/>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716"/>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17"/>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1007</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22" t="s">
        <v>1008</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5" t="s">
        <v>1009</v>
      </c>
      <c r="B46" s="2406" t="s">
        <v>1010</v>
      </c>
      <c r="C46" s="2428" t="s">
        <v>1011</v>
      </c>
      <c r="D46" s="2429" t="s">
        <v>1012</v>
      </c>
      <c r="E46" s="2430" t="s">
        <v>1014</v>
      </c>
      <c r="F46" s="2431" t="s">
        <v>2250</v>
      </c>
      <c r="G46" s="2429" t="s">
        <v>1015</v>
      </c>
      <c r="H46" s="2412" t="s">
        <v>2418</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5" t="s">
        <v>1021</v>
      </c>
      <c r="B47" s="2409" t="str">
        <f>估价对象房地状况!C16</f>
        <v>估价对象位于XX商圈，周边商业氛围成熟，人流量大，商业繁华度好</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5" t="s">
        <v>1022</v>
      </c>
      <c r="B48" s="2406" t="str">
        <f>估价对象房地状况!C18</f>
        <v>估价对象周边道路状况、公共交通通达情况、停车便捷程度，综合评价交通便捷度较好</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5" t="s">
        <v>1023</v>
      </c>
      <c r="B49" s="2406">
        <f>估价对象房地状况!C19</f>
        <v>0</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5" t="s">
        <v>1024</v>
      </c>
      <c r="B50" s="3096" t="s">
        <v>2938</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5" t="s">
        <v>1025</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5" t="s">
        <v>1026</v>
      </c>
      <c r="B52" s="3095" t="s">
        <v>2937</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1027</v>
      </c>
      <c r="B53" s="2407" t="str">
        <f>估价对象房地状况!C21</f>
        <v>估价对象所在区域公共配套设施齐备情况</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1028</v>
      </c>
      <c r="B54" s="2406" t="str">
        <f>估价对象房地状况!C22</f>
        <v>估价对象所在区域基础设施水平</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39" t="s">
        <v>1029</v>
      </c>
      <c r="B55" s="2410" t="str">
        <f>估价对象房地状况!C20</f>
        <v>区域自然环境：；人文环境；综合评价环境状况一般</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22" t="s">
        <v>1030</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5" t="s">
        <v>1009</v>
      </c>
      <c r="B57" s="2406"/>
      <c r="C57" s="2428" t="s">
        <v>1011</v>
      </c>
      <c r="D57" s="2429" t="s">
        <v>1012</v>
      </c>
      <c r="E57" s="2430" t="s">
        <v>1014</v>
      </c>
      <c r="F57" s="2431" t="s">
        <v>2251</v>
      </c>
      <c r="G57" s="2429" t="s">
        <v>1015</v>
      </c>
      <c r="H57" s="2412" t="s">
        <v>2418</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5" t="s">
        <v>1031</v>
      </c>
      <c r="B58" s="2409" t="str">
        <f>估价对象房地状况!C17</f>
        <v>估价对象位于XX商圈，周边办公楼项目较多，入驻率高，办公集聚程度较好</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5" t="s">
        <v>1022</v>
      </c>
      <c r="B59" s="2406" t="str">
        <f>估价对象房地状况!C18</f>
        <v>估价对象周边道路状况、公共交通通达情况、停车便捷程度，综合评价交通便捷度较好</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5" t="s">
        <v>1023</v>
      </c>
      <c r="B60" s="2406">
        <f>估价对象房地状况!C19</f>
        <v>0</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5" t="s">
        <v>1024</v>
      </c>
      <c r="B61" s="3096" t="s">
        <v>2939</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5" t="s">
        <v>1025</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5" t="s">
        <v>1026</v>
      </c>
      <c r="B63" s="3095" t="s">
        <v>2937</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5" t="s">
        <v>1027</v>
      </c>
      <c r="B64" s="2407" t="str">
        <f>估价对象房地状况!C21</f>
        <v>估价对象所在区域公共配套设施齐备情况</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5" t="s">
        <v>1028</v>
      </c>
      <c r="B65" s="2407" t="str">
        <f>估价对象房地状况!C22</f>
        <v>估价对象所在区域基础设施水平</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39" t="s">
        <v>1029</v>
      </c>
      <c r="B66" s="2411" t="str">
        <f>估价对象房地状况!C20</f>
        <v>区域自然环境：；人文环境；综合评价环境状况一般</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22" t="s">
        <v>1032</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5" t="s">
        <v>1009</v>
      </c>
      <c r="B68" s="2406"/>
      <c r="C68" s="2428" t="s">
        <v>1011</v>
      </c>
      <c r="D68" s="2429" t="s">
        <v>1012</v>
      </c>
      <c r="E68" s="2430" t="s">
        <v>1014</v>
      </c>
      <c r="F68" s="2431" t="s">
        <v>2252</v>
      </c>
      <c r="G68" s="2429" t="s">
        <v>1015</v>
      </c>
      <c r="H68" s="2412" t="s">
        <v>2418</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5" t="s">
        <v>1033</v>
      </c>
      <c r="B69" s="2409" t="str">
        <f>估价对象房地状况!C15</f>
        <v>估价对象周边居住用地比例、居住小区规模和社区发展完善程度，综合评价居住社区成熟度一般</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5" t="s">
        <v>1034</v>
      </c>
      <c r="B70" s="2406" t="str">
        <f>估价对象房地状况!C18</f>
        <v>估价对象周边道路状况、公共交通通达情况、停车便捷程度，综合评价交通便捷度较好</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5" t="s">
        <v>1023</v>
      </c>
      <c r="B71" s="2406">
        <f>估价对象房地状况!C19</f>
        <v>0</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5" t="s">
        <v>1035</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5" t="s">
        <v>1027</v>
      </c>
      <c r="B73" s="2407" t="str">
        <f>估价对象房地状况!C21</f>
        <v>估价对象所在区域公共配套设施齐备情况</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5" t="s">
        <v>1028</v>
      </c>
      <c r="B74" s="2407" t="str">
        <f>估价对象房地状况!C22</f>
        <v>估价对象所在区域基础设施水平</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5" t="s">
        <v>1026</v>
      </c>
      <c r="B75" s="3095" t="s">
        <v>2937</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5" t="s">
        <v>1029</v>
      </c>
      <c r="B76" s="2409" t="str">
        <f>估价对象房地状况!C20</f>
        <v>区域自然环境：；人文环境；综合评价环境状况一般</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39" t="s">
        <v>1036</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5">
      <c r="A78" s="2422" t="s">
        <v>1037</v>
      </c>
      <c r="B78" s="2423">
        <f>1+E80</f>
        <v>1</v>
      </c>
      <c r="C78" s="2442"/>
      <c r="D78" s="2425"/>
      <c r="E78" s="2426"/>
      <c r="F78" s="2427"/>
      <c r="G78" s="2421"/>
      <c r="H78" s="2421"/>
      <c r="I78" s="2421"/>
      <c r="J78" s="1064"/>
      <c r="K78" s="1064"/>
      <c r="L78" s="1064"/>
      <c r="M78" s="1064"/>
      <c r="N78" s="1064"/>
      <c r="AC78" s="1402"/>
      <c r="AD78" s="1401"/>
      <c r="AJ78" s="1400"/>
      <c r="AN78" s="1401"/>
    </row>
    <row r="79" spans="1:40" ht="24">
      <c r="A79" s="1065" t="s">
        <v>1009</v>
      </c>
      <c r="B79" s="2406"/>
      <c r="C79" s="2428" t="s">
        <v>1011</v>
      </c>
      <c r="D79" s="2429" t="s">
        <v>1012</v>
      </c>
      <c r="E79" s="2430" t="s">
        <v>1014</v>
      </c>
      <c r="F79" s="2431" t="s">
        <v>2253</v>
      </c>
      <c r="G79" s="2429" t="s">
        <v>1015</v>
      </c>
      <c r="H79" s="2412" t="s">
        <v>2418</v>
      </c>
      <c r="I79" s="2429" t="s">
        <v>1013</v>
      </c>
      <c r="J79" s="2432" t="s">
        <v>1016</v>
      </c>
      <c r="K79" s="2432" t="s">
        <v>1017</v>
      </c>
      <c r="L79" s="2432" t="s">
        <v>1018</v>
      </c>
      <c r="M79" s="2432" t="s">
        <v>1019</v>
      </c>
      <c r="N79" s="2432" t="s">
        <v>1020</v>
      </c>
      <c r="AC79" s="1402"/>
      <c r="AD79" s="1401"/>
      <c r="AJ79" s="1400"/>
      <c r="AN79" s="1401"/>
    </row>
    <row r="80" spans="1:40" ht="36">
      <c r="A80" s="1065" t="s">
        <v>1038</v>
      </c>
      <c r="B80" s="2406" t="str">
        <f>估价对象房地状况!G15</f>
        <v>估价对象位于XX开发区，园区建设成熟度XX，产业集聚程度XX</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48">
      <c r="A81" s="1065" t="s">
        <v>1034</v>
      </c>
      <c r="B81" s="2406" t="str">
        <f>估价对象房地状况!G16</f>
        <v>估价对象周边道路状况、公共交通通达情况、停车便捷程度，综合评价交通便捷度较好</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5" t="s">
        <v>1023</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4.25">
      <c r="A83" s="1065" t="s">
        <v>1035</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5" t="s">
        <v>1027</v>
      </c>
      <c r="B84" s="2407" t="str">
        <f>估价对象房地状况!G19</f>
        <v>估价对象所在区域公共配套设施齐备情况</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5" t="s">
        <v>1028</v>
      </c>
      <c r="B85" s="2407" t="str">
        <f>估价对象房地状况!G20</f>
        <v>估价对象所在区域基础设施水平</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24">
      <c r="A86" s="1065" t="s">
        <v>1026</v>
      </c>
      <c r="B86" s="3095" t="s">
        <v>2937</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36.75" thickBot="1">
      <c r="A87" s="2439" t="s">
        <v>1039</v>
      </c>
      <c r="B87" s="2408" t="str">
        <f>估价对象房地状况!G18</f>
        <v>该园区内是否有污染型企业，绿化情况，卫生条件，整体环境状况判断</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713" t="s">
        <v>1634</v>
      </c>
      <c r="B90" s="3713"/>
      <c r="C90" s="3713"/>
      <c r="D90" s="3713"/>
      <c r="E90" s="3713"/>
      <c r="F90" s="3713"/>
      <c r="G90" s="3713"/>
      <c r="H90" s="3713"/>
      <c r="I90" s="3713"/>
      <c r="J90" s="3713"/>
      <c r="K90" s="2448"/>
      <c r="L90" s="2448"/>
      <c r="M90" s="2448"/>
      <c r="N90" s="2448"/>
    </row>
    <row r="91" spans="1:40">
      <c r="A91" s="3714" t="s">
        <v>1444</v>
      </c>
      <c r="B91" s="3714" t="s">
        <v>1635</v>
      </c>
      <c r="C91" s="1138" t="s">
        <v>1636</v>
      </c>
      <c r="D91" s="1139"/>
      <c r="E91" s="1139"/>
      <c r="F91" s="1139"/>
      <c r="G91" s="1139"/>
      <c r="H91" s="1139"/>
      <c r="I91" s="1139"/>
      <c r="J91" s="1140"/>
      <c r="K91" s="1132"/>
      <c r="L91" s="1132"/>
      <c r="M91" s="1132"/>
      <c r="N91" s="1132"/>
    </row>
    <row r="92" spans="1:40">
      <c r="A92" s="3714"/>
      <c r="B92" s="3714"/>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721"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2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2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2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2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2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22"/>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2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21" t="s">
        <v>1638</v>
      </c>
      <c r="B101" s="1145" t="s">
        <v>906</v>
      </c>
      <c r="C101" s="1146">
        <f>$G$3</f>
        <v>1.8</v>
      </c>
      <c r="D101" s="1146">
        <f t="shared" ref="D101:N101" si="31">$G$3</f>
        <v>1.8</v>
      </c>
      <c r="E101" s="1146">
        <f t="shared" si="31"/>
        <v>1.8</v>
      </c>
      <c r="F101" s="1146">
        <f t="shared" si="31"/>
        <v>1.8</v>
      </c>
      <c r="G101" s="1146">
        <f t="shared" si="31"/>
        <v>1.8</v>
      </c>
      <c r="H101" s="1146">
        <f t="shared" si="31"/>
        <v>1.8</v>
      </c>
      <c r="I101" s="1146">
        <f t="shared" si="31"/>
        <v>1.8</v>
      </c>
      <c r="J101" s="1146">
        <f t="shared" si="31"/>
        <v>1.8</v>
      </c>
      <c r="K101" s="1146">
        <f t="shared" si="31"/>
        <v>1.8</v>
      </c>
      <c r="L101" s="1146">
        <f t="shared" si="31"/>
        <v>1.8</v>
      </c>
      <c r="M101" s="1146">
        <f t="shared" si="31"/>
        <v>1.8</v>
      </c>
      <c r="N101" s="1146">
        <f t="shared" si="31"/>
        <v>1.8</v>
      </c>
    </row>
    <row r="102" spans="1:14">
      <c r="A102" s="3722"/>
      <c r="B102" s="1141">
        <v>1</v>
      </c>
      <c r="C102" s="1142">
        <f>1.9362/C101</f>
        <v>1.0756666666666665</v>
      </c>
      <c r="D102" s="1142">
        <f>1.9362/D101</f>
        <v>1.0756666666666665</v>
      </c>
      <c r="E102" s="1142">
        <f>1.8629/E101</f>
        <v>1.0349444444444444</v>
      </c>
      <c r="F102" s="1142">
        <f>1.8629/F101</f>
        <v>1.0349444444444444</v>
      </c>
      <c r="G102" s="1142">
        <f>1.8629/G101</f>
        <v>1.0349444444444444</v>
      </c>
      <c r="H102" s="1142">
        <f>1.8629/H101</f>
        <v>1.0349444444444444</v>
      </c>
      <c r="I102" s="1142">
        <f>1.8629/I101</f>
        <v>1.0349444444444444</v>
      </c>
      <c r="J102" s="1142">
        <f>1.942/J101</f>
        <v>1.0788888888888888</v>
      </c>
      <c r="K102" s="1142">
        <f>1.942/K101</f>
        <v>1.0788888888888888</v>
      </c>
      <c r="L102" s="1142">
        <f>1.942/L101</f>
        <v>1.0788888888888888</v>
      </c>
      <c r="M102" s="1142">
        <f>1.942/M101</f>
        <v>1.0788888888888888</v>
      </c>
      <c r="N102" s="1142">
        <f>1.942/N101</f>
        <v>1.0788888888888888</v>
      </c>
    </row>
    <row r="103" spans="1:14">
      <c r="A103" s="3722"/>
      <c r="B103" s="1141">
        <v>2</v>
      </c>
      <c r="C103" s="1142">
        <f>1.4198/C101</f>
        <v>0.78877777777777769</v>
      </c>
      <c r="D103" s="1142">
        <f>1.4198/D101</f>
        <v>0.78877777777777769</v>
      </c>
      <c r="E103" s="1142">
        <f>1.3372/E101</f>
        <v>0.74288888888888882</v>
      </c>
      <c r="F103" s="1142">
        <f>1.3372/F101</f>
        <v>0.74288888888888882</v>
      </c>
      <c r="G103" s="1142">
        <f>1.3372/G101</f>
        <v>0.74288888888888882</v>
      </c>
      <c r="H103" s="1142">
        <f>1.3372/H101</f>
        <v>0.74288888888888882</v>
      </c>
      <c r="I103" s="1142">
        <f>1.3372/I101</f>
        <v>0.74288888888888882</v>
      </c>
      <c r="J103" s="1142">
        <f>1.2799/J101</f>
        <v>0.71105555555555555</v>
      </c>
      <c r="K103" s="1142">
        <f>1.2799/K101</f>
        <v>0.71105555555555555</v>
      </c>
      <c r="L103" s="1142">
        <f>1.2799/L101</f>
        <v>0.71105555555555555</v>
      </c>
      <c r="M103" s="1142">
        <f>1.2799/M101</f>
        <v>0.71105555555555555</v>
      </c>
      <c r="N103" s="1142">
        <f>1.2799/N101</f>
        <v>0.71105555555555555</v>
      </c>
    </row>
    <row r="104" spans="1:14">
      <c r="A104" s="3722"/>
      <c r="B104" s="1141">
        <v>3</v>
      </c>
      <c r="C104" s="1142">
        <f>1.1594/C101</f>
        <v>0.64411111111111108</v>
      </c>
      <c r="D104" s="1142">
        <f>1.1594/D101</f>
        <v>0.64411111111111108</v>
      </c>
      <c r="E104" s="1142">
        <f>1.0788/E101</f>
        <v>0.59933333333333327</v>
      </c>
      <c r="F104" s="1142">
        <f>1.0788/F101</f>
        <v>0.59933333333333327</v>
      </c>
      <c r="G104" s="1142">
        <f>1.0788/G101</f>
        <v>0.59933333333333327</v>
      </c>
      <c r="H104" s="1142">
        <f>1.0788/H101</f>
        <v>0.59933333333333327</v>
      </c>
      <c r="I104" s="1142">
        <f>1.0788/I101</f>
        <v>0.59933333333333327</v>
      </c>
      <c r="J104" s="1142">
        <f>1.0072/J101</f>
        <v>0.55955555555555558</v>
      </c>
      <c r="K104" s="1142">
        <f>1.0072/K101</f>
        <v>0.55955555555555558</v>
      </c>
      <c r="L104" s="1142">
        <f>1.0072/L101</f>
        <v>0.55955555555555558</v>
      </c>
      <c r="M104" s="1142">
        <f>1.0072/M101</f>
        <v>0.55955555555555558</v>
      </c>
      <c r="N104" s="1142">
        <f>1.0072/N101</f>
        <v>0.55955555555555558</v>
      </c>
    </row>
    <row r="105" spans="1:14">
      <c r="A105" s="3722"/>
      <c r="B105" s="1141">
        <v>4</v>
      </c>
      <c r="C105" s="1142">
        <f>0.9622/C101</f>
        <v>0.53455555555555556</v>
      </c>
      <c r="D105" s="1142">
        <f>0.9622/D101</f>
        <v>0.53455555555555556</v>
      </c>
      <c r="E105" s="1142">
        <f>0.8656/E101</f>
        <v>0.48088888888888892</v>
      </c>
      <c r="F105" s="1142">
        <f>0.8656/F101</f>
        <v>0.48088888888888892</v>
      </c>
      <c r="G105" s="1142">
        <f>0.8656/G101</f>
        <v>0.48088888888888892</v>
      </c>
      <c r="H105" s="1142">
        <f>0.8656/H101</f>
        <v>0.48088888888888892</v>
      </c>
      <c r="I105" s="1142">
        <f>0.8656/I101</f>
        <v>0.48088888888888892</v>
      </c>
      <c r="J105" s="1142">
        <f>0.7525/J101</f>
        <v>0.41805555555555551</v>
      </c>
      <c r="K105" s="1142">
        <f>0.7525/K101</f>
        <v>0.41805555555555551</v>
      </c>
      <c r="L105" s="1142">
        <f>0.7525/L101</f>
        <v>0.41805555555555551</v>
      </c>
      <c r="M105" s="1142">
        <f>0.7525/M101</f>
        <v>0.41805555555555551</v>
      </c>
      <c r="N105" s="1142">
        <f>0.7525/N101</f>
        <v>0.41805555555555551</v>
      </c>
    </row>
    <row r="106" spans="1:14">
      <c r="A106" s="3722"/>
      <c r="B106" s="1141">
        <v>5</v>
      </c>
      <c r="C106" s="1142">
        <f>0.8417/C101</f>
        <v>0.46761111111111109</v>
      </c>
      <c r="D106" s="1142">
        <f>0.8417/D101</f>
        <v>0.46761111111111109</v>
      </c>
      <c r="E106" s="1142">
        <f>0.7371/E101</f>
        <v>0.40949999999999998</v>
      </c>
      <c r="F106" s="1142">
        <f>0.7371/F101</f>
        <v>0.40949999999999998</v>
      </c>
      <c r="G106" s="1142">
        <f>0.7371/G101</f>
        <v>0.40949999999999998</v>
      </c>
      <c r="H106" s="1142">
        <f>0.7371/H101</f>
        <v>0.40949999999999998</v>
      </c>
      <c r="I106" s="1142">
        <f>0.7371/I101</f>
        <v>0.40949999999999998</v>
      </c>
      <c r="J106" s="1142">
        <f>0.5659/J101</f>
        <v>0.31438888888888888</v>
      </c>
      <c r="K106" s="1142">
        <f>0.5659/K101</f>
        <v>0.31438888888888888</v>
      </c>
      <c r="L106" s="1142">
        <f>0.5659/L101</f>
        <v>0.31438888888888888</v>
      </c>
      <c r="M106" s="1142">
        <f>0.5659/M101</f>
        <v>0.31438888888888888</v>
      </c>
      <c r="N106" s="1142">
        <f>0.5659/N101</f>
        <v>0.31438888888888888</v>
      </c>
    </row>
    <row r="107" spans="1:14">
      <c r="A107" s="3722"/>
      <c r="B107" s="1141">
        <v>6</v>
      </c>
      <c r="C107" s="1142">
        <f>0.7608/C101</f>
        <v>0.42266666666666669</v>
      </c>
      <c r="D107" s="1142">
        <f>0.7608/D101</f>
        <v>0.42266666666666669</v>
      </c>
      <c r="E107" s="1142">
        <f>0.6482/E101</f>
        <v>0.3601111111111111</v>
      </c>
      <c r="F107" s="1142">
        <f>0.6482/F101</f>
        <v>0.3601111111111111</v>
      </c>
      <c r="G107" s="1142">
        <f>0.6482/G101</f>
        <v>0.3601111111111111</v>
      </c>
      <c r="H107" s="1142">
        <f>0.6482/H101</f>
        <v>0.3601111111111111</v>
      </c>
      <c r="I107" s="1142">
        <f>0.6482/I101</f>
        <v>0.3601111111111111</v>
      </c>
      <c r="J107" s="1142">
        <f>0.4525/J101</f>
        <v>0.25138888888888888</v>
      </c>
      <c r="K107" s="1142">
        <f>0.4525/K101</f>
        <v>0.25138888888888888</v>
      </c>
      <c r="L107" s="1142">
        <f>0.4525/L101</f>
        <v>0.25138888888888888</v>
      </c>
      <c r="M107" s="1142">
        <f>0.4525/M101</f>
        <v>0.25138888888888888</v>
      </c>
      <c r="N107" s="1142">
        <f>0.4525/N101</f>
        <v>0.25138888888888888</v>
      </c>
    </row>
    <row r="108" spans="1:14">
      <c r="A108" s="3722"/>
      <c r="B108" s="3724"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23"/>
      <c r="B109" s="3725"/>
      <c r="C109" s="1144">
        <f>(-0.163*(C108^2)-0.59*C108+7617)*(10^(-4))/C101</f>
        <v>0.42232488888888886</v>
      </c>
      <c r="D109" s="1144">
        <f>(-0.163*(D108^2)-0.59*D108+7617)*(10^(-4))/D101</f>
        <v>0.42232488888888886</v>
      </c>
      <c r="E109" s="1144">
        <f>(-0.161*(E108^2)-7.509*E108+6533)*(10^(-4))/E101</f>
        <v>0.35903466666666667</v>
      </c>
      <c r="F109" s="1144">
        <f>(-0.161*(F108^2)-7.509*F108+6533)*(10^(-4))/F101</f>
        <v>0.35903466666666667</v>
      </c>
      <c r="G109" s="1144">
        <f>(-0.161*(G108^2)-7.509*G108+6533)*(10^(-4))/G101</f>
        <v>0.35903466666666667</v>
      </c>
      <c r="H109" s="1144">
        <f>(-0.161*(H108^2)-7.509*H108+6533)*(10^(-4))/H101</f>
        <v>0.35903466666666667</v>
      </c>
      <c r="I109" s="1144">
        <f>(-0.161*(I108^2)-7.509*I108+6533)*(10^(-4))/I101</f>
        <v>0.35903466666666667</v>
      </c>
      <c r="J109" s="1144">
        <f>(-0.214*(J108^2)-21.991*J108+4665)*(10^(-4))/J101</f>
        <v>0.24863200000000002</v>
      </c>
      <c r="K109" s="1144">
        <f>(-0.214*(K108^2)-21.991*K108+4665)*(10^(-4))/K101</f>
        <v>0.24863200000000002</v>
      </c>
      <c r="L109" s="1144">
        <f>(-0.214*(L108^2)-21.991*L108+4665)*(10^(-4))/L101</f>
        <v>0.24863200000000002</v>
      </c>
      <c r="M109" s="1144">
        <f>(-0.214*(M108^2)-21.991*M108+4665)*(10^(-4))/M101</f>
        <v>0.24863200000000002</v>
      </c>
      <c r="N109" s="1144">
        <f>(-0.214*(N108^2)-21.991*N108+4665)*(10^(-4))/N101</f>
        <v>0.24863200000000002</v>
      </c>
    </row>
    <row r="110" spans="1:14">
      <c r="A110" s="3708" t="s">
        <v>1640</v>
      </c>
      <c r="B110" s="3708"/>
      <c r="C110" s="3708"/>
      <c r="D110" s="3708"/>
      <c r="E110" s="3708"/>
      <c r="F110" s="3708"/>
      <c r="G110" s="3708"/>
      <c r="H110" s="3708"/>
      <c r="I110" s="3708"/>
      <c r="J110" s="3708"/>
      <c r="K110" s="2446"/>
      <c r="L110" s="2446"/>
      <c r="M110" s="2446"/>
      <c r="N110" s="2446"/>
    </row>
    <row r="112" spans="1:14" ht="12.75" thickBot="1"/>
    <row r="113" spans="1:13" ht="25.5" thickBot="1">
      <c r="A113" s="1014" t="s">
        <v>896</v>
      </c>
      <c r="B113" s="2449">
        <f>G3</f>
        <v>1.8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0.91659999999999997</v>
      </c>
      <c r="C115" s="1028">
        <f>B115</f>
        <v>0.91659999999999997</v>
      </c>
      <c r="D115" s="1028">
        <f>ROUND(0.8331-0.0109*B113,4)</f>
        <v>0.8135</v>
      </c>
      <c r="E115" s="1028">
        <f>D115</f>
        <v>0.8135</v>
      </c>
      <c r="F115" s="1028">
        <f>E115</f>
        <v>0.8135</v>
      </c>
      <c r="G115" s="1028">
        <f>F115</f>
        <v>0.8135</v>
      </c>
      <c r="H115" s="1028">
        <f>G115</f>
        <v>0.8135</v>
      </c>
      <c r="I115" s="1028">
        <f>ROUND(0.689-0.0155*B113,4)</f>
        <v>0.66110000000000002</v>
      </c>
      <c r="J115" s="1028">
        <f t="shared" ref="J115:M118" si="33">I115</f>
        <v>0.66110000000000002</v>
      </c>
      <c r="K115" s="1028">
        <f t="shared" si="33"/>
        <v>0.66110000000000002</v>
      </c>
      <c r="L115" s="1028">
        <f t="shared" si="33"/>
        <v>0.66110000000000002</v>
      </c>
      <c r="M115" s="1029">
        <f t="shared" si="33"/>
        <v>0.66110000000000002</v>
      </c>
    </row>
    <row r="116" spans="1:13" ht="12.75">
      <c r="A116" s="1027" t="s">
        <v>901</v>
      </c>
      <c r="B116" s="1028">
        <f>ROUND(0.949-0.012*B113,4)</f>
        <v>0.9274</v>
      </c>
      <c r="C116" s="1028">
        <f>B116</f>
        <v>0.9274</v>
      </c>
      <c r="D116" s="1028">
        <f>ROUND(0.8567-0.013*B113,4)</f>
        <v>0.83330000000000004</v>
      </c>
      <c r="E116" s="1028">
        <f t="shared" ref="E116:H117" si="34">D116</f>
        <v>0.83330000000000004</v>
      </c>
      <c r="F116" s="1028">
        <f t="shared" si="34"/>
        <v>0.83330000000000004</v>
      </c>
      <c r="G116" s="1028">
        <f t="shared" si="34"/>
        <v>0.83330000000000004</v>
      </c>
      <c r="H116" s="1028">
        <f t="shared" si="34"/>
        <v>0.83330000000000004</v>
      </c>
      <c r="I116" s="1028">
        <f>ROUND(0.7694-0.014*B113,4)</f>
        <v>0.74419999999999997</v>
      </c>
      <c r="J116" s="1028">
        <f t="shared" si="33"/>
        <v>0.74419999999999997</v>
      </c>
      <c r="K116" s="1028">
        <f t="shared" si="33"/>
        <v>0.74419999999999997</v>
      </c>
      <c r="L116" s="1028">
        <f t="shared" si="33"/>
        <v>0.74419999999999997</v>
      </c>
      <c r="M116" s="1029">
        <f t="shared" si="33"/>
        <v>0.74419999999999997</v>
      </c>
    </row>
    <row r="117" spans="1:13" ht="12.75">
      <c r="A117" s="1030" t="s">
        <v>902</v>
      </c>
      <c r="B117" s="1028">
        <f>ROUND(0.8808-0.006*B113,4)</f>
        <v>0.87</v>
      </c>
      <c r="C117" s="1028">
        <f>B117</f>
        <v>0.87</v>
      </c>
      <c r="D117" s="1028">
        <f>ROUND(0.8748-0.008*B113,4)</f>
        <v>0.86040000000000005</v>
      </c>
      <c r="E117" s="1028">
        <f t="shared" si="34"/>
        <v>0.86040000000000005</v>
      </c>
      <c r="F117" s="1028">
        <f t="shared" si="34"/>
        <v>0.86040000000000005</v>
      </c>
      <c r="G117" s="1028">
        <f t="shared" si="34"/>
        <v>0.86040000000000005</v>
      </c>
      <c r="H117" s="1028">
        <f t="shared" si="34"/>
        <v>0.86040000000000005</v>
      </c>
      <c r="I117" s="1028">
        <f>ROUND(0.7412-0.0095*B113,4)</f>
        <v>0.72409999999999997</v>
      </c>
      <c r="J117" s="1028">
        <f t="shared" si="33"/>
        <v>0.72409999999999997</v>
      </c>
      <c r="K117" s="1028">
        <f t="shared" si="33"/>
        <v>0.72409999999999997</v>
      </c>
      <c r="L117" s="1028">
        <f t="shared" si="33"/>
        <v>0.72409999999999997</v>
      </c>
      <c r="M117" s="1029">
        <f t="shared" si="33"/>
        <v>0.72409999999999997</v>
      </c>
    </row>
    <row r="118" spans="1:13" ht="13.5" thickBot="1">
      <c r="A118" s="1031" t="s">
        <v>903</v>
      </c>
      <c r="B118" s="1032">
        <f>ROUND(0.7275-0.01*B113,4)</f>
        <v>0.70950000000000002</v>
      </c>
      <c r="C118" s="1032">
        <f>B118</f>
        <v>0.70950000000000002</v>
      </c>
      <c r="D118" s="1032">
        <f>ROUND(0.7043-0.012*B113,4)</f>
        <v>0.68269999999999997</v>
      </c>
      <c r="E118" s="1032">
        <f>D118</f>
        <v>0.68269999999999997</v>
      </c>
      <c r="F118" s="1032">
        <f>E118</f>
        <v>0.68269999999999997</v>
      </c>
      <c r="G118" s="1032">
        <f>ROUND(0.6299-0.0122*B113,4)</f>
        <v>0.6079</v>
      </c>
      <c r="H118" s="1032">
        <f>G118</f>
        <v>0.6079</v>
      </c>
      <c r="I118" s="1032">
        <f>ROUND(0.5667-0.0136*B113,4)</f>
        <v>0.54220000000000002</v>
      </c>
      <c r="J118" s="1032">
        <f t="shared" si="33"/>
        <v>0.54220000000000002</v>
      </c>
      <c r="K118" s="1032">
        <f t="shared" si="33"/>
        <v>0.54220000000000002</v>
      </c>
      <c r="L118" s="1032">
        <f t="shared" si="33"/>
        <v>0.54220000000000002</v>
      </c>
      <c r="M118" s="1033">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714" t="s">
        <v>1008</v>
      </c>
      <c r="B18" s="1152" t="s">
        <v>1447</v>
      </c>
      <c r="C18" s="1129" t="s">
        <v>1448</v>
      </c>
      <c r="D18" s="1130"/>
      <c r="E18" s="1152">
        <v>1</v>
      </c>
      <c r="F18" s="1131" t="s">
        <v>1449</v>
      </c>
      <c r="G18" s="1132"/>
      <c r="H18" s="1103"/>
      <c r="I18" s="1103"/>
    </row>
    <row r="19" spans="1:9" s="1596" customFormat="1" ht="19.5" customHeight="1">
      <c r="A19" s="3714"/>
      <c r="B19" s="3714" t="s">
        <v>1450</v>
      </c>
      <c r="C19" s="1129" t="s">
        <v>1451</v>
      </c>
      <c r="D19" s="1130"/>
      <c r="E19" s="1152">
        <v>0.9</v>
      </c>
      <c r="F19" s="1131" t="s">
        <v>1452</v>
      </c>
      <c r="G19" s="1132"/>
      <c r="H19" s="1103"/>
      <c r="I19" s="1103"/>
    </row>
    <row r="20" spans="1:9" s="1596" customFormat="1" ht="19.5" customHeight="1">
      <c r="A20" s="3714"/>
      <c r="B20" s="3714"/>
      <c r="C20" s="1129" t="s">
        <v>1453</v>
      </c>
      <c r="D20" s="1130"/>
      <c r="E20" s="1152">
        <v>1.1000000000000001</v>
      </c>
      <c r="F20" s="1131" t="s">
        <v>1454</v>
      </c>
      <c r="G20" s="1132"/>
      <c r="H20" s="1103"/>
      <c r="I20" s="1103"/>
    </row>
    <row r="21" spans="1:9" s="1596" customFormat="1" ht="19.5" customHeight="1">
      <c r="A21" s="3714"/>
      <c r="B21" s="3714"/>
      <c r="C21" s="1129" t="s">
        <v>1455</v>
      </c>
      <c r="D21" s="1130"/>
      <c r="E21" s="1152">
        <v>0.8</v>
      </c>
      <c r="F21" s="1131" t="s">
        <v>1456</v>
      </c>
      <c r="G21" s="1132"/>
      <c r="H21" s="1103"/>
      <c r="I21" s="1103"/>
    </row>
    <row r="22" spans="1:9" s="1596" customFormat="1" ht="19.5" customHeight="1">
      <c r="A22" s="3714"/>
      <c r="B22" s="3714"/>
      <c r="C22" s="1129" t="s">
        <v>1457</v>
      </c>
      <c r="D22" s="1130"/>
      <c r="E22" s="1152">
        <v>0.5</v>
      </c>
      <c r="F22" s="1131"/>
      <c r="G22" s="1132"/>
      <c r="H22" s="1103"/>
      <c r="I22" s="1103"/>
    </row>
    <row r="23" spans="1:9" s="1596" customFormat="1" ht="19.5" customHeight="1">
      <c r="A23" s="3714" t="s">
        <v>1030</v>
      </c>
      <c r="B23" s="1152" t="s">
        <v>1447</v>
      </c>
      <c r="C23" s="1129" t="s">
        <v>1458</v>
      </c>
      <c r="D23" s="1130"/>
      <c r="E23" s="1152">
        <v>1</v>
      </c>
      <c r="F23" s="1131" t="s">
        <v>1459</v>
      </c>
      <c r="G23" s="1132"/>
      <c r="H23" s="1103"/>
      <c r="I23" s="1103"/>
    </row>
    <row r="24" spans="1:9" s="1596" customFormat="1" ht="19.5" customHeight="1">
      <c r="A24" s="3714"/>
      <c r="B24" s="3714" t="s">
        <v>1450</v>
      </c>
      <c r="C24" s="1129" t="s">
        <v>1460</v>
      </c>
      <c r="D24" s="1130"/>
      <c r="E24" s="1152">
        <v>0.5</v>
      </c>
      <c r="F24" s="1131"/>
      <c r="G24" s="1132"/>
      <c r="H24" s="1103"/>
      <c r="I24" s="1103"/>
    </row>
    <row r="25" spans="1:9" s="1596" customFormat="1" ht="19.5" customHeight="1">
      <c r="A25" s="3714"/>
      <c r="B25" s="3714"/>
      <c r="C25" s="1129" t="s">
        <v>1461</v>
      </c>
      <c r="D25" s="1130"/>
      <c r="E25" s="1152">
        <v>1.1000000000000001</v>
      </c>
      <c r="F25" s="1131"/>
      <c r="G25" s="1132"/>
      <c r="H25" s="1103"/>
      <c r="I25" s="1103"/>
    </row>
    <row r="26" spans="1:9" s="1596" customFormat="1" ht="19.5" customHeight="1">
      <c r="A26" s="3714"/>
      <c r="B26" s="3714"/>
      <c r="C26" s="1129" t="s">
        <v>1462</v>
      </c>
      <c r="D26" s="1130"/>
      <c r="E26" s="1152">
        <v>1.1000000000000001</v>
      </c>
      <c r="F26" s="1131"/>
      <c r="G26" s="1132"/>
      <c r="H26" s="1103"/>
      <c r="I26" s="1103"/>
    </row>
    <row r="27" spans="1:9" s="1596" customFormat="1" ht="19.5" customHeight="1">
      <c r="A27" s="3714"/>
      <c r="B27" s="3714"/>
      <c r="C27" s="1129" t="s">
        <v>1463</v>
      </c>
      <c r="D27" s="1130"/>
      <c r="E27" s="1152">
        <v>0.9</v>
      </c>
      <c r="F27" s="1131" t="s">
        <v>1464</v>
      </c>
      <c r="G27" s="1132"/>
      <c r="H27" s="1103"/>
      <c r="I27" s="1103"/>
    </row>
    <row r="28" spans="1:9" s="1596" customFormat="1" ht="19.5" customHeight="1">
      <c r="A28" s="3714"/>
      <c r="B28" s="3714"/>
      <c r="C28" s="1129" t="s">
        <v>1465</v>
      </c>
      <c r="D28" s="1130"/>
      <c r="E28" s="1152">
        <v>0.9</v>
      </c>
      <c r="F28" s="1131" t="s">
        <v>1466</v>
      </c>
      <c r="G28" s="1132"/>
      <c r="H28" s="1103"/>
      <c r="I28" s="1103"/>
    </row>
    <row r="29" spans="1:9" s="1596" customFormat="1" ht="19.5" customHeight="1">
      <c r="A29" s="3714"/>
      <c r="B29" s="3714"/>
      <c r="C29" s="1129" t="s">
        <v>1467</v>
      </c>
      <c r="D29" s="1130"/>
      <c r="E29" s="1152">
        <v>0.9</v>
      </c>
      <c r="F29" s="1131" t="s">
        <v>1468</v>
      </c>
      <c r="G29" s="1132"/>
      <c r="H29" s="1103"/>
      <c r="I29" s="1103"/>
    </row>
    <row r="30" spans="1:9" s="1596" customFormat="1" ht="19.5" customHeight="1">
      <c r="A30" s="3714"/>
      <c r="B30" s="3714"/>
      <c r="C30" s="1129" t="s">
        <v>1469</v>
      </c>
      <c r="D30" s="1130"/>
      <c r="E30" s="1152">
        <v>0.9</v>
      </c>
      <c r="F30" s="1131" t="s">
        <v>1470</v>
      </c>
      <c r="G30" s="1132"/>
      <c r="H30" s="1103"/>
      <c r="I30" s="1103"/>
    </row>
    <row r="31" spans="1:9" s="1596" customFormat="1" ht="19.5" customHeight="1">
      <c r="A31" s="3714"/>
      <c r="B31" s="3714"/>
      <c r="C31" s="1129" t="s">
        <v>1471</v>
      </c>
      <c r="D31" s="1130"/>
      <c r="E31" s="1152">
        <v>0.8</v>
      </c>
      <c r="F31" s="1131" t="s">
        <v>1472</v>
      </c>
      <c r="G31" s="1132"/>
      <c r="H31" s="1103"/>
      <c r="I31" s="1103"/>
    </row>
    <row r="32" spans="1:9" s="1596" customFormat="1" ht="19.5" customHeight="1">
      <c r="A32" s="3714"/>
      <c r="B32" s="3714"/>
      <c r="C32" s="1129" t="s">
        <v>1473</v>
      </c>
      <c r="D32" s="1130"/>
      <c r="E32" s="1152">
        <v>0.8</v>
      </c>
      <c r="F32" s="1131" t="s">
        <v>1474</v>
      </c>
      <c r="G32" s="1132"/>
      <c r="H32" s="1103"/>
      <c r="I32" s="1103"/>
    </row>
    <row r="33" spans="1:9" s="1596" customFormat="1" ht="19.5" customHeight="1">
      <c r="A33" s="3714" t="s">
        <v>1475</v>
      </c>
      <c r="B33" s="1152" t="s">
        <v>1447</v>
      </c>
      <c r="C33" s="1129" t="s">
        <v>1476</v>
      </c>
      <c r="D33" s="1130"/>
      <c r="E33" s="1152">
        <v>1</v>
      </c>
      <c r="F33" s="1131" t="s">
        <v>1477</v>
      </c>
      <c r="G33" s="1132"/>
      <c r="H33" s="1103"/>
      <c r="I33" s="1103"/>
    </row>
    <row r="34" spans="1:9" s="1596" customFormat="1" ht="19.5" customHeight="1">
      <c r="A34" s="3714"/>
      <c r="B34" s="1152" t="s">
        <v>1450</v>
      </c>
      <c r="C34" s="1129" t="s">
        <v>1478</v>
      </c>
      <c r="D34" s="1130"/>
      <c r="E34" s="1152">
        <v>1.5</v>
      </c>
      <c r="F34" s="1131" t="s">
        <v>1479</v>
      </c>
      <c r="G34" s="1132"/>
      <c r="H34" s="1103"/>
      <c r="I34" s="1103"/>
    </row>
    <row r="35" spans="1:9" s="1596" customFormat="1" ht="19.5" customHeight="1">
      <c r="A35" s="3714" t="s">
        <v>1433</v>
      </c>
      <c r="B35" s="1152" t="s">
        <v>1447</v>
      </c>
      <c r="C35" s="1129" t="s">
        <v>1480</v>
      </c>
      <c r="D35" s="1130"/>
      <c r="E35" s="1152">
        <v>1</v>
      </c>
      <c r="F35" s="1131" t="s">
        <v>1481</v>
      </c>
      <c r="G35" s="1132"/>
      <c r="H35" s="1103"/>
      <c r="I35" s="1103"/>
    </row>
    <row r="36" spans="1:9" s="1596" customFormat="1" ht="19.5" customHeight="1">
      <c r="A36" s="3714"/>
      <c r="B36" s="3714" t="s">
        <v>1450</v>
      </c>
      <c r="C36" s="1129" t="s">
        <v>1482</v>
      </c>
      <c r="D36" s="1130"/>
      <c r="E36" s="1152">
        <v>1</v>
      </c>
      <c r="F36" s="1131" t="s">
        <v>1483</v>
      </c>
      <c r="G36" s="1132"/>
      <c r="H36" s="1103"/>
      <c r="I36" s="1103"/>
    </row>
    <row r="37" spans="1:9" s="1596" customFormat="1" ht="19.5" customHeight="1">
      <c r="A37" s="3714"/>
      <c r="B37" s="3714"/>
      <c r="C37" s="1129" t="s">
        <v>1484</v>
      </c>
      <c r="D37" s="1130"/>
      <c r="E37" s="1152">
        <v>1.5</v>
      </c>
      <c r="F37" s="1131" t="s">
        <v>1485</v>
      </c>
      <c r="G37" s="1132"/>
      <c r="H37" s="1103"/>
      <c r="I37" s="1103"/>
    </row>
    <row r="38" spans="1:9" s="1596" customFormat="1" ht="19.5" customHeight="1">
      <c r="A38" s="3714"/>
      <c r="B38" s="3714"/>
      <c r="C38" s="1129" t="s">
        <v>1486</v>
      </c>
      <c r="D38" s="1130"/>
      <c r="E38" s="1152">
        <v>1</v>
      </c>
      <c r="F38" s="1131" t="s">
        <v>1487</v>
      </c>
      <c r="G38" s="1132"/>
      <c r="H38" s="1103"/>
      <c r="I38" s="1103"/>
    </row>
    <row r="39" spans="1:9" s="1596" customFormat="1" ht="19.5" customHeight="1">
      <c r="A39" s="3714"/>
      <c r="B39" s="3714"/>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714" t="s">
        <v>1502</v>
      </c>
      <c r="C61" s="1066" t="s">
        <v>1503</v>
      </c>
      <c r="D61" s="1066" t="s">
        <v>1504</v>
      </c>
      <c r="E61" s="1137">
        <v>0.5</v>
      </c>
      <c r="F61" s="1152">
        <v>80</v>
      </c>
      <c r="H61" s="1103">
        <f>SUMIF(C59:C119,基准地价!C8,E59:E119)</f>
        <v>0</v>
      </c>
    </row>
    <row r="62" spans="1:8" s="1103" customFormat="1" ht="24">
      <c r="A62" s="1152">
        <v>2</v>
      </c>
      <c r="B62" s="3714"/>
      <c r="C62" s="1066" t="s">
        <v>1505</v>
      </c>
      <c r="D62" s="1066" t="s">
        <v>1506</v>
      </c>
      <c r="E62" s="1137">
        <v>0.5</v>
      </c>
      <c r="F62" s="1152">
        <v>80</v>
      </c>
    </row>
    <row r="63" spans="1:8" s="1103" customFormat="1" ht="36">
      <c r="A63" s="1152">
        <v>3</v>
      </c>
      <c r="B63" s="3714"/>
      <c r="C63" s="1066" t="s">
        <v>1507</v>
      </c>
      <c r="D63" s="1066" t="s">
        <v>1508</v>
      </c>
      <c r="E63" s="1137">
        <v>0.5</v>
      </c>
      <c r="F63" s="1152">
        <v>80</v>
      </c>
    </row>
    <row r="64" spans="1:8" s="1103" customFormat="1" ht="36">
      <c r="A64" s="1152">
        <v>4</v>
      </c>
      <c r="B64" s="3714"/>
      <c r="C64" s="1066" t="s">
        <v>1509</v>
      </c>
      <c r="D64" s="1066" t="s">
        <v>1510</v>
      </c>
      <c r="E64" s="1137">
        <v>0.4</v>
      </c>
      <c r="F64" s="1152">
        <v>60</v>
      </c>
    </row>
    <row r="65" spans="1:6" s="1103" customFormat="1" ht="36">
      <c r="A65" s="1152">
        <v>5</v>
      </c>
      <c r="B65" s="3714"/>
      <c r="C65" s="1066" t="s">
        <v>1511</v>
      </c>
      <c r="D65" s="1066" t="s">
        <v>1512</v>
      </c>
      <c r="E65" s="1137">
        <v>0.2</v>
      </c>
      <c r="F65" s="1152">
        <v>30</v>
      </c>
    </row>
    <row r="66" spans="1:6" s="1103" customFormat="1" ht="36">
      <c r="A66" s="1152">
        <v>6</v>
      </c>
      <c r="B66" s="3714"/>
      <c r="C66" s="1066" t="s">
        <v>1513</v>
      </c>
      <c r="D66" s="1066" t="s">
        <v>1514</v>
      </c>
      <c r="E66" s="1137">
        <v>0.3</v>
      </c>
      <c r="F66" s="1152">
        <v>50</v>
      </c>
    </row>
    <row r="67" spans="1:6" s="1103" customFormat="1" ht="36">
      <c r="A67" s="1152">
        <v>7</v>
      </c>
      <c r="B67" s="3714"/>
      <c r="C67" s="1066" t="s">
        <v>1515</v>
      </c>
      <c r="D67" s="1066" t="s">
        <v>1516</v>
      </c>
      <c r="E67" s="1137">
        <v>0.2</v>
      </c>
      <c r="F67" s="1152">
        <v>30</v>
      </c>
    </row>
    <row r="68" spans="1:6" s="1103" customFormat="1" ht="36">
      <c r="A68" s="1152">
        <v>8</v>
      </c>
      <c r="B68" s="3714"/>
      <c r="C68" s="1066" t="s">
        <v>1517</v>
      </c>
      <c r="D68" s="1066" t="s">
        <v>1518</v>
      </c>
      <c r="E68" s="1137">
        <v>0.2</v>
      </c>
      <c r="F68" s="1152">
        <v>30</v>
      </c>
    </row>
    <row r="69" spans="1:6" s="1103" customFormat="1" ht="36">
      <c r="A69" s="1152">
        <v>9</v>
      </c>
      <c r="B69" s="3714"/>
      <c r="C69" s="1066" t="s">
        <v>1519</v>
      </c>
      <c r="D69" s="1066" t="s">
        <v>1520</v>
      </c>
      <c r="E69" s="1137">
        <v>0.2</v>
      </c>
      <c r="F69" s="1152">
        <v>30</v>
      </c>
    </row>
    <row r="70" spans="1:6" s="1103" customFormat="1" ht="48">
      <c r="A70" s="1152">
        <v>10</v>
      </c>
      <c r="B70" s="3714"/>
      <c r="C70" s="1066" t="s">
        <v>1521</v>
      </c>
      <c r="D70" s="1066" t="s">
        <v>1522</v>
      </c>
      <c r="E70" s="1137">
        <v>0.2</v>
      </c>
      <c r="F70" s="1152">
        <v>30</v>
      </c>
    </row>
    <row r="71" spans="1:6" s="1103" customFormat="1" ht="48">
      <c r="A71" s="1152">
        <v>11</v>
      </c>
      <c r="B71" s="3714"/>
      <c r="C71" s="1066" t="s">
        <v>1523</v>
      </c>
      <c r="D71" s="1066" t="s">
        <v>1524</v>
      </c>
      <c r="E71" s="1137">
        <v>0.2</v>
      </c>
      <c r="F71" s="1152">
        <v>30</v>
      </c>
    </row>
    <row r="72" spans="1:6" s="1103" customFormat="1" ht="36">
      <c r="A72" s="1152">
        <v>12</v>
      </c>
      <c r="B72" s="3714"/>
      <c r="C72" s="1066" t="s">
        <v>1525</v>
      </c>
      <c r="D72" s="1066" t="s">
        <v>1526</v>
      </c>
      <c r="E72" s="1137">
        <v>0.5</v>
      </c>
      <c r="F72" s="1152">
        <v>80</v>
      </c>
    </row>
    <row r="73" spans="1:6" s="1103" customFormat="1" ht="24">
      <c r="A73" s="1152">
        <v>13</v>
      </c>
      <c r="B73" s="3714"/>
      <c r="C73" s="1066" t="s">
        <v>1527</v>
      </c>
      <c r="D73" s="1066" t="s">
        <v>1528</v>
      </c>
      <c r="E73" s="1137">
        <v>0.4</v>
      </c>
      <c r="F73" s="1152">
        <v>60</v>
      </c>
    </row>
    <row r="74" spans="1:6" s="1103" customFormat="1" ht="24">
      <c r="A74" s="1152">
        <v>14</v>
      </c>
      <c r="B74" s="3714"/>
      <c r="C74" s="1066" t="s">
        <v>1529</v>
      </c>
      <c r="D74" s="1066" t="s">
        <v>1530</v>
      </c>
      <c r="E74" s="1137">
        <v>0.2</v>
      </c>
      <c r="F74" s="1152">
        <v>30</v>
      </c>
    </row>
    <row r="75" spans="1:6" s="1103" customFormat="1" ht="24">
      <c r="A75" s="1152">
        <v>15</v>
      </c>
      <c r="B75" s="3714"/>
      <c r="C75" s="1066" t="s">
        <v>1531</v>
      </c>
      <c r="D75" s="1066" t="s">
        <v>1532</v>
      </c>
      <c r="E75" s="1137">
        <v>0.2</v>
      </c>
      <c r="F75" s="1152">
        <v>30</v>
      </c>
    </row>
    <row r="76" spans="1:6" s="1103" customFormat="1" ht="24">
      <c r="A76" s="1152">
        <v>16</v>
      </c>
      <c r="B76" s="3714" t="s">
        <v>1533</v>
      </c>
      <c r="C76" s="1066" t="s">
        <v>1534</v>
      </c>
      <c r="D76" s="1066" t="s">
        <v>1535</v>
      </c>
      <c r="E76" s="1137">
        <v>0.5</v>
      </c>
      <c r="F76" s="1152">
        <v>80</v>
      </c>
    </row>
    <row r="77" spans="1:6" s="1103" customFormat="1" ht="24">
      <c r="A77" s="1152">
        <v>17</v>
      </c>
      <c r="B77" s="3714"/>
      <c r="C77" s="1066" t="s">
        <v>1536</v>
      </c>
      <c r="D77" s="1066" t="s">
        <v>1537</v>
      </c>
      <c r="E77" s="1137">
        <v>0.5</v>
      </c>
      <c r="F77" s="1152">
        <v>80</v>
      </c>
    </row>
    <row r="78" spans="1:6" s="1103" customFormat="1" ht="24">
      <c r="A78" s="1152">
        <v>18</v>
      </c>
      <c r="B78" s="3714"/>
      <c r="C78" s="1066" t="s">
        <v>1538</v>
      </c>
      <c r="D78" s="1066" t="s">
        <v>1539</v>
      </c>
      <c r="E78" s="1137">
        <v>0.2</v>
      </c>
      <c r="F78" s="1152">
        <v>30</v>
      </c>
    </row>
    <row r="79" spans="1:6" s="1103" customFormat="1" ht="24">
      <c r="A79" s="1152">
        <v>19</v>
      </c>
      <c r="B79" s="3714"/>
      <c r="C79" s="1066" t="s">
        <v>1540</v>
      </c>
      <c r="D79" s="1066" t="s">
        <v>1541</v>
      </c>
      <c r="E79" s="1137">
        <v>0.5</v>
      </c>
      <c r="F79" s="1152">
        <v>80</v>
      </c>
    </row>
    <row r="80" spans="1:6" s="1103" customFormat="1" ht="36">
      <c r="A80" s="1152">
        <v>20</v>
      </c>
      <c r="B80" s="3714"/>
      <c r="C80" s="1066" t="s">
        <v>1542</v>
      </c>
      <c r="D80" s="1066" t="s">
        <v>1543</v>
      </c>
      <c r="E80" s="1137">
        <v>0.2</v>
      </c>
      <c r="F80" s="1152">
        <v>30</v>
      </c>
    </row>
    <row r="81" spans="1:6" s="1103" customFormat="1" ht="36">
      <c r="A81" s="1152">
        <v>21</v>
      </c>
      <c r="B81" s="3714"/>
      <c r="C81" s="1066" t="s">
        <v>1544</v>
      </c>
      <c r="D81" s="1066" t="s">
        <v>1545</v>
      </c>
      <c r="E81" s="1137">
        <v>0.2</v>
      </c>
      <c r="F81" s="1152">
        <v>30</v>
      </c>
    </row>
    <row r="82" spans="1:6" s="1103" customFormat="1" ht="48">
      <c r="A82" s="1152">
        <v>22</v>
      </c>
      <c r="B82" s="3714"/>
      <c r="C82" s="1066" t="s">
        <v>1546</v>
      </c>
      <c r="D82" s="1066" t="s">
        <v>1547</v>
      </c>
      <c r="E82" s="1137">
        <v>0.2</v>
      </c>
      <c r="F82" s="1152">
        <v>30</v>
      </c>
    </row>
    <row r="83" spans="1:6" s="1103" customFormat="1" ht="48">
      <c r="A83" s="1152">
        <v>23</v>
      </c>
      <c r="B83" s="3714"/>
      <c r="C83" s="1066" t="s">
        <v>1548</v>
      </c>
      <c r="D83" s="1066" t="s">
        <v>1549</v>
      </c>
      <c r="E83" s="1137">
        <v>0.2</v>
      </c>
      <c r="F83" s="1152">
        <v>30</v>
      </c>
    </row>
    <row r="84" spans="1:6" s="1103" customFormat="1" ht="36">
      <c r="A84" s="1152">
        <v>24</v>
      </c>
      <c r="B84" s="3714"/>
      <c r="C84" s="1066" t="s">
        <v>1550</v>
      </c>
      <c r="D84" s="1066" t="s">
        <v>1551</v>
      </c>
      <c r="E84" s="1137">
        <v>0.2</v>
      </c>
      <c r="F84" s="1152">
        <v>30</v>
      </c>
    </row>
    <row r="85" spans="1:6" s="1103" customFormat="1" ht="36">
      <c r="A85" s="1152">
        <v>25</v>
      </c>
      <c r="B85" s="3714"/>
      <c r="C85" s="1066" t="s">
        <v>1552</v>
      </c>
      <c r="D85" s="1066" t="s">
        <v>1553</v>
      </c>
      <c r="E85" s="1137">
        <v>0.5</v>
      </c>
      <c r="F85" s="1152">
        <v>80</v>
      </c>
    </row>
    <row r="86" spans="1:6" s="1103" customFormat="1" ht="36">
      <c r="A86" s="1152">
        <v>26</v>
      </c>
      <c r="B86" s="3714"/>
      <c r="C86" s="1066" t="s">
        <v>1554</v>
      </c>
      <c r="D86" s="1066" t="s">
        <v>1555</v>
      </c>
      <c r="E86" s="1137">
        <v>0.2</v>
      </c>
      <c r="F86" s="1152">
        <v>30</v>
      </c>
    </row>
    <row r="87" spans="1:6" s="1103" customFormat="1" ht="36">
      <c r="A87" s="1152">
        <v>27</v>
      </c>
      <c r="B87" s="3714"/>
      <c r="C87" s="1066" t="s">
        <v>1556</v>
      </c>
      <c r="D87" s="1066" t="s">
        <v>1557</v>
      </c>
      <c r="E87" s="1137">
        <v>0.2</v>
      </c>
      <c r="F87" s="1152">
        <v>30</v>
      </c>
    </row>
    <row r="88" spans="1:6" s="1103" customFormat="1" ht="36">
      <c r="A88" s="1152">
        <v>28</v>
      </c>
      <c r="B88" s="3714"/>
      <c r="C88" s="1066" t="s">
        <v>1558</v>
      </c>
      <c r="D88" s="1066" t="s">
        <v>1559</v>
      </c>
      <c r="E88" s="1137">
        <v>0.2</v>
      </c>
      <c r="F88" s="1152">
        <v>30</v>
      </c>
    </row>
    <row r="89" spans="1:6" s="1103" customFormat="1" ht="24">
      <c r="A89" s="1152">
        <v>29</v>
      </c>
      <c r="B89" s="3714"/>
      <c r="C89" s="1066" t="s">
        <v>1560</v>
      </c>
      <c r="D89" s="1066" t="s">
        <v>1561</v>
      </c>
      <c r="E89" s="1137">
        <v>0.2</v>
      </c>
      <c r="F89" s="1152">
        <v>30</v>
      </c>
    </row>
    <row r="90" spans="1:6" s="1103" customFormat="1" ht="24">
      <c r="A90" s="1152">
        <v>30</v>
      </c>
      <c r="B90" s="3714"/>
      <c r="C90" s="1066" t="s">
        <v>1562</v>
      </c>
      <c r="D90" s="1066" t="s">
        <v>1563</v>
      </c>
      <c r="E90" s="1137">
        <v>0.2</v>
      </c>
      <c r="F90" s="1152">
        <v>30</v>
      </c>
    </row>
    <row r="91" spans="1:6" s="1103" customFormat="1" ht="36">
      <c r="A91" s="1152">
        <v>31</v>
      </c>
      <c r="B91" s="3714"/>
      <c r="C91" s="1066" t="s">
        <v>1564</v>
      </c>
      <c r="D91" s="1066" t="s">
        <v>1565</v>
      </c>
      <c r="E91" s="1137">
        <v>0.2</v>
      </c>
      <c r="F91" s="1152">
        <v>30</v>
      </c>
    </row>
    <row r="92" spans="1:6" s="1103" customFormat="1" ht="24">
      <c r="A92" s="1152">
        <v>32</v>
      </c>
      <c r="B92" s="3714" t="s">
        <v>1566</v>
      </c>
      <c r="C92" s="1152" t="s">
        <v>1567</v>
      </c>
      <c r="D92" s="1066" t="s">
        <v>1568</v>
      </c>
      <c r="E92" s="1137">
        <v>0.2</v>
      </c>
      <c r="F92" s="1152">
        <v>30</v>
      </c>
    </row>
    <row r="93" spans="1:6" s="1103" customFormat="1" ht="36">
      <c r="A93" s="1152">
        <v>33</v>
      </c>
      <c r="B93" s="3714"/>
      <c r="C93" s="1152" t="s">
        <v>1569</v>
      </c>
      <c r="D93" s="1066" t="s">
        <v>1570</v>
      </c>
      <c r="E93" s="1137">
        <v>0.2</v>
      </c>
      <c r="F93" s="1152">
        <v>30</v>
      </c>
    </row>
    <row r="94" spans="1:6" s="1103" customFormat="1" ht="48">
      <c r="A94" s="1152">
        <v>34</v>
      </c>
      <c r="B94" s="3714"/>
      <c r="C94" s="1152" t="s">
        <v>1571</v>
      </c>
      <c r="D94" s="1066" t="s">
        <v>1572</v>
      </c>
      <c r="E94" s="1137">
        <v>0.2</v>
      </c>
      <c r="F94" s="1152">
        <v>30</v>
      </c>
    </row>
    <row r="95" spans="1:6" s="1103" customFormat="1" ht="36">
      <c r="A95" s="1152">
        <v>35</v>
      </c>
      <c r="B95" s="3714"/>
      <c r="C95" s="1152" t="s">
        <v>1573</v>
      </c>
      <c r="D95" s="1066" t="s">
        <v>1574</v>
      </c>
      <c r="E95" s="1137">
        <v>0.2</v>
      </c>
      <c r="F95" s="1152">
        <v>30</v>
      </c>
    </row>
    <row r="96" spans="1:6" s="1103" customFormat="1" ht="48">
      <c r="A96" s="1152">
        <v>36</v>
      </c>
      <c r="B96" s="3714"/>
      <c r="C96" s="1066" t="s">
        <v>1575</v>
      </c>
      <c r="D96" s="1066" t="s">
        <v>1576</v>
      </c>
      <c r="E96" s="1137">
        <v>0.2</v>
      </c>
      <c r="F96" s="1152">
        <v>30</v>
      </c>
    </row>
    <row r="97" spans="1:6" s="1103" customFormat="1" ht="36">
      <c r="A97" s="1152">
        <v>37</v>
      </c>
      <c r="B97" s="3714"/>
      <c r="C97" s="1152" t="s">
        <v>1577</v>
      </c>
      <c r="D97" s="1066" t="s">
        <v>1578</v>
      </c>
      <c r="E97" s="1137">
        <v>0.2</v>
      </c>
      <c r="F97" s="1152">
        <v>30</v>
      </c>
    </row>
    <row r="98" spans="1:6" s="1103" customFormat="1" ht="36">
      <c r="A98" s="1152">
        <v>38</v>
      </c>
      <c r="B98" s="3714"/>
      <c r="C98" s="1152" t="s">
        <v>1579</v>
      </c>
      <c r="D98" s="1066" t="s">
        <v>1580</v>
      </c>
      <c r="E98" s="1137">
        <v>0.2</v>
      </c>
      <c r="F98" s="1152">
        <v>30</v>
      </c>
    </row>
    <row r="99" spans="1:6" s="1103" customFormat="1" ht="36">
      <c r="A99" s="1152">
        <v>39</v>
      </c>
      <c r="B99" s="3714" t="s">
        <v>1581</v>
      </c>
      <c r="C99" s="1152" t="s">
        <v>1582</v>
      </c>
      <c r="D99" s="1066" t="s">
        <v>1583</v>
      </c>
      <c r="E99" s="1137">
        <v>0.3</v>
      </c>
      <c r="F99" s="1152">
        <v>50</v>
      </c>
    </row>
    <row r="100" spans="1:6" s="1103" customFormat="1" ht="24">
      <c r="A100" s="1152">
        <v>40</v>
      </c>
      <c r="B100" s="3714"/>
      <c r="C100" s="1152" t="s">
        <v>1584</v>
      </c>
      <c r="D100" s="1066" t="s">
        <v>1585</v>
      </c>
      <c r="E100" s="1137">
        <v>0.2</v>
      </c>
      <c r="F100" s="1152">
        <v>30</v>
      </c>
    </row>
    <row r="101" spans="1:6" s="1103" customFormat="1" ht="36">
      <c r="A101" s="1152">
        <v>41</v>
      </c>
      <c r="B101" s="3714"/>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714" t="s">
        <v>1596</v>
      </c>
      <c r="C105" s="1152" t="s">
        <v>1597</v>
      </c>
      <c r="D105" s="1066" t="s">
        <v>1598</v>
      </c>
      <c r="E105" s="1137">
        <v>0.2</v>
      </c>
      <c r="F105" s="1152">
        <v>30</v>
      </c>
    </row>
    <row r="106" spans="1:6" s="1103" customFormat="1" ht="36">
      <c r="A106" s="1152">
        <v>46</v>
      </c>
      <c r="B106" s="3714"/>
      <c r="C106" s="1152" t="s">
        <v>1599</v>
      </c>
      <c r="D106" s="1066" t="s">
        <v>1600</v>
      </c>
      <c r="E106" s="1137">
        <v>0.2</v>
      </c>
      <c r="F106" s="1152">
        <v>30</v>
      </c>
    </row>
    <row r="107" spans="1:6" s="1103" customFormat="1" ht="36">
      <c r="A107" s="1152">
        <v>47</v>
      </c>
      <c r="B107" s="3714" t="s">
        <v>1601</v>
      </c>
      <c r="C107" s="1152" t="s">
        <v>1602</v>
      </c>
      <c r="D107" s="1066" t="s">
        <v>1603</v>
      </c>
      <c r="E107" s="1137">
        <v>0.3</v>
      </c>
      <c r="F107" s="1152">
        <v>50</v>
      </c>
    </row>
    <row r="108" spans="1:6" s="1103" customFormat="1" ht="36">
      <c r="A108" s="1152">
        <v>48</v>
      </c>
      <c r="B108" s="3714"/>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714" t="s">
        <v>1612</v>
      </c>
      <c r="C111" s="1152" t="s">
        <v>1613</v>
      </c>
      <c r="D111" s="1066" t="s">
        <v>1614</v>
      </c>
      <c r="E111" s="1137">
        <v>0.2</v>
      </c>
      <c r="F111" s="1152">
        <v>30</v>
      </c>
    </row>
    <row r="112" spans="1:6" s="1103" customFormat="1" ht="24">
      <c r="A112" s="1152">
        <v>52</v>
      </c>
      <c r="B112" s="3714"/>
      <c r="C112" s="1152" t="s">
        <v>1615</v>
      </c>
      <c r="D112" s="1066" t="s">
        <v>1616</v>
      </c>
      <c r="E112" s="1137">
        <v>0.2</v>
      </c>
      <c r="F112" s="1152">
        <v>30</v>
      </c>
    </row>
    <row r="113" spans="1:14" s="1103" customFormat="1" ht="24">
      <c r="A113" s="1152">
        <v>53</v>
      </c>
      <c r="B113" s="3714"/>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714" t="s">
        <v>1625</v>
      </c>
      <c r="C116" s="1152" t="s">
        <v>1626</v>
      </c>
      <c r="D116" s="1066" t="s">
        <v>1627</v>
      </c>
      <c r="E116" s="1137">
        <v>0.2</v>
      </c>
      <c r="F116" s="1152">
        <v>30</v>
      </c>
    </row>
    <row r="117" spans="1:14" ht="36">
      <c r="A117" s="1152">
        <v>57</v>
      </c>
      <c r="B117" s="3714"/>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713" t="s">
        <v>1634</v>
      </c>
      <c r="B121" s="3713"/>
      <c r="C121" s="3713"/>
      <c r="D121" s="3713"/>
      <c r="E121" s="3713"/>
      <c r="F121" s="3713"/>
      <c r="G121" s="3713"/>
      <c r="H121" s="3713"/>
      <c r="I121" s="3713"/>
      <c r="J121" s="371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26" t="s">
        <v>1040</v>
      </c>
      <c r="B1" s="3726"/>
      <c r="C1" s="3726"/>
      <c r="D1" s="3726"/>
      <c r="E1" s="3726"/>
      <c r="F1" s="3726"/>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727" t="s">
        <v>1053</v>
      </c>
      <c r="B2" s="3727"/>
      <c r="C2" s="3727"/>
      <c r="D2" s="3727"/>
      <c r="E2" s="3727"/>
      <c r="F2" s="3727"/>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728"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729"/>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大业信托有限责任公司：</v>
      </c>
    </row>
    <row r="4" spans="1:4" ht="56.25">
      <c r="A4" s="1789"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92" t="s">
        <v>1906</v>
      </c>
    </row>
    <row r="6" spans="1:4" ht="150">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56.25">
      <c r="A7" s="1793" t="s">
        <v>2746</v>
      </c>
    </row>
    <row r="8" spans="1:4" ht="18.75">
      <c r="A8" s="1792" t="s">
        <v>1907</v>
      </c>
    </row>
    <row r="9" spans="1:4" ht="112.5">
      <c r="A9" s="1794"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2018年9月3日（评估专业人员勘察现场之日）</v>
      </c>
    </row>
    <row r="12" spans="1:4" ht="18.75">
      <c r="A12" s="1795" t="s">
        <v>2025</v>
      </c>
    </row>
    <row r="13" spans="1:4" ht="18.75">
      <c r="A13" s="1789" t="s">
        <v>2942</v>
      </c>
    </row>
    <row r="14" spans="1:4" ht="37.5">
      <c r="A14" s="1789" t="str">
        <f>"根据"&amp;项目基本情况!F12&amp;"，本次评估估价对象证载（地类）用途为"&amp;项目基本情况!B12&amp;"。"</f>
        <v>根据《国有土地使用证》[]，本次评估估价对象证载（地类）用途为其他普通商品住房、批发零售。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11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18.75">
      <c r="A21" s="1789" t="s">
        <v>2074</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14日、商业2058年8月14日车库2068年8月14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30" t="s">
        <v>2079</v>
      </c>
      <c r="B1" s="3730"/>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12" sqref="I1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2950</v>
      </c>
      <c r="B1" s="3104"/>
      <c r="C1" s="3104"/>
      <c r="D1" s="3104"/>
      <c r="E1" s="3104"/>
      <c r="F1" s="3104"/>
    </row>
    <row r="2" spans="1:6" ht="14.25">
      <c r="A2" s="3105" t="s">
        <v>2945</v>
      </c>
      <c r="B2" s="3106" t="e">
        <f ca="1">SUMIF(B7:B14,"&lt;&gt;#ref!",B7:B14)</f>
        <v>#DIV/0!</v>
      </c>
      <c r="C2" s="3105" t="s">
        <v>2946</v>
      </c>
      <c r="D2" s="3104"/>
      <c r="E2" s="3104"/>
      <c r="F2" s="3104"/>
    </row>
    <row r="3" spans="1:6" ht="14.25">
      <c r="A3" s="3105" t="s">
        <v>2979</v>
      </c>
      <c r="B3" s="3106" t="e">
        <f ca="1">ROUND(B2*10000/E3,0)</f>
        <v>#DIV/0!</v>
      </c>
      <c r="C3" s="3105" t="s">
        <v>2078</v>
      </c>
      <c r="D3" s="3105" t="s">
        <v>2947</v>
      </c>
      <c r="E3" s="3106">
        <f ca="1">SUMIF(E7:E14,"&lt;&gt;#ref!",E7:E14)</f>
        <v>0</v>
      </c>
      <c r="F3" s="3104"/>
    </row>
    <row r="4" spans="1:6" ht="14.25">
      <c r="A4" s="3105" t="s">
        <v>2954</v>
      </c>
      <c r="B4" s="3106" t="e">
        <f ca="1">ROUND(B2*10000/E4,0)</f>
        <v>#DIV/0!</v>
      </c>
      <c r="C4" s="3105" t="s">
        <v>2078</v>
      </c>
      <c r="D4" s="3105" t="s">
        <v>2955</v>
      </c>
      <c r="E4" s="3106">
        <f ca="1">SUMIF(F7:F14,"&lt;&gt;#ref!",F7:F14)</f>
        <v>0</v>
      </c>
      <c r="F4" s="3104"/>
    </row>
    <row r="5" spans="1:6" ht="14.25">
      <c r="A5" s="3107"/>
      <c r="B5" s="1879"/>
      <c r="C5" s="1879"/>
      <c r="D5" s="1879"/>
      <c r="E5" s="1879"/>
      <c r="F5" s="3104"/>
    </row>
    <row r="6" spans="1:6" ht="28.5">
      <c r="A6" s="3108" t="s">
        <v>2951</v>
      </c>
      <c r="B6" s="3105" t="s">
        <v>2948</v>
      </c>
      <c r="C6" s="3106"/>
      <c r="D6" s="1879"/>
      <c r="E6" s="3105" t="s">
        <v>2949</v>
      </c>
      <c r="F6" s="3105" t="s">
        <v>2953</v>
      </c>
    </row>
    <row r="7" spans="1:6" ht="14.25">
      <c r="A7" s="259" t="s">
        <v>2952</v>
      </c>
      <c r="B7" s="3109" t="e">
        <f ca="1">SUMIF(INDIRECT("'"&amp;A7&amp;"'"&amp;"!A:A"),"总价",INDIRECT("'"&amp;A7&amp;"'"&amp;"!B:B"))</f>
        <v>#DIV/0!</v>
      </c>
      <c r="C7" s="3105" t="s">
        <v>2946</v>
      </c>
      <c r="D7" s="1879"/>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2946</v>
      </c>
      <c r="D8" s="1879"/>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2946</v>
      </c>
      <c r="D9" s="1879"/>
      <c r="E9" s="3110" t="e">
        <f t="shared" ca="1" si="1"/>
        <v>#REF!</v>
      </c>
      <c r="F9" s="3110" t="e">
        <f t="shared" ca="1" si="2"/>
        <v>#REF!</v>
      </c>
    </row>
    <row r="10" spans="1:6" ht="14.25">
      <c r="A10" s="259"/>
      <c r="B10" s="3109" t="e">
        <f t="shared" ca="1" si="0"/>
        <v>#REF!</v>
      </c>
      <c r="C10" s="3105" t="s">
        <v>2946</v>
      </c>
      <c r="D10" s="1879"/>
      <c r="E10" s="3110" t="e">
        <f t="shared" ca="1" si="1"/>
        <v>#REF!</v>
      </c>
      <c r="F10" s="3110" t="e">
        <f t="shared" ca="1" si="2"/>
        <v>#REF!</v>
      </c>
    </row>
    <row r="11" spans="1:6" ht="14.25">
      <c r="A11" s="259"/>
      <c r="B11" s="3109" t="e">
        <f t="shared" ca="1" si="0"/>
        <v>#REF!</v>
      </c>
      <c r="C11" s="3105" t="s">
        <v>2946</v>
      </c>
      <c r="D11" s="1879"/>
      <c r="E11" s="3110" t="e">
        <f t="shared" ca="1" si="1"/>
        <v>#REF!</v>
      </c>
      <c r="F11" s="3110" t="e">
        <f t="shared" ca="1" si="2"/>
        <v>#REF!</v>
      </c>
    </row>
    <row r="12" spans="1:6" ht="14.25">
      <c r="A12" s="259"/>
      <c r="B12" s="3109" t="e">
        <f t="shared" ca="1" si="0"/>
        <v>#REF!</v>
      </c>
      <c r="C12" s="3105" t="s">
        <v>2946</v>
      </c>
      <c r="D12" s="1879"/>
      <c r="E12" s="3110" t="e">
        <f t="shared" ca="1" si="1"/>
        <v>#REF!</v>
      </c>
      <c r="F12" s="3110" t="e">
        <f t="shared" ca="1" si="2"/>
        <v>#REF!</v>
      </c>
    </row>
    <row r="13" spans="1:6" ht="14.25">
      <c r="A13" s="259"/>
      <c r="B13" s="3109" t="e">
        <f t="shared" ca="1" si="0"/>
        <v>#REF!</v>
      </c>
      <c r="C13" s="3105" t="s">
        <v>2946</v>
      </c>
      <c r="D13" s="1879"/>
      <c r="E13" s="3110" t="e">
        <f t="shared" ca="1" si="1"/>
        <v>#REF!</v>
      </c>
      <c r="F13" s="3110" t="e">
        <f t="shared" ca="1" si="2"/>
        <v>#REF!</v>
      </c>
    </row>
    <row r="14" spans="1:6" ht="14.25">
      <c r="A14" s="3103"/>
      <c r="B14" s="3109" t="e">
        <f t="shared" ca="1" si="0"/>
        <v>#REF!</v>
      </c>
      <c r="C14" s="3105" t="s">
        <v>2946</v>
      </c>
      <c r="D14" s="1879"/>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12" sqref="I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2374</v>
      </c>
      <c r="F1" s="2386">
        <f ca="1">J54</f>
        <v>-1.5</v>
      </c>
      <c r="G1" s="773">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1" t="s">
        <v>629</v>
      </c>
      <c r="B2" s="774">
        <f ca="1">IF(ISERROR(C45+J31),0,C45+J31)</f>
        <v>0</v>
      </c>
      <c r="C2" s="1349"/>
      <c r="D2" s="2053"/>
      <c r="E2" s="2054"/>
      <c r="F2" s="2054"/>
      <c r="G2" s="1587"/>
      <c r="H2" s="1361"/>
      <c r="I2" s="2055"/>
      <c r="J2" s="2055"/>
      <c r="K2" s="2056"/>
      <c r="L2" s="2055"/>
      <c r="M2" s="2055"/>
    </row>
    <row r="3" spans="1:25" ht="18" customHeight="1">
      <c r="A3" s="1642" t="s">
        <v>1687</v>
      </c>
      <c r="B3" s="1388">
        <f ca="1">ROUND(B2*10000/'数据-汇总表'!E3,0)</f>
        <v>0</v>
      </c>
      <c r="C3" s="1349"/>
      <c r="D3" s="2053"/>
      <c r="E3" s="2054"/>
      <c r="F3" s="2054"/>
      <c r="G3" s="1587"/>
      <c r="H3" s="775" t="s">
        <v>695</v>
      </c>
      <c r="I3" s="2055"/>
      <c r="J3" s="2055"/>
      <c r="K3" s="2056"/>
      <c r="L3" s="2055"/>
      <c r="M3" s="2055"/>
    </row>
    <row r="4" spans="1:25" ht="18" customHeight="1">
      <c r="A4" s="1643" t="s">
        <v>696</v>
      </c>
      <c r="B4" s="1350">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697</v>
      </c>
      <c r="D5" s="2053"/>
      <c r="E5" s="2054"/>
      <c r="F5" s="2054"/>
      <c r="G5" s="1587"/>
      <c r="H5" s="775"/>
      <c r="I5" s="2055"/>
      <c r="J5" s="2055"/>
      <c r="K5" s="2056"/>
      <c r="L5" s="2055"/>
      <c r="M5" s="2055"/>
    </row>
    <row r="6" spans="1:25" ht="18" customHeight="1">
      <c r="A6" s="1826" t="s">
        <v>698</v>
      </c>
      <c r="B6" s="1818" t="s">
        <v>699</v>
      </c>
      <c r="C6" s="1818" t="s">
        <v>632</v>
      </c>
      <c r="D6" s="1818" t="s">
        <v>633</v>
      </c>
      <c r="E6" s="778" t="s">
        <v>634</v>
      </c>
      <c r="F6" s="779"/>
      <c r="G6" s="1589"/>
      <c r="H6" s="1826" t="s">
        <v>630</v>
      </c>
      <c r="I6" s="1818" t="s">
        <v>631</v>
      </c>
      <c r="J6" s="1818" t="s">
        <v>632</v>
      </c>
      <c r="K6" s="1818" t="s">
        <v>633</v>
      </c>
      <c r="L6" s="778" t="s">
        <v>634</v>
      </c>
      <c r="M6" s="779"/>
    </row>
    <row r="7" spans="1:25" ht="18" customHeight="1">
      <c r="A7" s="780">
        <v>1</v>
      </c>
      <c r="B7" s="781" t="s">
        <v>2458</v>
      </c>
      <c r="C7" s="53">
        <f ca="1">C8+C12+C14</f>
        <v>0</v>
      </c>
      <c r="D7" s="2494" t="s">
        <v>2461</v>
      </c>
      <c r="E7" s="2488"/>
      <c r="F7" s="2489"/>
      <c r="G7" s="1589"/>
      <c r="H7" s="780">
        <v>1</v>
      </c>
      <c r="I7" s="781" t="s">
        <v>2458</v>
      </c>
      <c r="J7" s="53">
        <f ca="1">J8+J12+J14</f>
        <v>0</v>
      </c>
      <c r="K7" s="2494" t="s">
        <v>2461</v>
      </c>
      <c r="L7" s="2488"/>
      <c r="M7" s="2489"/>
    </row>
    <row r="8" spans="1:25" ht="18" customHeight="1">
      <c r="A8" s="1828" t="s">
        <v>1825</v>
      </c>
      <c r="B8" s="3732" t="s">
        <v>2463</v>
      </c>
      <c r="C8" s="1823">
        <f ca="1">ROUND(F8*F10*F9*(1-F11)/10000,0)</f>
        <v>0</v>
      </c>
      <c r="D8" s="1820" t="s">
        <v>2534</v>
      </c>
      <c r="E8" s="61" t="s">
        <v>637</v>
      </c>
      <c r="F8" s="784">
        <f ca="1">INDIRECT("'数据-取费表'!u"&amp;$G$1)</f>
        <v>0</v>
      </c>
      <c r="G8" s="1589"/>
      <c r="H8" s="2502" t="s">
        <v>1825</v>
      </c>
      <c r="I8" s="3732" t="s">
        <v>2463</v>
      </c>
      <c r="J8" s="782">
        <f ca="1">ROUND(M8*M10*M9*(1-M11)/10000,0)</f>
        <v>0</v>
      </c>
      <c r="K8" s="340" t="s">
        <v>2534</v>
      </c>
      <c r="L8" s="783" t="s">
        <v>1739</v>
      </c>
      <c r="M8" s="784">
        <f ca="1">INDIRECT("'数据-取费表'!z"&amp;$G$1)</f>
        <v>0</v>
      </c>
    </row>
    <row r="9" spans="1:25" ht="18" customHeight="1">
      <c r="A9" s="2498"/>
      <c r="B9" s="3733"/>
      <c r="C9" s="1824"/>
      <c r="D9" s="1821"/>
      <c r="E9" s="61" t="s">
        <v>638</v>
      </c>
      <c r="F9" s="784">
        <f ca="1">IF(INDIRECT("'数据-取费表'!ah"&amp;$G$1)="",INDIRECT("'数据-取费表'!k"&amp;$G$1),INDIRECT("'数据-取费表'!ah"&amp;$G$1))</f>
        <v>0</v>
      </c>
      <c r="G9" s="1589"/>
      <c r="H9" s="2487"/>
      <c r="I9" s="3733"/>
      <c r="J9" s="787"/>
      <c r="K9" s="788"/>
      <c r="L9" s="783" t="s">
        <v>1740</v>
      </c>
      <c r="M9" s="784">
        <f ca="1">F9</f>
        <v>0</v>
      </c>
    </row>
    <row r="10" spans="1:25" ht="18" customHeight="1">
      <c r="A10" s="2491"/>
      <c r="B10" s="3734"/>
      <c r="C10" s="1824"/>
      <c r="D10" s="1821"/>
      <c r="E10" s="61" t="s">
        <v>639</v>
      </c>
      <c r="F10" s="784">
        <f ca="1">INDIRECT("'数据-取费表'!ai"&amp;$G$1)</f>
        <v>0</v>
      </c>
      <c r="G10" s="1589"/>
      <c r="H10" s="2487"/>
      <c r="I10" s="3734"/>
      <c r="J10" s="787"/>
      <c r="K10" s="788"/>
      <c r="L10" s="783" t="s">
        <v>1741</v>
      </c>
      <c r="M10" s="784">
        <f ca="1">INDIRECT("'数据-取费表'!ai"&amp;$G$1)</f>
        <v>0</v>
      </c>
    </row>
    <row r="11" spans="1:25" ht="18" customHeight="1">
      <c r="A11" s="785"/>
      <c r="B11" s="3735"/>
      <c r="C11" s="1824"/>
      <c r="D11" s="1821"/>
      <c r="E11" s="61" t="s">
        <v>640</v>
      </c>
      <c r="F11" s="793">
        <f ca="1">INDIRECT("'数据-取费表'!w"&amp;$G$1)</f>
        <v>0</v>
      </c>
      <c r="G11" s="1589"/>
      <c r="H11" s="2503"/>
      <c r="I11" s="3734"/>
      <c r="J11" s="787"/>
      <c r="K11" s="788"/>
      <c r="L11" s="794" t="s">
        <v>1742</v>
      </c>
      <c r="M11" s="795">
        <f ca="1">INDIRECT("'数据-取费表'!ab"&amp;$G$1)</f>
        <v>0</v>
      </c>
    </row>
    <row r="12" spans="1:25" ht="18" customHeight="1">
      <c r="A12" s="1828" t="s">
        <v>1826</v>
      </c>
      <c r="B12" s="2492" t="s">
        <v>2459</v>
      </c>
      <c r="C12" s="798">
        <f ca="1">ROUND(IF(F12="押一",C8/12*F13,IF(F12="押二",C8/12*2*F13,IF(F12="押三",C8/12*3*F13,C13*F13))),0)</f>
        <v>0</v>
      </c>
      <c r="D12" s="2499" t="s">
        <v>2975</v>
      </c>
      <c r="E12" s="2496" t="s">
        <v>2464</v>
      </c>
      <c r="F12" s="2619"/>
      <c r="G12" s="1589"/>
      <c r="H12" s="2559" t="s">
        <v>1826</v>
      </c>
      <c r="I12" s="2564" t="s">
        <v>2459</v>
      </c>
      <c r="J12" s="782">
        <f ca="1">ROUND(IF(M12="押一",J8/12*M13,IF(M12="押二",J8/12*2*M13,IF(M12="押三",J8/12*3*M13,J13*M13))),0)</f>
        <v>0</v>
      </c>
      <c r="K12" s="2499" t="s">
        <v>2975</v>
      </c>
      <c r="L12" s="2496" t="s">
        <v>2464</v>
      </c>
      <c r="M12" s="2619"/>
    </row>
    <row r="13" spans="1:25" ht="18" customHeight="1">
      <c r="A13" s="789"/>
      <c r="B13" s="2493" t="s">
        <v>2573</v>
      </c>
      <c r="C13" s="2497"/>
      <c r="D13" s="788"/>
      <c r="E13" s="2496" t="s">
        <v>2456</v>
      </c>
      <c r="F13" s="795">
        <f ca="1">'数据-取费表'!B39</f>
        <v>1.4999999999999999E-2</v>
      </c>
      <c r="G13" s="1589"/>
      <c r="H13" s="2560"/>
      <c r="I13" s="2493" t="s">
        <v>2573</v>
      </c>
      <c r="J13" s="2497"/>
      <c r="K13" s="2561"/>
      <c r="L13" s="2496" t="s">
        <v>2456</v>
      </c>
      <c r="M13" s="2490">
        <f ca="1">'数据-取费表'!B39</f>
        <v>1.4999999999999999E-2</v>
      </c>
    </row>
    <row r="14" spans="1:25" ht="18" customHeight="1" thickBot="1">
      <c r="A14" s="2535" t="s">
        <v>2467</v>
      </c>
      <c r="B14" s="2536" t="s">
        <v>2460</v>
      </c>
      <c r="C14" s="2537"/>
      <c r="D14" s="2538"/>
      <c r="E14" s="2539"/>
      <c r="F14" s="2540"/>
      <c r="G14" s="1589"/>
      <c r="H14" s="2549" t="s">
        <v>2467</v>
      </c>
      <c r="I14" s="2562" t="s">
        <v>2460</v>
      </c>
      <c r="J14" s="2563"/>
      <c r="K14" s="2538"/>
      <c r="L14" s="2539"/>
      <c r="M14" s="2552"/>
    </row>
    <row r="15" spans="1:25" ht="18" customHeight="1" thickTop="1">
      <c r="A15" s="1827" t="s">
        <v>1875</v>
      </c>
      <c r="B15" s="1825" t="s">
        <v>641</v>
      </c>
      <c r="C15" s="791">
        <f ca="1">ROUND(C31*F15,0)</f>
        <v>0</v>
      </c>
      <c r="D15" s="1832" t="s">
        <v>642</v>
      </c>
      <c r="E15" s="794" t="s">
        <v>643</v>
      </c>
      <c r="F15" s="799">
        <f ca="1">INDIRECT("'数据-取费表'!y"&amp;$G$1)</f>
        <v>0</v>
      </c>
      <c r="G15" s="1589"/>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89"/>
      <c r="H16" s="802" t="s">
        <v>2069</v>
      </c>
      <c r="I16" s="2229" t="s">
        <v>2824</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0"/>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89"/>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0"/>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0"/>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89"/>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0"/>
      <c r="H22" s="1830" t="s">
        <v>1851</v>
      </c>
      <c r="I22" s="1820" t="s">
        <v>668</v>
      </c>
      <c r="J22" s="54">
        <f ca="1">ROUND(M22*M23/10000,0)</f>
        <v>0</v>
      </c>
      <c r="K22" s="813" t="s">
        <v>669</v>
      </c>
      <c r="L22" s="783" t="s">
        <v>670</v>
      </c>
      <c r="M22" s="639">
        <f>'数据-取费表'!B52</f>
        <v>7</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0.01</v>
      </c>
      <c r="G23" s="1590"/>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70" t="str">
        <f>IF(F25&lt;=1,"单利计息。","复利计息。")&amp;"建造成本、管理费用、销售费用产生的利息。"</f>
        <v>复利计息。建造成本、管理费用、销售费用产生的利息。</v>
      </c>
      <c r="E24" s="1980"/>
      <c r="F24" s="56"/>
      <c r="G24" s="1589"/>
      <c r="H24" s="1829" t="s">
        <v>2070</v>
      </c>
      <c r="I24" s="783" t="s">
        <v>676</v>
      </c>
      <c r="J24" s="53">
        <f ca="1">ROUND(J16*M24,0)</f>
        <v>0</v>
      </c>
      <c r="K24" s="1975" t="s">
        <v>677</v>
      </c>
      <c r="L24" s="783" t="s">
        <v>649</v>
      </c>
      <c r="M24" s="816">
        <f ca="1">INDIRECT("'数据-取费表'!Ak"&amp;$G$1)</f>
        <v>0</v>
      </c>
    </row>
    <row r="25" spans="1:25" s="2062" customFormat="1" ht="18" customHeight="1">
      <c r="A25" s="802" t="s">
        <v>1876</v>
      </c>
      <c r="B25" s="783" t="s">
        <v>2437</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1.5</v>
      </c>
      <c r="G25" s="1590"/>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4.0000000000000002E-4</v>
      </c>
      <c r="D26" s="2569" t="str">
        <f>IF(F25&lt;=1,"销售费用×利率×(建设周期÷2)","销售费用×((1+利率)^(建设周期÷2)-1)")</f>
        <v>销售费用×((1+利率)^(建设周期÷2)-1)</v>
      </c>
      <c r="E26" s="783" t="s">
        <v>682</v>
      </c>
      <c r="F26" s="818">
        <f ca="1">'数据-取费表'!B40</f>
        <v>4.7500000000000001E-2</v>
      </c>
      <c r="G26" s="1590"/>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89"/>
      <c r="H27" s="796" t="s">
        <v>1829</v>
      </c>
      <c r="I27" s="3009" t="s">
        <v>2821</v>
      </c>
      <c r="J27" s="798">
        <f ca="1">J7-J18</f>
        <v>0</v>
      </c>
      <c r="K27" s="1977" t="s">
        <v>700</v>
      </c>
      <c r="L27" s="1979"/>
      <c r="M27" s="819"/>
    </row>
    <row r="28" spans="1:25" ht="18" customHeight="1">
      <c r="A28" s="802" t="s">
        <v>1876</v>
      </c>
      <c r="B28" s="783" t="s">
        <v>2438</v>
      </c>
      <c r="C28" s="53">
        <f ca="1">ROUND((C21+C22)*F28,0)</f>
        <v>0</v>
      </c>
      <c r="D28" s="811" t="s">
        <v>701</v>
      </c>
      <c r="E28" s="794" t="s">
        <v>702</v>
      </c>
      <c r="F28" s="793">
        <f ca="1">INDIRECT("'数据-取费表'!q"&amp;$G$1)</f>
        <v>0</v>
      </c>
      <c r="G28" s="1589"/>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89"/>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0"/>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2822</v>
      </c>
      <c r="C31" s="2542">
        <f ca="1">ROUND((C21+C22+C25+C28)/(1-F23-C26-C29-C30),0)</f>
        <v>0</v>
      </c>
      <c r="D31" s="2543"/>
      <c r="E31" s="2544"/>
      <c r="F31" s="2545"/>
      <c r="G31" s="1590"/>
      <c r="H31" s="822" t="s">
        <v>1873</v>
      </c>
      <c r="I31" s="3010" t="s">
        <v>2823</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7</v>
      </c>
      <c r="G36" s="2060"/>
      <c r="H36" s="2063"/>
      <c r="I36" s="3731"/>
      <c r="J36" s="2077"/>
      <c r="K36" s="2078"/>
      <c r="L36" s="2077"/>
      <c r="M36" s="2077"/>
    </row>
    <row r="37" spans="1:18" ht="18" customHeight="1">
      <c r="A37" s="814"/>
      <c r="B37" s="792"/>
      <c r="C37" s="69"/>
      <c r="D37" s="815"/>
      <c r="E37" s="783" t="s">
        <v>674</v>
      </c>
      <c r="F37" s="784">
        <f ca="1">INDIRECT("'数据-取费表'!r"&amp;$G$1)</f>
        <v>0</v>
      </c>
      <c r="G37" s="2060"/>
      <c r="H37" s="2063"/>
      <c r="I37" s="3731"/>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4" t="s">
        <v>712</v>
      </c>
      <c r="E43" s="3121" t="s">
        <v>2963</v>
      </c>
      <c r="F43" s="3122">
        <f ca="1">INDIRECT("'数据-取费表'!j"&amp;$G$1)</f>
        <v>0</v>
      </c>
      <c r="G43" s="2060"/>
      <c r="H43" s="2060"/>
      <c r="I43" s="2060"/>
      <c r="J43" s="2060"/>
      <c r="K43" s="2081"/>
      <c r="L43" s="2060"/>
      <c r="M43" s="2060"/>
    </row>
    <row r="44" spans="1:18" ht="18" customHeight="1">
      <c r="A44" s="802" t="s">
        <v>1879</v>
      </c>
      <c r="B44" s="834" t="s">
        <v>713</v>
      </c>
      <c r="C44" s="1355">
        <f ca="1">C42-C43</f>
        <v>0</v>
      </c>
      <c r="D44" s="462" t="s">
        <v>714</v>
      </c>
      <c r="E44" s="463"/>
      <c r="F44" s="464"/>
      <c r="G44" s="2060"/>
      <c r="H44" s="2060"/>
      <c r="I44" s="2060"/>
      <c r="J44" s="2060"/>
      <c r="K44" s="2081"/>
      <c r="L44" s="2060"/>
      <c r="M44" s="2060"/>
    </row>
    <row r="45" spans="1:18" ht="18" customHeight="1">
      <c r="A45" s="802" t="s">
        <v>1880</v>
      </c>
      <c r="B45" s="1354" t="s">
        <v>715</v>
      </c>
      <c r="C45" s="3036">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123" t="s">
        <v>2966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3159" t="str">
        <f ca="1">IF(M48="住宅",0,IF(L49&gt;J52,L61,J61))</f>
        <v>0</v>
      </c>
      <c r="O47" s="2392" t="s">
        <v>2410</v>
      </c>
      <c r="P47" s="1589"/>
      <c r="Q47" s="1601"/>
      <c r="R47" s="1589"/>
    </row>
    <row r="48" spans="1:18" s="2057" customFormat="1" ht="18" customHeight="1" thickBot="1">
      <c r="A48" s="2082"/>
      <c r="C48" s="2085"/>
      <c r="D48" s="2086"/>
      <c r="E48" s="2086"/>
      <c r="F48" s="2087"/>
      <c r="G48" s="2088"/>
      <c r="I48" s="3149" t="s">
        <v>2344</v>
      </c>
      <c r="J48" s="2379"/>
      <c r="K48" s="3156" t="s">
        <v>2349</v>
      </c>
      <c r="L48" s="3160">
        <f ca="1">INDIRECT("'数据-取费表'!d"&amp;$G$1)</f>
        <v>0</v>
      </c>
      <c r="M48" s="3120" t="str">
        <f>IF(ISNUMBER(FIND("住宅",C1)),"住宅","非住宅")</f>
        <v>非住宅</v>
      </c>
      <c r="O48" s="2393" t="s">
        <v>2375</v>
      </c>
      <c r="P48" s="2394" t="s">
        <v>2376</v>
      </c>
      <c r="Q48" s="2395" t="s">
        <v>2377</v>
      </c>
      <c r="R48" s="2394" t="s">
        <v>2378</v>
      </c>
    </row>
    <row r="49" spans="1:18" s="2057" customFormat="1" ht="18" customHeight="1" thickBot="1">
      <c r="A49" s="2082"/>
      <c r="D49" s="2089"/>
      <c r="E49" s="2090"/>
      <c r="F49" s="2087"/>
      <c r="G49" s="2088"/>
      <c r="H49" s="2091"/>
      <c r="I49" s="3125" t="s">
        <v>2345</v>
      </c>
      <c r="J49" s="2380"/>
      <c r="K49" s="3157" t="s">
        <v>2351</v>
      </c>
      <c r="L49" s="1906">
        <f ca="1">INDIRECT("'数据-取费表'!f"&amp;$G$1)</f>
        <v>0</v>
      </c>
      <c r="O49" s="2396" t="s">
        <v>2379</v>
      </c>
      <c r="P49" s="2397" t="s">
        <v>2405</v>
      </c>
      <c r="Q49" s="2398">
        <f ca="1">C41+J31</f>
        <v>0</v>
      </c>
      <c r="R49" s="2397" t="s">
        <v>2380</v>
      </c>
    </row>
    <row r="50" spans="1:18" s="2057" customFormat="1" ht="18" customHeight="1" thickBot="1">
      <c r="A50" s="2082"/>
      <c r="D50" s="2092"/>
      <c r="E50" s="2092"/>
      <c r="F50" s="2086"/>
      <c r="G50" s="2093"/>
      <c r="H50" s="2091"/>
      <c r="I50" s="3125" t="s">
        <v>2346</v>
      </c>
      <c r="J50" s="2381"/>
      <c r="K50" s="3158" t="s">
        <v>2352</v>
      </c>
      <c r="L50" s="2382"/>
      <c r="O50" s="2396" t="s">
        <v>2381</v>
      </c>
      <c r="P50" s="2397" t="s">
        <v>2406</v>
      </c>
      <c r="Q50" s="2398" t="str">
        <f ca="1">J61</f>
        <v>0</v>
      </c>
      <c r="R50" s="2397" t="s">
        <v>2382</v>
      </c>
    </row>
    <row r="51" spans="1:18" s="2057" customFormat="1" ht="18" customHeight="1" thickBot="1">
      <c r="A51" s="2094"/>
      <c r="D51" s="2092"/>
      <c r="E51" s="2092"/>
      <c r="F51" s="2083"/>
      <c r="H51" s="2091"/>
      <c r="I51" s="3125" t="s">
        <v>2347</v>
      </c>
      <c r="J51" s="3153">
        <f>SUMPRODUCT((I64:I66=J48)*(J63:L63=J49)*(J64:L66))</f>
        <v>0</v>
      </c>
      <c r="K51" s="3158" t="s">
        <v>2353</v>
      </c>
      <c r="L51" s="2382"/>
      <c r="O51" s="2399" t="s">
        <v>2383</v>
      </c>
      <c r="P51" s="2397" t="s">
        <v>2407</v>
      </c>
      <c r="Q51" s="2398">
        <f ca="1">C31</f>
        <v>0</v>
      </c>
      <c r="R51" s="2397" t="s">
        <v>2380</v>
      </c>
    </row>
    <row r="52" spans="1:18" s="2057" customFormat="1" ht="18" customHeight="1" thickBot="1">
      <c r="A52" s="2094"/>
      <c r="F52" s="2083"/>
      <c r="I52" s="3150" t="s">
        <v>2348</v>
      </c>
      <c r="J52" s="3154">
        <f>IF(J50="",J51,J50+J51-YEAR('数据-取费表'!B3))</f>
        <v>0</v>
      </c>
      <c r="K52" s="3125" t="s">
        <v>2354</v>
      </c>
      <c r="L52" s="3161">
        <f ca="1">ROUND(-PV(INDIRECT("'数据-取费表'!h"&amp;$G$1),L49,(C40-C14*J36),0),0)</f>
        <v>0</v>
      </c>
      <c r="O52" s="2399" t="s">
        <v>2384</v>
      </c>
      <c r="P52" s="2397" t="s">
        <v>2385</v>
      </c>
      <c r="Q52" s="2400" t="e">
        <f ca="1">J59</f>
        <v>#VALUE!</v>
      </c>
      <c r="R52" s="2401"/>
    </row>
    <row r="53" spans="1:18" s="2057" customFormat="1" ht="18" customHeight="1" thickBot="1">
      <c r="A53" s="2094"/>
      <c r="F53" s="2083"/>
      <c r="I53" s="3151" t="s">
        <v>2421</v>
      </c>
      <c r="J53" s="2383"/>
      <c r="K53" s="3151" t="s">
        <v>2420</v>
      </c>
      <c r="L53" s="2383"/>
      <c r="O53" s="2399" t="s">
        <v>2386</v>
      </c>
      <c r="P53" s="2397" t="s">
        <v>2387</v>
      </c>
      <c r="Q53" s="2400">
        <f>J53</f>
        <v>0</v>
      </c>
      <c r="R53" s="2401"/>
    </row>
    <row r="54" spans="1:18" s="2057" customFormat="1" ht="29.25" thickBot="1">
      <c r="A54" s="2094"/>
      <c r="I54" s="3152" t="s">
        <v>2980</v>
      </c>
      <c r="J54" s="3155">
        <f ca="1">IF(M48="住宅",MAX(J52,L49-'数据-取费表'!B20),MIN(J52,L49-'数据-取费表'!B20))</f>
        <v>-1.5</v>
      </c>
      <c r="K54" s="3736"/>
      <c r="L54" s="3737"/>
      <c r="O54" s="2399" t="s">
        <v>2388</v>
      </c>
      <c r="P54" s="2397" t="s">
        <v>2389</v>
      </c>
      <c r="Q54" s="2398">
        <f ca="1">J54</f>
        <v>-1.5</v>
      </c>
      <c r="R54" s="2397" t="s">
        <v>2390</v>
      </c>
    </row>
    <row r="55" spans="1:18" s="2057" customFormat="1" ht="18" customHeight="1" thickBot="1">
      <c r="A55" s="2094"/>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2391</v>
      </c>
      <c r="P55" s="2397" t="s">
        <v>2408</v>
      </c>
      <c r="Q55" s="2398">
        <f ca="1">Q49+Q50</f>
        <v>0</v>
      </c>
      <c r="R55" s="2401" t="s">
        <v>2392</v>
      </c>
    </row>
    <row r="56" spans="1:18" s="2057" customFormat="1" ht="16.5" thickBot="1">
      <c r="A56" s="2094"/>
      <c r="B56" s="2095"/>
      <c r="C56" s="2095"/>
      <c r="I56" s="3164" t="s">
        <v>2355</v>
      </c>
      <c r="J56" s="3100" t="e">
        <f ca="1">ROUND(IF(J48="钢混",J58/J51,1-(1-2%)*(J51-J58)/J51),3)</f>
        <v>#VALUE!</v>
      </c>
      <c r="K56" s="3165" t="s">
        <v>2356</v>
      </c>
      <c r="L56" s="2384"/>
      <c r="O56" s="2402" t="s">
        <v>2411</v>
      </c>
      <c r="P56" s="1589"/>
      <c r="Q56" s="1601"/>
      <c r="R56" s="1589"/>
    </row>
    <row r="57" spans="1:18" s="2057" customFormat="1" ht="43.5" thickBot="1">
      <c r="A57" s="2094"/>
      <c r="B57" s="2095"/>
      <c r="C57" s="2095"/>
      <c r="I57" s="3166" t="s">
        <v>2357</v>
      </c>
      <c r="J57" s="3176" t="s">
        <v>1679</v>
      </c>
      <c r="K57" s="3125" t="s">
        <v>2362</v>
      </c>
      <c r="L57" s="1906">
        <f ca="1">IF(L49&lt;J52,"——",L49-J52)</f>
        <v>0</v>
      </c>
      <c r="O57" s="2393" t="s">
        <v>2375</v>
      </c>
      <c r="P57" s="2394" t="s">
        <v>2376</v>
      </c>
      <c r="Q57" s="2395" t="s">
        <v>2377</v>
      </c>
      <c r="R57" s="2394" t="s">
        <v>2378</v>
      </c>
    </row>
    <row r="58" spans="1:18" s="2057" customFormat="1" ht="29.25" thickBot="1">
      <c r="A58" s="2094"/>
      <c r="B58" s="2095"/>
      <c r="C58" s="2095"/>
      <c r="I58" s="3167" t="s">
        <v>2358</v>
      </c>
      <c r="J58" s="3168" t="str">
        <f ca="1">IF(OR(M48="住宅",J52&lt;L49,J57="是"),"——",J52-L49)</f>
        <v>——</v>
      </c>
      <c r="K58" s="3125" t="s">
        <v>2363</v>
      </c>
      <c r="L58" s="1906">
        <f ca="1">IF(L49&lt;J52,"——",IF(L56="比较法",L50,IF(L56="基准地价",L51,L52)))</f>
        <v>0</v>
      </c>
      <c r="O58" s="2396" t="s">
        <v>2379</v>
      </c>
      <c r="P58" s="2397" t="s">
        <v>2405</v>
      </c>
      <c r="Q58" s="2398">
        <f ca="1">C41+J31</f>
        <v>0</v>
      </c>
      <c r="R58" s="2397" t="s">
        <v>2380</v>
      </c>
    </row>
    <row r="59" spans="1:18" s="2057" customFormat="1" ht="29.25" thickBot="1">
      <c r="A59" s="2094"/>
      <c r="B59" s="2095"/>
      <c r="C59" s="2095"/>
      <c r="I59" s="3167" t="s">
        <v>2359</v>
      </c>
      <c r="J59" s="3101" t="e">
        <f ca="1">IF(J56&lt;0.4,0.4,J56)</f>
        <v>#VALUE!</v>
      </c>
      <c r="K59" s="3125" t="s">
        <v>2364</v>
      </c>
      <c r="L59" s="1906">
        <f ca="1">IF(ISERROR(POWER(1+L53,L48-L49)*(POWER(1+L53,L49)-1)/(POWER(1+L53,L48)-1)),0,POWER(1+L53,L48-L49)*(POWER(1+L53,L49)-1)/(POWER(1+L53,L48)-1))</f>
        <v>0</v>
      </c>
      <c r="O59" s="2396" t="s">
        <v>2381</v>
      </c>
      <c r="P59" s="2397" t="s">
        <v>2412</v>
      </c>
      <c r="Q59" s="2398" t="e">
        <f ca="1">L61</f>
        <v>#DIV/0!</v>
      </c>
      <c r="R59" s="2401" t="s">
        <v>2414</v>
      </c>
    </row>
    <row r="60" spans="1:18" s="2057" customFormat="1" ht="29.25" thickBot="1">
      <c r="A60" s="2094"/>
      <c r="B60" s="2095"/>
      <c r="C60" s="2095"/>
      <c r="I60" s="3167" t="s">
        <v>2360</v>
      </c>
      <c r="J60" s="3168" t="str">
        <f ca="1">IF(OR(M48="住宅",J52&lt;L49,J57="是"),"——",ROUND(C30*J59,0))</f>
        <v>——</v>
      </c>
      <c r="K60" s="3125" t="s">
        <v>2365</v>
      </c>
      <c r="L60" s="1906">
        <f ca="1">IF(ISERROR(POWER(1+L53,L48-J52)*(POWER(1+L53,J52)-1)/(POWER(1+L53,L48)-1)),0,POWER(1+L53,L48-J52)*(POWER(1+L53,J52)-1)/(POWER(1+L53,L48)-1))</f>
        <v>0</v>
      </c>
      <c r="O60" s="2399" t="s">
        <v>2383</v>
      </c>
      <c r="P60" s="2397" t="s">
        <v>2413</v>
      </c>
      <c r="Q60" s="2398">
        <f>IF(L56="比较法",L50,IF(L56="基准地价",L51,0))</f>
        <v>0</v>
      </c>
      <c r="R60" s="2397" t="s">
        <v>2380</v>
      </c>
    </row>
    <row r="61" spans="1:18" s="2057" customFormat="1" ht="15.75" thickBot="1">
      <c r="A61" s="2094"/>
      <c r="B61" s="2095"/>
      <c r="C61" s="2095"/>
      <c r="I61" s="3169" t="s">
        <v>2361</v>
      </c>
      <c r="J61" s="3170" t="str">
        <f ca="1">IF(OR(M48="住宅",J52&lt;L49,J57="是"),"0",ROUND(J60/(1+J53)^J54,0))</f>
        <v>0</v>
      </c>
      <c r="K61" s="3171" t="s">
        <v>2366</v>
      </c>
      <c r="L61" s="3170" t="e">
        <f ca="1">IF(OR(M48="住宅",L49&lt;J52),0,ROUND(L58*(L59/L60-1),0))</f>
        <v>#DIV/0!</v>
      </c>
      <c r="O61" s="2399" t="s">
        <v>2384</v>
      </c>
      <c r="P61" s="2397" t="s">
        <v>2393</v>
      </c>
      <c r="Q61" s="2400">
        <f>L53</f>
        <v>0</v>
      </c>
      <c r="R61" s="2401"/>
    </row>
    <row r="62" spans="1:18" s="2057" customFormat="1" ht="20.25" thickBot="1">
      <c r="A62" s="2094"/>
      <c r="B62" s="2095"/>
      <c r="C62" s="2095"/>
      <c r="K62" s="2084"/>
      <c r="O62" s="2399" t="s">
        <v>2386</v>
      </c>
      <c r="P62" s="2397" t="s">
        <v>2394</v>
      </c>
      <c r="Q62" s="2398">
        <f ca="1">L59</f>
        <v>0</v>
      </c>
      <c r="R62" s="2401" t="s">
        <v>2395</v>
      </c>
    </row>
    <row r="63" spans="1:18" s="2057" customFormat="1" ht="20.25" thickBot="1">
      <c r="A63" s="2094"/>
      <c r="B63" s="2095"/>
      <c r="C63" s="2095"/>
      <c r="I63" s="3172" t="s">
        <v>2367</v>
      </c>
      <c r="J63" s="3173" t="s">
        <v>2368</v>
      </c>
      <c r="K63" s="3173" t="s">
        <v>2369</v>
      </c>
      <c r="L63" s="3173" t="s">
        <v>2350</v>
      </c>
      <c r="M63" s="3174" t="s">
        <v>2943</v>
      </c>
      <c r="O63" s="2399" t="s">
        <v>2388</v>
      </c>
      <c r="P63" s="2397" t="s">
        <v>2396</v>
      </c>
      <c r="Q63" s="2398">
        <f ca="1">L60</f>
        <v>0</v>
      </c>
      <c r="R63" s="2401" t="s">
        <v>2397</v>
      </c>
    </row>
    <row r="64" spans="1:18" s="2057" customFormat="1" ht="15.75" thickBot="1">
      <c r="A64" s="2094"/>
      <c r="B64" s="2095"/>
      <c r="C64" s="2095"/>
      <c r="I64" s="3172" t="s">
        <v>2370</v>
      </c>
      <c r="J64" s="3173">
        <v>70</v>
      </c>
      <c r="K64" s="3173">
        <v>50</v>
      </c>
      <c r="L64" s="3173">
        <v>80</v>
      </c>
      <c r="M64" s="3175">
        <v>0.02</v>
      </c>
      <c r="O64" s="2396" t="s">
        <v>2391</v>
      </c>
      <c r="P64" s="2397" t="s">
        <v>2408</v>
      </c>
      <c r="Q64" s="2398" t="e">
        <f ca="1">Q58+Q59</f>
        <v>#DIV/0!</v>
      </c>
      <c r="R64" s="2401" t="s">
        <v>2392</v>
      </c>
    </row>
    <row r="65" spans="1:18" s="2057" customFormat="1" ht="16.5" thickBot="1">
      <c r="A65" s="2094"/>
      <c r="B65" s="2095"/>
      <c r="C65" s="2095"/>
      <c r="I65" s="3172" t="s">
        <v>2371</v>
      </c>
      <c r="J65" s="3173">
        <v>50</v>
      </c>
      <c r="K65" s="3173">
        <v>35</v>
      </c>
      <c r="L65" s="3173">
        <v>60</v>
      </c>
      <c r="M65" s="845">
        <v>0</v>
      </c>
      <c r="O65" s="2402" t="s">
        <v>2415</v>
      </c>
      <c r="P65" s="1589"/>
      <c r="Q65" s="1601"/>
      <c r="R65" s="1589"/>
    </row>
    <row r="66" spans="1:18" s="2057" customFormat="1" ht="15.75" thickBot="1">
      <c r="A66" s="2094"/>
      <c r="B66" s="2095"/>
      <c r="C66" s="2095"/>
      <c r="I66" s="3172" t="s">
        <v>2372</v>
      </c>
      <c r="J66" s="3173">
        <v>40</v>
      </c>
      <c r="K66" s="3173">
        <v>30</v>
      </c>
      <c r="L66" s="3173">
        <v>50</v>
      </c>
      <c r="M66" s="3175">
        <v>0.02</v>
      </c>
      <c r="O66" s="2393" t="s">
        <v>2375</v>
      </c>
      <c r="P66" s="2394" t="s">
        <v>2376</v>
      </c>
      <c r="Q66" s="2395" t="s">
        <v>2377</v>
      </c>
      <c r="R66" s="2394" t="s">
        <v>2378</v>
      </c>
    </row>
    <row r="67" spans="1:18" s="2057" customFormat="1" ht="15.75" thickBot="1">
      <c r="A67" s="2094"/>
      <c r="B67" s="2095"/>
      <c r="C67" s="2095"/>
      <c r="K67" s="2084"/>
      <c r="O67" s="2396" t="s">
        <v>2379</v>
      </c>
      <c r="P67" s="2397" t="s">
        <v>2405</v>
      </c>
      <c r="Q67" s="2398">
        <f ca="1">C41+J31</f>
        <v>0</v>
      </c>
      <c r="R67" s="2397" t="s">
        <v>2380</v>
      </c>
    </row>
    <row r="68" spans="1:18" s="2057" customFormat="1" ht="20.25" thickBot="1">
      <c r="A68" s="2094"/>
      <c r="B68" s="2095"/>
      <c r="C68" s="2095"/>
      <c r="K68" s="2084"/>
      <c r="O68" s="2396" t="s">
        <v>2381</v>
      </c>
      <c r="P68" s="2397" t="s">
        <v>2412</v>
      </c>
      <c r="Q68" s="2398" t="e">
        <f ca="1">L61</f>
        <v>#DIV/0!</v>
      </c>
      <c r="R68" s="2401" t="s">
        <v>2414</v>
      </c>
    </row>
    <row r="69" spans="1:18" s="2057" customFormat="1" ht="21.75" thickBot="1">
      <c r="A69" s="2094"/>
      <c r="B69" s="2095"/>
      <c r="C69" s="2095"/>
      <c r="K69" s="2084"/>
      <c r="O69" s="2399" t="s">
        <v>2383</v>
      </c>
      <c r="P69" s="2397" t="s">
        <v>2413</v>
      </c>
      <c r="Q69" s="2403">
        <f ca="1">L52</f>
        <v>0</v>
      </c>
      <c r="R69" s="2404" t="s">
        <v>2416</v>
      </c>
    </row>
    <row r="70" spans="1:18" s="2057" customFormat="1" ht="20.25" thickBot="1">
      <c r="A70" s="2094"/>
      <c r="B70" s="2095"/>
      <c r="C70" s="2095"/>
      <c r="K70" s="2084"/>
      <c r="O70" s="2399" t="s">
        <v>2384</v>
      </c>
      <c r="P70" s="2405" t="s">
        <v>2398</v>
      </c>
      <c r="Q70" s="2398">
        <f ca="1">ROUND(Q71-Q72*Q73,0)</f>
        <v>0</v>
      </c>
      <c r="R70" s="2401"/>
    </row>
    <row r="71" spans="1:18" s="2057" customFormat="1" ht="15.75" thickBot="1">
      <c r="A71" s="2094"/>
      <c r="B71" s="2095"/>
      <c r="C71" s="2095"/>
      <c r="K71" s="2084"/>
      <c r="O71" s="2399" t="s">
        <v>2399</v>
      </c>
      <c r="P71" s="2405" t="s">
        <v>2400</v>
      </c>
      <c r="Q71" s="2398">
        <f ca="1">C42</f>
        <v>0</v>
      </c>
      <c r="R71" s="2397" t="s">
        <v>2380</v>
      </c>
    </row>
    <row r="72" spans="1:18" s="2057" customFormat="1" ht="15.75" thickBot="1">
      <c r="A72" s="2094"/>
      <c r="B72" s="2095"/>
      <c r="C72" s="2095"/>
      <c r="K72" s="2084"/>
      <c r="O72" s="2399" t="s">
        <v>2401</v>
      </c>
      <c r="P72" s="2405" t="s">
        <v>2402</v>
      </c>
      <c r="Q72" s="2398">
        <f ca="1">C15</f>
        <v>0</v>
      </c>
      <c r="R72" s="2397" t="s">
        <v>2380</v>
      </c>
    </row>
    <row r="73" spans="1:18" s="2057" customFormat="1" ht="15.75" thickBot="1">
      <c r="A73" s="2094"/>
      <c r="B73" s="2095"/>
      <c r="C73" s="2095"/>
      <c r="K73" s="2084"/>
      <c r="O73" s="2399" t="s">
        <v>2403</v>
      </c>
      <c r="P73" s="2405" t="s">
        <v>2404</v>
      </c>
      <c r="Q73" s="2400">
        <f ca="1">F43</f>
        <v>0</v>
      </c>
      <c r="R73" s="2401"/>
    </row>
    <row r="74" spans="1:18" s="2057" customFormat="1" ht="15.75" thickBot="1">
      <c r="A74" s="2094"/>
      <c r="B74" s="2095"/>
      <c r="C74" s="2095"/>
      <c r="K74" s="2084"/>
      <c r="O74" s="2399" t="s">
        <v>2386</v>
      </c>
      <c r="P74" s="2397" t="s">
        <v>2393</v>
      </c>
      <c r="Q74" s="2400">
        <f>L53</f>
        <v>0</v>
      </c>
      <c r="R74" s="2401"/>
    </row>
    <row r="75" spans="1:18" s="2057" customFormat="1" ht="20.25" thickBot="1">
      <c r="A75" s="2094"/>
      <c r="B75" s="2095"/>
      <c r="C75" s="2095"/>
      <c r="K75" s="2084"/>
      <c r="O75" s="2399" t="s">
        <v>2388</v>
      </c>
      <c r="P75" s="2397" t="s">
        <v>2394</v>
      </c>
      <c r="Q75" s="2398">
        <f ca="1">L59</f>
        <v>0</v>
      </c>
      <c r="R75" s="2401" t="s">
        <v>2395</v>
      </c>
    </row>
    <row r="76" spans="1:18" s="2057" customFormat="1" ht="20.25" thickBot="1">
      <c r="A76" s="2094"/>
      <c r="B76" s="2095"/>
      <c r="C76" s="2095"/>
      <c r="K76" s="2084"/>
      <c r="O76" s="2399" t="s">
        <v>2417</v>
      </c>
      <c r="P76" s="2397" t="s">
        <v>2396</v>
      </c>
      <c r="Q76" s="2398">
        <f ca="1">L60</f>
        <v>0</v>
      </c>
      <c r="R76" s="2401" t="s">
        <v>2397</v>
      </c>
    </row>
    <row r="77" spans="1:18" s="2057" customFormat="1" ht="15.75" thickBot="1">
      <c r="A77" s="2094"/>
      <c r="B77" s="2095"/>
      <c r="C77" s="2095"/>
      <c r="K77" s="2084"/>
      <c r="O77" s="2396" t="s">
        <v>2391</v>
      </c>
      <c r="P77" s="2397" t="s">
        <v>2408</v>
      </c>
      <c r="Q77" s="2398" t="e">
        <f ca="1">Q67+Q68</f>
        <v>#DIV/0!</v>
      </c>
      <c r="R77" s="2401"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740" t="s">
        <v>2576</v>
      </c>
      <c r="C1" s="3740"/>
      <c r="D1" s="3740"/>
      <c r="E1" s="3740"/>
      <c r="F1" s="3740"/>
      <c r="G1" s="3739" t="s">
        <v>2577</v>
      </c>
      <c r="H1" s="3739"/>
      <c r="I1" s="3739"/>
      <c r="J1" s="3739"/>
      <c r="K1" s="3739"/>
      <c r="L1" s="3739"/>
      <c r="N1" s="3739" t="s">
        <v>2578</v>
      </c>
      <c r="O1" s="3739"/>
      <c r="P1" s="3739"/>
      <c r="Q1" s="3739"/>
      <c r="R1" s="2652"/>
      <c r="S1" s="3739" t="s">
        <v>2579</v>
      </c>
      <c r="T1" s="3739"/>
      <c r="U1" s="3739"/>
      <c r="V1" s="3739"/>
      <c r="X1" s="3738" t="s">
        <v>2639</v>
      </c>
      <c r="Y1" s="3739"/>
      <c r="Z1" s="3739"/>
      <c r="AA1" s="3739"/>
      <c r="AB1" s="3739"/>
      <c r="AD1" s="3738" t="s">
        <v>2643</v>
      </c>
      <c r="AE1" s="3739"/>
      <c r="AF1" s="3739"/>
      <c r="AG1" s="3739"/>
      <c r="AH1" s="3739"/>
    </row>
    <row r="2" spans="1:34" s="2754" customFormat="1" ht="14.25" thickBot="1">
      <c r="B2" s="2762" t="s">
        <v>2580</v>
      </c>
      <c r="C2" s="2762" t="s">
        <v>2641</v>
      </c>
      <c r="D2" s="2755" t="s">
        <v>1645</v>
      </c>
      <c r="E2" s="2755" t="s">
        <v>1952</v>
      </c>
      <c r="F2" s="2762" t="s">
        <v>2642</v>
      </c>
      <c r="G2" s="2758"/>
      <c r="H2" s="2757"/>
      <c r="I2" s="2762" t="s">
        <v>2957</v>
      </c>
      <c r="J2" s="2755" t="s">
        <v>2959</v>
      </c>
      <c r="K2" s="2755" t="s">
        <v>2960</v>
      </c>
      <c r="L2" s="2762" t="s">
        <v>2961</v>
      </c>
      <c r="N2" s="2762" t="s">
        <v>2580</v>
      </c>
      <c r="O2" s="2755" t="s">
        <v>2958</v>
      </c>
      <c r="P2" s="2755" t="s">
        <v>1952</v>
      </c>
      <c r="Q2" s="2762" t="s">
        <v>2642</v>
      </c>
      <c r="R2" s="2756"/>
      <c r="S2" s="2762" t="s">
        <v>2580</v>
      </c>
      <c r="T2" s="2755" t="s">
        <v>2958</v>
      </c>
      <c r="U2" s="2755" t="s">
        <v>1952</v>
      </c>
      <c r="V2" s="2762" t="s">
        <v>2642</v>
      </c>
      <c r="X2" s="2762" t="s">
        <v>2580</v>
      </c>
      <c r="Y2" s="2762" t="s">
        <v>2641</v>
      </c>
      <c r="Z2" s="2755" t="s">
        <v>1645</v>
      </c>
      <c r="AA2" s="2755" t="s">
        <v>1952</v>
      </c>
      <c r="AB2" s="2762" t="s">
        <v>2642</v>
      </c>
      <c r="AD2" s="2762" t="s">
        <v>2580</v>
      </c>
      <c r="AE2" s="2762" t="s">
        <v>2641</v>
      </c>
      <c r="AF2" s="2755" t="s">
        <v>1645</v>
      </c>
      <c r="AG2" s="2755" t="s">
        <v>1952</v>
      </c>
      <c r="AH2" s="2762" t="s">
        <v>2642</v>
      </c>
    </row>
    <row r="3" spans="1:34" s="3133" customFormat="1" ht="14.25">
      <c r="A3" s="3145" t="s">
        <v>2970</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2981</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3">
        <v>3</v>
      </c>
      <c r="I5" s="3127">
        <v>1.49</v>
      </c>
      <c r="J5" s="3127">
        <v>0.96</v>
      </c>
      <c r="K5" s="3127">
        <v>1.58</v>
      </c>
      <c r="L5" s="3127">
        <v>2.44</v>
      </c>
      <c r="N5" s="2760">
        <f t="shared" ref="N5" si="6">I5/100</f>
        <v>1.49E-2</v>
      </c>
      <c r="O5" s="2760">
        <f t="shared" ref="O5" si="7">J5/100</f>
        <v>9.5999999999999992E-3</v>
      </c>
      <c r="P5" s="2760">
        <f t="shared" ref="P5" si="8">K5/100</f>
        <v>1.5800000000000002E-2</v>
      </c>
      <c r="Q5" s="2760">
        <f t="shared" ref="Q5" si="9">L5/100</f>
        <v>2.4399999999999998E-2</v>
      </c>
      <c r="R5" s="3115"/>
      <c r="S5" s="3116"/>
      <c r="T5" s="3115"/>
      <c r="U5" s="3115"/>
      <c r="V5" s="3115"/>
      <c r="W5" s="3143" t="s">
        <v>2971</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59" customFormat="1" ht="13.5" thickBot="1">
      <c r="A6" s="2653" t="s">
        <v>2982</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2977</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2968</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2972</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2581</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2582</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747">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742"/>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742"/>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743"/>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741">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742"/>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742"/>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743"/>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741">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742"/>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742"/>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743"/>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2640</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2583</v>
      </c>
      <c r="B24" s="2659">
        <v>299</v>
      </c>
      <c r="C24" s="2659">
        <v>252</v>
      </c>
      <c r="D24" s="2659">
        <f t="shared" si="45"/>
        <v>252</v>
      </c>
      <c r="E24" s="2659">
        <v>409</v>
      </c>
      <c r="F24" s="2660">
        <v>227</v>
      </c>
      <c r="G24" s="3744">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2584</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745"/>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2585</v>
      </c>
      <c r="B26" s="2667">
        <f t="shared" si="54"/>
        <v>288.2649053828776</v>
      </c>
      <c r="C26" s="2667">
        <f t="shared" si="54"/>
        <v>243.64564425013293</v>
      </c>
      <c r="D26" s="2667">
        <f t="shared" si="45"/>
        <v>243.64564425013293</v>
      </c>
      <c r="E26" s="2667">
        <f t="shared" si="55"/>
        <v>393.31080825986544</v>
      </c>
      <c r="F26" s="2667">
        <f t="shared" si="55"/>
        <v>223.07903790551154</v>
      </c>
      <c r="G26" s="3745"/>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2586</v>
      </c>
      <c r="B27" s="2667">
        <f t="shared" si="54"/>
        <v>282.50186729015837</v>
      </c>
      <c r="C27" s="2667">
        <f t="shared" si="54"/>
        <v>238.09796174155468</v>
      </c>
      <c r="D27" s="2667">
        <f t="shared" si="45"/>
        <v>238.09796174155468</v>
      </c>
      <c r="E27" s="2667">
        <f t="shared" si="55"/>
        <v>385.33438646014054</v>
      </c>
      <c r="F27" s="2667">
        <f t="shared" si="55"/>
        <v>221.55034055567739</v>
      </c>
      <c r="G27" s="3746"/>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2587</v>
      </c>
      <c r="B28" s="2697">
        <v>278</v>
      </c>
      <c r="C28" s="2697">
        <v>234</v>
      </c>
      <c r="D28" s="2697">
        <f t="shared" si="45"/>
        <v>234</v>
      </c>
      <c r="E28" s="2697">
        <v>379</v>
      </c>
      <c r="F28" s="2698">
        <v>220</v>
      </c>
      <c r="G28" s="3741">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2588</v>
      </c>
      <c r="B29" s="2667">
        <f>B28/(1+N28)</f>
        <v>275.49301357645425</v>
      </c>
      <c r="C29" s="2667">
        <f>C28/(1+O28)</f>
        <v>232.41954707985698</v>
      </c>
      <c r="D29" s="2667">
        <f t="shared" si="45"/>
        <v>232.41954707985698</v>
      </c>
      <c r="E29" s="2667">
        <f t="shared" ref="E29:F31" si="56">E28/(1+P28)</f>
        <v>375.32184591008121</v>
      </c>
      <c r="F29" s="2667">
        <f t="shared" si="56"/>
        <v>218.03766105054513</v>
      </c>
      <c r="G29" s="3742"/>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2589</v>
      </c>
      <c r="B30" s="2667">
        <f>B29/(1+N29)</f>
        <v>275.24529281292263</v>
      </c>
      <c r="C30" s="2667">
        <f>C29/(1+O29)</f>
        <v>231.74747938962707</v>
      </c>
      <c r="D30" s="2667">
        <f t="shared" si="45"/>
        <v>231.74747938962707</v>
      </c>
      <c r="E30" s="2667">
        <f t="shared" si="56"/>
        <v>375.35938184826603</v>
      </c>
      <c r="F30" s="2667">
        <f t="shared" si="56"/>
        <v>216.78033510692495</v>
      </c>
      <c r="G30" s="3742"/>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2590</v>
      </c>
      <c r="B31" s="2667">
        <f>B30/(1+N30)</f>
        <v>275.19025476197027</v>
      </c>
      <c r="C31" s="2699">
        <v>232</v>
      </c>
      <c r="D31" s="2699">
        <f t="shared" si="45"/>
        <v>232</v>
      </c>
      <c r="E31" s="2667">
        <f t="shared" si="56"/>
        <v>375.65990977608692</v>
      </c>
      <c r="F31" s="2667">
        <f t="shared" si="56"/>
        <v>214.12518283971252</v>
      </c>
      <c r="G31" s="3743"/>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2591</v>
      </c>
      <c r="B32" s="2659">
        <v>275</v>
      </c>
      <c r="C32" s="2659">
        <v>232</v>
      </c>
      <c r="D32" s="2659">
        <f t="shared" si="45"/>
        <v>232</v>
      </c>
      <c r="E32" s="2659">
        <v>376</v>
      </c>
      <c r="F32" s="2660">
        <v>213</v>
      </c>
      <c r="G32" s="3741">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2592</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742">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2593</v>
      </c>
      <c r="B34" s="2667">
        <f t="shared" si="57"/>
        <v>275.19335084830601</v>
      </c>
      <c r="C34" s="2667">
        <f t="shared" si="57"/>
        <v>230.18088050139744</v>
      </c>
      <c r="D34" s="2667">
        <f t="shared" si="45"/>
        <v>230.18088050139744</v>
      </c>
      <c r="E34" s="2667">
        <f t="shared" si="58"/>
        <v>377.58482925212331</v>
      </c>
      <c r="F34" s="2667">
        <f t="shared" si="58"/>
        <v>210.90687997847917</v>
      </c>
      <c r="G34" s="3742">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2594</v>
      </c>
      <c r="B35" s="2667">
        <f t="shared" si="57"/>
        <v>276.29854502841971</v>
      </c>
      <c r="C35" s="2667">
        <f t="shared" si="57"/>
        <v>229.79023709833027</v>
      </c>
      <c r="D35" s="2667">
        <f t="shared" si="45"/>
        <v>229.79023709833027</v>
      </c>
      <c r="E35" s="2667">
        <f t="shared" si="58"/>
        <v>379.78759731655936</v>
      </c>
      <c r="F35" s="2667">
        <f t="shared" si="58"/>
        <v>211.32953905659235</v>
      </c>
      <c r="G35" s="3743">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2595</v>
      </c>
      <c r="B36" s="2659">
        <v>269</v>
      </c>
      <c r="C36" s="2659">
        <v>221</v>
      </c>
      <c r="D36" s="2659">
        <f t="shared" si="45"/>
        <v>221</v>
      </c>
      <c r="E36" s="2659">
        <v>373</v>
      </c>
      <c r="F36" s="2660">
        <v>196</v>
      </c>
      <c r="G36" s="3741">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2596</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742">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2597</v>
      </c>
      <c r="B38" s="2667">
        <f t="shared" si="59"/>
        <v>242.95398227588385</v>
      </c>
      <c r="C38" s="2667">
        <f t="shared" si="59"/>
        <v>199.59137053614126</v>
      </c>
      <c r="D38" s="2667">
        <f t="shared" si="45"/>
        <v>199.59137053614126</v>
      </c>
      <c r="E38" s="2667">
        <f t="shared" si="60"/>
        <v>335.92189522342125</v>
      </c>
      <c r="F38" s="2667">
        <f t="shared" si="60"/>
        <v>183.10139991109489</v>
      </c>
      <c r="G38" s="3742">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2598</v>
      </c>
      <c r="B39" s="2667">
        <f t="shared" si="59"/>
        <v>232.06990378821649</v>
      </c>
      <c r="C39" s="2667">
        <f t="shared" si="59"/>
        <v>192.74878854286936</v>
      </c>
      <c r="D39" s="2667">
        <f t="shared" si="45"/>
        <v>192.74878854286936</v>
      </c>
      <c r="E39" s="2667">
        <f t="shared" si="60"/>
        <v>319.71247284992984</v>
      </c>
      <c r="F39" s="2667">
        <f t="shared" si="60"/>
        <v>175.67053622862409</v>
      </c>
      <c r="G39" s="3743">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2599</v>
      </c>
      <c r="B40" s="2659">
        <v>220</v>
      </c>
      <c r="C40" s="2659">
        <v>187</v>
      </c>
      <c r="D40" s="2659">
        <f t="shared" si="45"/>
        <v>187</v>
      </c>
      <c r="E40" s="2659">
        <v>301</v>
      </c>
      <c r="F40" s="2660">
        <v>168</v>
      </c>
      <c r="G40" s="3741">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2600</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742">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2601</v>
      </c>
      <c r="B42" s="2667">
        <f t="shared" si="61"/>
        <v>210.630522469011</v>
      </c>
      <c r="C42" s="2667">
        <f t="shared" si="61"/>
        <v>181.69567812247232</v>
      </c>
      <c r="D42" s="2667">
        <f t="shared" si="45"/>
        <v>181.69567812247232</v>
      </c>
      <c r="E42" s="2667">
        <f t="shared" si="62"/>
        <v>286.13517466736738</v>
      </c>
      <c r="F42" s="2667">
        <f t="shared" si="62"/>
        <v>165.47535084591149</v>
      </c>
      <c r="G42" s="3742">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2602</v>
      </c>
      <c r="B43" s="2667">
        <f t="shared" si="61"/>
        <v>208.83454537875372</v>
      </c>
      <c r="C43" s="2667">
        <f t="shared" si="61"/>
        <v>183.77230517090351</v>
      </c>
      <c r="D43" s="2667">
        <f t="shared" si="45"/>
        <v>183.77230517090351</v>
      </c>
      <c r="E43" s="2667">
        <f t="shared" si="62"/>
        <v>281.10342338870947</v>
      </c>
      <c r="F43" s="2667">
        <f t="shared" si="62"/>
        <v>168.97309388942256</v>
      </c>
      <c r="G43" s="3743">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2603</v>
      </c>
      <c r="B44" s="2697">
        <v>214</v>
      </c>
      <c r="C44" s="2697">
        <v>188</v>
      </c>
      <c r="D44" s="2697">
        <f t="shared" si="45"/>
        <v>188</v>
      </c>
      <c r="E44" s="2697">
        <v>289</v>
      </c>
      <c r="F44" s="2698">
        <v>166</v>
      </c>
      <c r="G44" s="3741">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2604</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742">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2605</v>
      </c>
      <c r="B46" s="2667">
        <f t="shared" si="63"/>
        <v>206.31694671589116</v>
      </c>
      <c r="C46" s="2667">
        <f t="shared" si="63"/>
        <v>183.61041121036101</v>
      </c>
      <c r="D46" s="2667">
        <f t="shared" si="45"/>
        <v>183.61041121036101</v>
      </c>
      <c r="E46" s="2667">
        <f t="shared" si="64"/>
        <v>276.66850301795557</v>
      </c>
      <c r="F46" s="2667">
        <f t="shared" si="64"/>
        <v>165.1360938278614</v>
      </c>
      <c r="G46" s="3742">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2606</v>
      </c>
      <c r="B47" s="2700">
        <f t="shared" si="63"/>
        <v>196.62341248059772</v>
      </c>
      <c r="C47" s="2700">
        <f t="shared" si="63"/>
        <v>170.99125648199012</v>
      </c>
      <c r="D47" s="2700">
        <f t="shared" si="45"/>
        <v>170.99125648199012</v>
      </c>
      <c r="E47" s="2700">
        <f t="shared" si="64"/>
        <v>266.07857570490052</v>
      </c>
      <c r="F47" s="2700">
        <f t="shared" si="64"/>
        <v>154.53499328828505</v>
      </c>
      <c r="G47" s="3743">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2607</v>
      </c>
      <c r="B48" s="2659">
        <v>188</v>
      </c>
      <c r="C48" s="2659">
        <v>165</v>
      </c>
      <c r="D48" s="2659">
        <f t="shared" si="45"/>
        <v>165</v>
      </c>
      <c r="E48" s="2659">
        <v>254</v>
      </c>
      <c r="F48" s="2660">
        <v>148</v>
      </c>
      <c r="G48" s="3741">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2608</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742">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2609</v>
      </c>
      <c r="B50" s="2667">
        <f t="shared" si="67"/>
        <v>168.82017748715555</v>
      </c>
      <c r="C50" s="2667">
        <f t="shared" si="67"/>
        <v>148.06267029972753</v>
      </c>
      <c r="D50" s="2667">
        <f t="shared" si="45"/>
        <v>148.06267029972753</v>
      </c>
      <c r="E50" s="2667">
        <f t="shared" si="68"/>
        <v>216.46288379323747</v>
      </c>
      <c r="F50" s="2667">
        <f t="shared" si="68"/>
        <v>134.23529411764704</v>
      </c>
      <c r="G50" s="3742">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2610</v>
      </c>
      <c r="B51" s="2667">
        <f t="shared" si="67"/>
        <v>163.84913591779542</v>
      </c>
      <c r="C51" s="2667">
        <f t="shared" si="67"/>
        <v>145.0283378746594</v>
      </c>
      <c r="D51" s="2667">
        <f t="shared" si="45"/>
        <v>145.0283378746594</v>
      </c>
      <c r="E51" s="2667">
        <f t="shared" si="68"/>
        <v>204.95180722891567</v>
      </c>
      <c r="F51" s="2667">
        <f t="shared" si="68"/>
        <v>125.95920303605313</v>
      </c>
      <c r="G51" s="3743">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2611</v>
      </c>
      <c r="B52" s="2681">
        <v>159</v>
      </c>
      <c r="C52" s="2681">
        <v>141</v>
      </c>
      <c r="D52" s="2681">
        <f t="shared" si="45"/>
        <v>141</v>
      </c>
      <c r="E52" s="2681">
        <v>195</v>
      </c>
      <c r="F52" s="2682">
        <v>122</v>
      </c>
      <c r="G52" s="3741">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2612</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742">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2613</v>
      </c>
      <c r="B54" s="2667">
        <f t="shared" si="71"/>
        <v>146.57412060301507</v>
      </c>
      <c r="C54" s="2667">
        <f t="shared" si="71"/>
        <v>136.46831955922866</v>
      </c>
      <c r="D54" s="2667">
        <f t="shared" si="45"/>
        <v>136.46831955922866</v>
      </c>
      <c r="E54" s="2667">
        <f t="shared" si="72"/>
        <v>166.73864894795128</v>
      </c>
      <c r="F54" s="2667">
        <f t="shared" si="72"/>
        <v>115.05882352941177</v>
      </c>
      <c r="G54" s="3742">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2614</v>
      </c>
      <c r="B55" s="2667">
        <f t="shared" si="71"/>
        <v>144.04145728643215</v>
      </c>
      <c r="C55" s="2667">
        <f t="shared" si="71"/>
        <v>136.12396694214877</v>
      </c>
      <c r="D55" s="2667">
        <f t="shared" si="45"/>
        <v>136.12396694214877</v>
      </c>
      <c r="E55" s="2667">
        <f t="shared" si="72"/>
        <v>158.32225913621264</v>
      </c>
      <c r="F55" s="2667">
        <f t="shared" si="72"/>
        <v>114.04278074866311</v>
      </c>
      <c r="G55" s="3743">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2615</v>
      </c>
      <c r="B56" s="2681">
        <v>138</v>
      </c>
      <c r="C56" s="2681">
        <v>131</v>
      </c>
      <c r="D56" s="2681">
        <f t="shared" si="45"/>
        <v>131</v>
      </c>
      <c r="E56" s="2681">
        <v>155</v>
      </c>
      <c r="F56" s="2682">
        <v>114</v>
      </c>
      <c r="G56" s="3741">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2616</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742">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2617</v>
      </c>
      <c r="B58" s="2667">
        <f t="shared" si="75"/>
        <v>124.29032258064517</v>
      </c>
      <c r="C58" s="2667">
        <f t="shared" si="75"/>
        <v>123.8968609865471</v>
      </c>
      <c r="D58" s="2667">
        <f t="shared" si="45"/>
        <v>123.8968609865471</v>
      </c>
      <c r="E58" s="2667">
        <f t="shared" si="76"/>
        <v>138.00507614213197</v>
      </c>
      <c r="F58" s="2667">
        <f t="shared" si="76"/>
        <v>107.96106557377048</v>
      </c>
      <c r="G58" s="3742">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2618</v>
      </c>
      <c r="B59" s="2667">
        <f t="shared" si="75"/>
        <v>122.57204301075269</v>
      </c>
      <c r="C59" s="2667">
        <f t="shared" si="75"/>
        <v>123.4932735426009</v>
      </c>
      <c r="D59" s="2667">
        <f t="shared" si="45"/>
        <v>123.4932735426009</v>
      </c>
      <c r="E59" s="2667">
        <f t="shared" si="76"/>
        <v>129.82233502538071</v>
      </c>
      <c r="F59" s="2667">
        <f t="shared" si="76"/>
        <v>107.39446721311475</v>
      </c>
      <c r="G59" s="3743">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2619</v>
      </c>
      <c r="B60" s="2697">
        <v>121</v>
      </c>
      <c r="C60" s="2697">
        <v>122</v>
      </c>
      <c r="D60" s="2697">
        <f t="shared" si="45"/>
        <v>122</v>
      </c>
      <c r="E60" s="2697">
        <v>124</v>
      </c>
      <c r="F60" s="2698">
        <v>107</v>
      </c>
      <c r="G60" s="3741">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2620</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742">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2621</v>
      </c>
      <c r="B62" s="2667">
        <f t="shared" si="79"/>
        <v>116.99099099099099</v>
      </c>
      <c r="C62" s="2667">
        <f t="shared" si="79"/>
        <v>118.84848484848486</v>
      </c>
      <c r="D62" s="2667">
        <f t="shared" si="45"/>
        <v>118.84848484848486</v>
      </c>
      <c r="E62" s="2667">
        <f t="shared" si="80"/>
        <v>117.60960960960961</v>
      </c>
      <c r="F62" s="2667">
        <f t="shared" si="80"/>
        <v>104</v>
      </c>
      <c r="G62" s="3742">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2622</v>
      </c>
      <c r="B63" s="2700">
        <f t="shared" si="79"/>
        <v>112.48648648648648</v>
      </c>
      <c r="C63" s="2700">
        <f t="shared" si="79"/>
        <v>115.21212121212122</v>
      </c>
      <c r="D63" s="2700">
        <f t="shared" si="45"/>
        <v>115.21212121212122</v>
      </c>
      <c r="E63" s="2700">
        <f t="shared" si="80"/>
        <v>110.4024024024024</v>
      </c>
      <c r="F63" s="2700">
        <f t="shared" si="80"/>
        <v>104</v>
      </c>
      <c r="G63" s="3743">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2623</v>
      </c>
      <c r="B64" s="2718">
        <v>111</v>
      </c>
      <c r="C64" s="2718">
        <v>114</v>
      </c>
      <c r="D64" s="2718">
        <f t="shared" si="45"/>
        <v>114</v>
      </c>
      <c r="E64" s="2718">
        <v>108</v>
      </c>
      <c r="F64" s="2719">
        <v>104</v>
      </c>
      <c r="G64" s="3741">
        <v>2003</v>
      </c>
      <c r="H64" s="2708">
        <v>4</v>
      </c>
      <c r="I64" s="2720"/>
      <c r="J64" s="2720"/>
      <c r="K64" s="2720"/>
      <c r="L64" s="2720"/>
      <c r="N64" s="2721"/>
      <c r="O64" s="2720"/>
      <c r="P64" s="2720"/>
      <c r="Q64" s="2720"/>
      <c r="S64" s="2721"/>
      <c r="T64" s="2720"/>
      <c r="U64" s="2720"/>
      <c r="V64" s="2720"/>
      <c r="X64" s="2712"/>
      <c r="Y64" s="2712"/>
      <c r="Z64" s="2712"/>
    </row>
    <row r="65" spans="1:26">
      <c r="A65" s="2653" t="s">
        <v>2624</v>
      </c>
      <c r="B65" s="2722">
        <f t="shared" ref="B65:C67" si="81">B66+(B$64-B$68)/4</f>
        <v>109.75</v>
      </c>
      <c r="C65" s="2722">
        <f t="shared" si="81"/>
        <v>112.25</v>
      </c>
      <c r="D65" s="2722">
        <f t="shared" si="45"/>
        <v>112.25</v>
      </c>
      <c r="E65" s="2722">
        <f t="shared" ref="E65:F67" si="82">E66+(E$64-E$68)/4</f>
        <v>107.25</v>
      </c>
      <c r="F65" s="2722">
        <f t="shared" si="82"/>
        <v>103.5</v>
      </c>
      <c r="G65" s="3742">
        <v>2003</v>
      </c>
      <c r="H65" s="2678">
        <v>3</v>
      </c>
      <c r="I65" s="2720"/>
      <c r="J65" s="2720"/>
      <c r="K65" s="2720"/>
      <c r="L65" s="2720"/>
      <c r="X65" s="2712"/>
      <c r="Y65" s="2712"/>
      <c r="Z65" s="2712"/>
    </row>
    <row r="66" spans="1:26">
      <c r="A66" s="2653" t="s">
        <v>2625</v>
      </c>
      <c r="B66" s="2722">
        <f t="shared" si="81"/>
        <v>108.5</v>
      </c>
      <c r="C66" s="2722">
        <f t="shared" si="81"/>
        <v>110.5</v>
      </c>
      <c r="D66" s="2722">
        <f t="shared" si="45"/>
        <v>110.5</v>
      </c>
      <c r="E66" s="2722">
        <f t="shared" si="82"/>
        <v>106.5</v>
      </c>
      <c r="F66" s="2722">
        <f t="shared" si="82"/>
        <v>103</v>
      </c>
      <c r="G66" s="3742">
        <v>2003</v>
      </c>
      <c r="H66" s="2658">
        <v>2</v>
      </c>
      <c r="I66" s="2720"/>
      <c r="J66" s="2720"/>
      <c r="K66" s="2720"/>
      <c r="L66" s="2720"/>
      <c r="X66" s="2712"/>
      <c r="Y66" s="2712"/>
      <c r="Z66" s="2712"/>
    </row>
    <row r="67" spans="1:26" ht="13.5" thickBot="1">
      <c r="A67" s="2653" t="s">
        <v>2626</v>
      </c>
      <c r="B67" s="2722">
        <f t="shared" si="81"/>
        <v>107.25</v>
      </c>
      <c r="C67" s="2722">
        <f t="shared" si="81"/>
        <v>108.75</v>
      </c>
      <c r="D67" s="2722">
        <f t="shared" si="45"/>
        <v>108.75</v>
      </c>
      <c r="E67" s="2722">
        <f t="shared" si="82"/>
        <v>105.75</v>
      </c>
      <c r="F67" s="2722">
        <f t="shared" si="82"/>
        <v>102.5</v>
      </c>
      <c r="G67" s="3743">
        <v>2003</v>
      </c>
      <c r="H67" s="2723">
        <v>1</v>
      </c>
      <c r="I67" s="2720"/>
      <c r="J67" s="2720"/>
      <c r="K67" s="2720"/>
      <c r="L67" s="2720"/>
      <c r="S67" s="2662"/>
      <c r="T67" s="2663"/>
      <c r="U67" s="2663"/>
      <c r="X67" s="2712"/>
      <c r="Y67" s="2712"/>
      <c r="Z67" s="2712"/>
    </row>
    <row r="68" spans="1:26" ht="13.5" thickBot="1">
      <c r="A68" s="2653" t="s">
        <v>2627</v>
      </c>
      <c r="B68" s="2724">
        <v>106</v>
      </c>
      <c r="C68" s="2724">
        <v>107</v>
      </c>
      <c r="D68" s="2724">
        <f t="shared" si="45"/>
        <v>107</v>
      </c>
      <c r="E68" s="2724">
        <v>105</v>
      </c>
      <c r="F68" s="2725">
        <v>102</v>
      </c>
      <c r="G68" s="3741">
        <v>2002</v>
      </c>
      <c r="H68" s="2673">
        <v>4</v>
      </c>
      <c r="I68" s="2720"/>
      <c r="J68" s="2720"/>
      <c r="K68" s="2720"/>
      <c r="L68" s="2720"/>
      <c r="N68" s="2721"/>
      <c r="O68" s="2720"/>
      <c r="P68" s="2720"/>
      <c r="Q68" s="2720"/>
      <c r="S68" s="2721"/>
      <c r="T68" s="2720"/>
      <c r="U68" s="2720"/>
      <c r="V68" s="2720"/>
      <c r="X68" s="2712"/>
      <c r="Y68" s="2712"/>
      <c r="Z68" s="2712"/>
    </row>
    <row r="69" spans="1:26">
      <c r="A69" s="2653" t="s">
        <v>2628</v>
      </c>
      <c r="B69" s="2722">
        <f t="shared" ref="B69:C71" si="83">B70+(B$68-B$72)/4</f>
        <v>105</v>
      </c>
      <c r="C69" s="2722">
        <f t="shared" si="83"/>
        <v>106</v>
      </c>
      <c r="D69" s="2722">
        <f t="shared" si="45"/>
        <v>106</v>
      </c>
      <c r="E69" s="2722">
        <f t="shared" ref="E69:F71" si="84">E70+(E$68-E$72)/4</f>
        <v>104.5</v>
      </c>
      <c r="F69" s="2722">
        <f t="shared" si="84"/>
        <v>101.5</v>
      </c>
      <c r="G69" s="3742">
        <v>2002</v>
      </c>
      <c r="H69" s="2678">
        <v>3</v>
      </c>
      <c r="I69" s="2720"/>
      <c r="J69" s="2720"/>
      <c r="K69" s="2720"/>
      <c r="L69" s="2720"/>
      <c r="X69" s="2712"/>
      <c r="Y69" s="2712"/>
      <c r="Z69" s="2712"/>
    </row>
    <row r="70" spans="1:26">
      <c r="A70" s="2653" t="s">
        <v>2629</v>
      </c>
      <c r="B70" s="2722">
        <f t="shared" si="83"/>
        <v>104</v>
      </c>
      <c r="C70" s="2722">
        <f t="shared" si="83"/>
        <v>105</v>
      </c>
      <c r="D70" s="2722">
        <f t="shared" si="45"/>
        <v>105</v>
      </c>
      <c r="E70" s="2722">
        <f t="shared" si="84"/>
        <v>104</v>
      </c>
      <c r="F70" s="2722">
        <f t="shared" si="84"/>
        <v>101</v>
      </c>
      <c r="G70" s="3742">
        <v>2002</v>
      </c>
      <c r="H70" s="2658">
        <v>2</v>
      </c>
      <c r="I70" s="2720"/>
      <c r="J70" s="2720"/>
      <c r="K70" s="2720"/>
      <c r="L70" s="2720"/>
      <c r="X70" s="2712"/>
      <c r="Y70" s="2712"/>
      <c r="Z70" s="2712"/>
    </row>
    <row r="71" spans="1:26" s="2689" customFormat="1" ht="13.5" thickBot="1">
      <c r="A71" s="2685" t="s">
        <v>2630</v>
      </c>
      <c r="B71" s="2726">
        <f t="shared" si="83"/>
        <v>103</v>
      </c>
      <c r="C71" s="2726">
        <f t="shared" si="83"/>
        <v>104</v>
      </c>
      <c r="D71" s="2726">
        <f t="shared" si="45"/>
        <v>104</v>
      </c>
      <c r="E71" s="2726">
        <f t="shared" si="84"/>
        <v>103.5</v>
      </c>
      <c r="F71" s="2726">
        <f t="shared" si="84"/>
        <v>100.5</v>
      </c>
      <c r="G71" s="3743">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2631</v>
      </c>
      <c r="G74" s="2736"/>
      <c r="N74" s="2736"/>
      <c r="S74" s="2736"/>
    </row>
    <row r="75" spans="1:26" s="2735" customFormat="1">
      <c r="A75" s="2735" t="s">
        <v>2632</v>
      </c>
      <c r="G75" s="2736"/>
      <c r="N75" s="2736"/>
      <c r="S75" s="2736"/>
    </row>
    <row r="76" spans="1:26" s="2735" customFormat="1">
      <c r="A76" s="2735" t="s">
        <v>2633</v>
      </c>
      <c r="G76" s="2736"/>
      <c r="I76" s="2737"/>
      <c r="J76" s="2737"/>
      <c r="K76" s="2737"/>
      <c r="L76" s="2737"/>
      <c r="N76" s="2738"/>
      <c r="O76" s="2737"/>
      <c r="P76" s="2737"/>
      <c r="Q76" s="2737"/>
      <c r="S76" s="2738"/>
      <c r="T76" s="2737"/>
      <c r="U76" s="2737"/>
      <c r="V76" s="2737"/>
    </row>
    <row r="77" spans="1:26" s="2735" customFormat="1">
      <c r="A77" s="2735" t="s">
        <v>2634</v>
      </c>
      <c r="G77" s="2736"/>
      <c r="N77" s="2736"/>
      <c r="S77" s="2736"/>
    </row>
    <row r="84" spans="7:22" ht="13.5" thickBot="1"/>
    <row r="85" spans="7:22">
      <c r="G85" s="2661"/>
      <c r="S85" s="2739" t="s">
        <v>2635</v>
      </c>
      <c r="T85" s="2740" t="s">
        <v>2636</v>
      </c>
      <c r="U85" s="2740" t="s">
        <v>2637</v>
      </c>
      <c r="V85" s="2740" t="s">
        <v>2638</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4" sqref="B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1">
        <f>MATCH(B1,'数据-取费表'!A6:A16,0)+5</f>
        <v>11</v>
      </c>
    </row>
    <row r="2" spans="1:31" s="2039" customFormat="1" ht="18" customHeight="1">
      <c r="A2" s="2099" t="s">
        <v>467</v>
      </c>
      <c r="B2" s="2103">
        <f ca="1">C36</f>
        <v>80720</v>
      </c>
      <c r="C2" s="2102"/>
      <c r="D2" s="2102"/>
      <c r="E2" s="2102"/>
      <c r="F2" s="2102"/>
      <c r="G2" s="2102"/>
      <c r="H2" s="2102"/>
      <c r="I2" s="2102"/>
      <c r="J2" s="2102"/>
      <c r="K2" s="2102"/>
    </row>
    <row r="3" spans="1:31" s="2039" customFormat="1" ht="18" customHeight="1">
      <c r="A3" s="2104" t="s">
        <v>1685</v>
      </c>
      <c r="B3" s="2105">
        <f ca="1">ROUND(B2*10000/IF(B1="",'数据-汇总表'!E3,INDIRECT("'数据-取费表'!K"&amp;$K$1)),0)</f>
        <v>4465</v>
      </c>
      <c r="C3" s="2102"/>
      <c r="D3" s="2102"/>
      <c r="E3" s="2102"/>
      <c r="F3" s="2102"/>
      <c r="G3" s="2102"/>
      <c r="H3" s="2102"/>
      <c r="I3" s="2102"/>
      <c r="J3" s="2102"/>
      <c r="K3" s="2102"/>
    </row>
    <row r="4" spans="1:31" s="2039" customFormat="1" ht="18" customHeight="1">
      <c r="A4" s="425" t="s">
        <v>468</v>
      </c>
      <c r="B4" s="426">
        <f ca="1">ROUND(B2*10000/IF(B1="",'数据-汇总表'!D3,INDIRECT("'数据-取费表'!R"&amp;$K$1)),0)</f>
        <v>11081</v>
      </c>
      <c r="C4" s="427"/>
      <c r="D4" s="421"/>
      <c r="E4" s="421"/>
      <c r="F4" s="421"/>
      <c r="G4" s="421"/>
      <c r="H4" s="421"/>
      <c r="I4" s="421"/>
      <c r="J4" s="421"/>
      <c r="K4" s="421"/>
    </row>
    <row r="5" spans="1:31" s="2039" customFormat="1" ht="18" customHeight="1" thickBot="1">
      <c r="A5" s="428"/>
      <c r="B5" s="429">
        <f ca="1">ROUND(B2/(IF(B1="",'数据-汇总表'!D3,INDIRECT("'数据-取费表'!R"&amp;$K$1))/666.67),0)</f>
        <v>739</v>
      </c>
      <c r="C5" s="430" t="s">
        <v>469</v>
      </c>
      <c r="D5" s="421"/>
      <c r="E5" s="421"/>
      <c r="F5" s="421"/>
      <c r="G5" s="421"/>
      <c r="H5" s="421"/>
      <c r="I5" s="421"/>
      <c r="J5" s="421"/>
      <c r="K5" s="421"/>
    </row>
    <row r="6" spans="1:31" s="2109" customFormat="1" ht="16.5" customHeight="1">
      <c r="A6" s="2826" t="s">
        <v>1843</v>
      </c>
      <c r="B6" s="2827"/>
      <c r="C6" s="2828">
        <f ca="1">SUM(C10:K10)</f>
        <v>175771.0968</v>
      </c>
      <c r="D6" s="2827"/>
      <c r="E6" s="2827"/>
      <c r="F6" s="2827"/>
      <c r="G6" s="2827"/>
      <c r="H6" s="2827"/>
      <c r="I6" s="2827"/>
      <c r="J6" s="2827"/>
      <c r="K6" s="2829"/>
    </row>
    <row r="7" spans="1:31" s="2111" customFormat="1" ht="15">
      <c r="A7" s="2830" t="s">
        <v>470</v>
      </c>
      <c r="B7" s="2831" t="s">
        <v>471</v>
      </c>
      <c r="C7" s="435" t="s">
        <v>3169</v>
      </c>
      <c r="D7" s="435" t="s">
        <v>3171</v>
      </c>
      <c r="E7" s="435" t="s">
        <v>2994</v>
      </c>
      <c r="F7" s="435" t="s">
        <v>3174</v>
      </c>
      <c r="G7" s="435" t="s">
        <v>3176</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32">
        <f>'不动产比较法-住宅（高层）'!B3</f>
        <v>12170</v>
      </c>
      <c r="D8" s="2832">
        <f>'不动产比较法-住宅（联排）'!B3</f>
        <v>19042</v>
      </c>
      <c r="E8" s="2832">
        <f ca="1">'不动产收益法（商业）'!B3</f>
        <v>14377</v>
      </c>
      <c r="F8" s="2832">
        <f ca="1">'不动产收益法（车位）'!B3</f>
        <v>3815</v>
      </c>
      <c r="G8" s="2832">
        <v>7992</v>
      </c>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34304</v>
      </c>
      <c r="D9" s="440">
        <f>SUMIF('数据-汇总表'!$C19:$C33,'剩余法-待开发'!D7,'数据-汇总表'!$E19:$E33)</f>
        <v>40890</v>
      </c>
      <c r="E9" s="440">
        <f>SUMIF('数据-汇总表'!$C19:$C33,'剩余法-待开发'!E7,'数据-汇总表'!$E19:$E33)</f>
        <v>3738</v>
      </c>
      <c r="F9" s="440">
        <f>SUMIF('数据-汇总表'!$C19:$C33,'剩余法-待开发'!F7,'数据-汇总表'!$E19:$E33)</f>
        <v>28104</v>
      </c>
      <c r="G9" s="440">
        <f>SUMIF('数据-汇总表'!$C19:$C33,'剩余法-待开发'!G7,'数据-汇总表'!$E19:$E33)</f>
        <v>50129</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7">
        <f>'不动产比较法-住宅（高层）'!B2</f>
        <v>41748</v>
      </c>
      <c r="D10" s="3027">
        <f>'不动产比较法-住宅（联排）'!B2</f>
        <v>77863</v>
      </c>
      <c r="E10" s="3027">
        <f ca="1">'不动产收益法（商业）'!B2</f>
        <v>5374</v>
      </c>
      <c r="F10" s="2835">
        <f ca="1">'不动产收益法（车位）'!B2</f>
        <v>10723</v>
      </c>
      <c r="G10" s="2835">
        <f>G8*G9/10000</f>
        <v>40063.096799999999</v>
      </c>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9">
        <f ca="1">IF(B1="",'数据-取费表'!P16,INDIRECT("'数据-取费表'!p"&amp;$K$1)+INDIRECT("'数据-取费表'!t"&amp;$K$1))</f>
        <v>47379</v>
      </c>
      <c r="D13" s="2842"/>
      <c r="E13" s="2843"/>
      <c r="F13" s="2844"/>
      <c r="G13" s="2810"/>
      <c r="H13" s="2811"/>
      <c r="I13" s="2811"/>
      <c r="J13" s="2811"/>
      <c r="K13" s="2812"/>
    </row>
    <row r="14" spans="1:31" s="2114" customFormat="1" ht="13.5" customHeight="1">
      <c r="A14" s="2840" t="s">
        <v>1850</v>
      </c>
      <c r="B14" s="2841" t="s">
        <v>480</v>
      </c>
      <c r="C14" s="53">
        <f ca="1">ROUND(C13*F14,0)</f>
        <v>1421</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947</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3616</v>
      </c>
      <c r="D16" s="2842">
        <f ca="1">IF(B1="",'数据-汇总表'!E3,INDIRECT("'数据-取费表'!K"&amp;$K$1)+INDIRECT("'数据-取费表'!S"&amp;$K$1))</f>
        <v>180792</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711</v>
      </c>
      <c r="D17" s="474"/>
      <c r="E17" s="2846"/>
      <c r="F17" s="2847">
        <f>'数据-取费表'!B36</f>
        <v>1.4999999999999999E-2</v>
      </c>
      <c r="G17" s="260" t="s">
        <v>486</v>
      </c>
      <c r="H17" s="2813"/>
      <c r="I17" s="2813"/>
      <c r="J17" s="2813"/>
      <c r="K17" s="278"/>
    </row>
    <row r="18" spans="1:14" s="2114" customFormat="1" ht="13.5" customHeight="1">
      <c r="A18" s="2848" t="s">
        <v>1854</v>
      </c>
      <c r="B18" s="2849" t="s">
        <v>487</v>
      </c>
      <c r="C18" s="2850">
        <f ca="1">SUM(C13:C17)</f>
        <v>54074</v>
      </c>
      <c r="D18" s="2851"/>
      <c r="E18" s="467"/>
      <c r="F18" s="467"/>
      <c r="G18" s="2814" t="s">
        <v>2430</v>
      </c>
      <c r="H18" s="2815"/>
      <c r="I18" s="2815"/>
      <c r="J18" s="2815"/>
      <c r="K18" s="2816"/>
    </row>
    <row r="19" spans="1:14" s="2114" customFormat="1" ht="13.5" customHeight="1">
      <c r="A19" s="2848" t="s">
        <v>1855</v>
      </c>
      <c r="B19" s="2849" t="s">
        <v>488</v>
      </c>
      <c r="C19" s="2806">
        <f ca="1">ROUND(D19*E19/10000,0)</f>
        <v>362</v>
      </c>
      <c r="D19" s="2852">
        <f ca="1">D16</f>
        <v>180792</v>
      </c>
      <c r="E19" s="2806">
        <f>'数据-取费表'!B32</f>
        <v>20</v>
      </c>
      <c r="F19" s="467"/>
      <c r="G19" s="2810" t="s">
        <v>489</v>
      </c>
      <c r="H19" s="2811"/>
      <c r="I19" s="2815"/>
      <c r="J19" s="2815"/>
      <c r="K19" s="2816"/>
    </row>
    <row r="20" spans="1:14" s="2114" customFormat="1" ht="13.5" customHeight="1">
      <c r="A20" s="2848" t="s">
        <v>1856</v>
      </c>
      <c r="B20" s="2849" t="s">
        <v>490</v>
      </c>
      <c r="C20" s="2806">
        <f ca="1">C21+C22-IF(B1="",'数据-取费表'!B29,IF(G20="已全部缴纳",C21+C22,H20))</f>
        <v>5197</v>
      </c>
      <c r="D20" s="2852"/>
      <c r="E20" s="2806"/>
      <c r="F20" s="2853"/>
      <c r="G20" s="3087"/>
      <c r="H20" s="2808"/>
      <c r="I20" s="2809" t="s">
        <v>2650</v>
      </c>
      <c r="J20" s="2815"/>
      <c r="K20" s="2816"/>
    </row>
    <row r="21" spans="1:14" s="2114" customFormat="1" ht="13.5" customHeight="1">
      <c r="A21" s="2840" t="s">
        <v>1857</v>
      </c>
      <c r="B21" s="2841" t="s">
        <v>491</v>
      </c>
      <c r="C21" s="53">
        <f ca="1">ROUND(D21*E21/10000,0)</f>
        <v>3672</v>
      </c>
      <c r="D21" s="2842">
        <f ca="1">IF(B1="",'数据-汇总表'!E5,IF(INDIRECT("'数据-取费表'!c"&amp;$K$1)="住宅",INDIRECT("'数据-取费表'!k"&amp;$K$1),0))</f>
        <v>125323</v>
      </c>
      <c r="E21" s="53">
        <f>'数据-取费表'!B27</f>
        <v>293</v>
      </c>
      <c r="F21" s="2845"/>
      <c r="G21" s="26"/>
      <c r="H21" s="51"/>
      <c r="I21" s="51"/>
      <c r="J21" s="51"/>
      <c r="K21" s="2817"/>
    </row>
    <row r="22" spans="1:14" s="2114" customFormat="1" ht="13.5" customHeight="1">
      <c r="A22" s="2840" t="s">
        <v>1858</v>
      </c>
      <c r="B22" s="2841" t="s">
        <v>492</v>
      </c>
      <c r="C22" s="53">
        <f ca="1">ROUND(D22*E22/10000,0)</f>
        <v>1525</v>
      </c>
      <c r="D22" s="2842">
        <f ca="1">IF(B1="",'数据-汇总表'!E6,IF(INDIRECT("'数据-取费表'!c"&amp;$K$1)="住宅",INDIRECT("'数据-取费表'!s"&amp;$K$1),INDIRECT("'数据-取费表'!k"&amp;$K$1)+INDIRECT("'数据-取费表'!s"&amp;$K$1)))</f>
        <v>55469</v>
      </c>
      <c r="E22" s="53">
        <f>'数据-取费表'!B28</f>
        <v>275</v>
      </c>
      <c r="F22" s="2845"/>
      <c r="G22" s="26"/>
      <c r="H22" s="51"/>
      <c r="I22" s="51"/>
      <c r="J22" s="51"/>
      <c r="K22" s="2817"/>
    </row>
    <row r="23" spans="1:14" s="2114" customFormat="1" ht="13.5" customHeight="1">
      <c r="A23" s="2848" t="s">
        <v>1859</v>
      </c>
      <c r="B23" s="3033" t="s">
        <v>2833</v>
      </c>
      <c r="C23" s="2850">
        <f ca="1">ROUND((C18+C19+C20)*F23,0)</f>
        <v>1193</v>
      </c>
      <c r="D23" s="467"/>
      <c r="E23" s="467"/>
      <c r="F23" s="2854">
        <f>'数据-取费表'!B37</f>
        <v>0.02</v>
      </c>
      <c r="G23" s="2810" t="s">
        <v>2431</v>
      </c>
      <c r="H23" s="2811"/>
      <c r="I23" s="2811"/>
      <c r="J23" s="2811"/>
      <c r="K23" s="2812"/>
      <c r="L23" s="2116"/>
      <c r="M23" s="2116"/>
      <c r="N23" s="2116"/>
    </row>
    <row r="24" spans="1:14" s="2114" customFormat="1" ht="13.5" customHeight="1">
      <c r="A24" s="2848" t="s">
        <v>1860</v>
      </c>
      <c r="B24" s="3033" t="s">
        <v>2836</v>
      </c>
      <c r="C24" s="2850">
        <f ca="1">ROUND(C6*F24,0)</f>
        <v>1758</v>
      </c>
      <c r="D24" s="474"/>
      <c r="E24" s="472"/>
      <c r="F24" s="2854">
        <f>'数据-取费表'!B38</f>
        <v>0.01</v>
      </c>
      <c r="G24" s="2819" t="s">
        <v>499</v>
      </c>
      <c r="H24" s="2813"/>
      <c r="I24" s="2813"/>
      <c r="J24" s="2813"/>
      <c r="K24" s="278"/>
      <c r="L24" s="2116"/>
      <c r="M24" s="2116"/>
      <c r="N24" s="2116"/>
    </row>
    <row r="25" spans="1:14" s="2117" customFormat="1" ht="13.5" customHeight="1">
      <c r="A25" s="2848" t="s">
        <v>1861</v>
      </c>
      <c r="B25" s="3033" t="s">
        <v>2834</v>
      </c>
      <c r="C25" s="466">
        <f>ROUND(F25/(1+'数据-取费表'!C42),4)</f>
        <v>3.8600000000000002E-2</v>
      </c>
      <c r="D25" s="461" t="s">
        <v>2828</v>
      </c>
      <c r="E25" s="468"/>
      <c r="F25" s="2854">
        <f>'数据-取费表'!B48+'数据-取费表'!B49</f>
        <v>4.0500000000000001E-2</v>
      </c>
      <c r="G25" s="2818" t="s">
        <v>2289</v>
      </c>
      <c r="H25" s="2811"/>
      <c r="I25" s="2811"/>
      <c r="J25" s="2811"/>
      <c r="K25" s="2812"/>
    </row>
    <row r="26" spans="1:14" s="2116" customFormat="1" ht="13.5" customHeight="1">
      <c r="A26" s="2848" t="s">
        <v>1862</v>
      </c>
      <c r="B26" s="3034" t="s">
        <v>2835</v>
      </c>
      <c r="C26" s="2855">
        <f ca="1">C28</f>
        <v>2217</v>
      </c>
      <c r="D26" s="466">
        <f ca="1">C27</f>
        <v>7.4899999999999994E-2</v>
      </c>
      <c r="E26" s="468" t="s">
        <v>495</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1857</v>
      </c>
      <c r="B27" s="2856" t="s">
        <v>496</v>
      </c>
      <c r="C27" s="2857">
        <f ca="1">ROUND(IF('数据-取费表'!B22&lt;=1,(1+C25)*F26*'数据-取费表'!B24,(1+C25)*(POWER((1+F26),'数据-取费表'!B24)-1)),4)</f>
        <v>7.4899999999999994E-2</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1858</v>
      </c>
      <c r="B28" s="2856" t="s">
        <v>2837</v>
      </c>
      <c r="C28" s="2858">
        <f ca="1">ROUND(IF('数据-取费表'!B22&lt;=1,(C18+C19+C20+C23+C24)*F26*'数据-取费表'!B24/2,(C18+C19+C20+C23+C24)*(POWER((1+F26),'数据-取费表'!B24/2)-1)),0)</f>
        <v>2217</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1863</v>
      </c>
      <c r="B29" s="2849" t="s">
        <v>497</v>
      </c>
      <c r="C29" s="2850">
        <f ca="1">ROUND(C6*F29/(1+'数据-取费表'!C42),0)</f>
        <v>9374</v>
      </c>
      <c r="D29" s="467"/>
      <c r="E29" s="467"/>
      <c r="F29" s="3035">
        <f>'数据-取费表'!B41</f>
        <v>5.6000000000000001E-2</v>
      </c>
      <c r="G29" s="2819" t="s">
        <v>498</v>
      </c>
      <c r="H29" s="2811"/>
      <c r="I29" s="2811"/>
      <c r="J29" s="2811"/>
      <c r="K29" s="2812"/>
    </row>
    <row r="30" spans="1:14" s="2119" customFormat="1" ht="13.5" customHeight="1">
      <c r="A30" s="1632" t="s">
        <v>1864</v>
      </c>
      <c r="B30" s="2860" t="s">
        <v>500</v>
      </c>
      <c r="C30" s="2855">
        <f ca="1">C31</f>
        <v>74175</v>
      </c>
      <c r="D30" s="476">
        <f ca="1">C32</f>
        <v>0.1135</v>
      </c>
      <c r="E30" s="468" t="s">
        <v>495</v>
      </c>
      <c r="F30" s="470"/>
      <c r="G30" s="2818" t="s">
        <v>2973</v>
      </c>
      <c r="H30" s="2811"/>
      <c r="I30" s="2811"/>
      <c r="J30" s="2811"/>
      <c r="K30" s="2812"/>
    </row>
    <row r="31" spans="1:14" s="2118" customFormat="1" ht="13.5" customHeight="1">
      <c r="A31" s="802" t="s">
        <v>1857</v>
      </c>
      <c r="B31" s="2856"/>
      <c r="C31" s="449">
        <f ca="1">C18+C19+C20+C23+C24+C26+C29</f>
        <v>74175</v>
      </c>
      <c r="D31" s="471"/>
      <c r="E31" s="472"/>
      <c r="F31" s="473"/>
      <c r="G31" s="260"/>
      <c r="H31" s="2813"/>
      <c r="I31" s="2813"/>
      <c r="J31" s="2813"/>
      <c r="K31" s="278"/>
    </row>
    <row r="32" spans="1:14" s="2118" customFormat="1" ht="13.5" customHeight="1">
      <c r="A32" s="802" t="s">
        <v>1858</v>
      </c>
      <c r="B32" s="2856"/>
      <c r="C32" s="53">
        <f ca="1">ROUND(C25+D26,4)</f>
        <v>0.1135</v>
      </c>
      <c r="D32" s="471"/>
      <c r="E32" s="472"/>
      <c r="F32" s="473"/>
      <c r="G32" s="260"/>
      <c r="H32" s="2813"/>
      <c r="I32" s="2813"/>
      <c r="J32" s="2813"/>
      <c r="K32" s="278"/>
    </row>
    <row r="33" spans="1:11" s="2120" customFormat="1" ht="13.5" customHeight="1">
      <c r="A33" s="3032" t="s">
        <v>2832</v>
      </c>
      <c r="B33" s="3030" t="s">
        <v>2830</v>
      </c>
      <c r="C33" s="477">
        <f ca="1">C35</f>
        <v>5007</v>
      </c>
      <c r="D33" s="466">
        <f ca="1">C34</f>
        <v>8.3099999999999993E-2</v>
      </c>
      <c r="E33" s="468" t="s">
        <v>495</v>
      </c>
      <c r="F33" s="478">
        <f ca="1">IF(B1="",'数据-取费表'!Q16,INDIRECT("'数据-取费表'!q"&amp;$K$1))</f>
        <v>0.08</v>
      </c>
      <c r="G33" s="2814"/>
      <c r="H33" s="2815"/>
      <c r="I33" s="2815"/>
      <c r="J33" s="2815"/>
      <c r="K33" s="2816"/>
    </row>
    <row r="34" spans="1:11" s="2121" customFormat="1" ht="13.5" customHeight="1">
      <c r="A34" s="374" t="s">
        <v>1857</v>
      </c>
      <c r="B34" s="2861" t="s">
        <v>501</v>
      </c>
      <c r="C34" s="471">
        <f ca="1">ROUND((1+C25)*F33,4)</f>
        <v>8.3099999999999993E-2</v>
      </c>
      <c r="D34" s="471"/>
      <c r="E34" s="472"/>
      <c r="F34" s="479"/>
      <c r="G34" s="260" t="s">
        <v>2290</v>
      </c>
      <c r="H34" s="2813"/>
      <c r="I34" s="2813"/>
      <c r="J34" s="2813"/>
      <c r="K34" s="278"/>
    </row>
    <row r="35" spans="1:11" s="2121" customFormat="1" ht="13.5" customHeight="1" thickBot="1">
      <c r="A35" s="1633" t="s">
        <v>1858</v>
      </c>
      <c r="B35" s="3031" t="s">
        <v>2838</v>
      </c>
      <c r="C35" s="1625">
        <f ca="1">ROUND((C18+C19+C20+C23+C24)*F33,0)</f>
        <v>5007</v>
      </c>
      <c r="D35" s="1626"/>
      <c r="E35" s="2862"/>
      <c r="F35" s="1627"/>
      <c r="G35" s="2820"/>
      <c r="H35" s="2821"/>
      <c r="I35" s="2821"/>
      <c r="J35" s="2821"/>
      <c r="K35" s="2822"/>
    </row>
    <row r="36" spans="1:11" s="2083" customFormat="1" ht="13.5" customHeight="1" thickBot="1">
      <c r="A36" s="283" t="s">
        <v>1845</v>
      </c>
      <c r="B36" s="2824"/>
      <c r="C36" s="2863">
        <f ca="1">ROUND((C6-C30-C33)/(1+D30+D33),0)</f>
        <v>80720</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E58"/>
  <sheetViews>
    <sheetView showZeros="0" topLeftCell="A4" zoomScale="90" zoomScaleNormal="90" zoomScaleSheetLayoutView="103" workbookViewId="0">
      <selection activeCell="I57" sqref="I57"/>
    </sheetView>
  </sheetViews>
  <sheetFormatPr defaultRowHeight="15.75"/>
  <cols>
    <col min="1" max="1" width="3" style="3457" customWidth="1"/>
    <col min="2" max="2" width="5.125" style="3457" customWidth="1"/>
    <col min="3" max="3" width="28.375" style="3457" customWidth="1"/>
    <col min="4" max="4" width="8.125" style="3457" customWidth="1"/>
    <col min="5" max="5" width="9.125" style="3457" customWidth="1"/>
    <col min="6" max="6" width="5" style="3457" customWidth="1"/>
    <col min="7" max="7" width="8.25" style="3457" customWidth="1"/>
    <col min="8" max="27" width="7.375" style="3457" customWidth="1"/>
    <col min="28" max="28" width="10.875" style="3457" customWidth="1"/>
    <col min="29" max="29" width="12.625" style="3457" customWidth="1"/>
    <col min="30" max="30" width="12.75" style="3457" customWidth="1"/>
    <col min="31" max="31" width="13.125" style="3457" bestFit="1" customWidth="1"/>
    <col min="32" max="16384" width="9" style="3457"/>
  </cols>
  <sheetData>
    <row r="1" spans="2:31" s="3394" customFormat="1" ht="21.75" customHeight="1">
      <c r="B1" s="3748" t="s">
        <v>3445</v>
      </c>
      <c r="C1" s="3748"/>
      <c r="D1" s="3748"/>
      <c r="E1" s="3748"/>
      <c r="F1" s="3748"/>
      <c r="G1" s="3748"/>
      <c r="H1" s="3748"/>
      <c r="I1" s="3748"/>
      <c r="J1" s="3748"/>
      <c r="K1" s="3392"/>
      <c r="L1" s="3392"/>
      <c r="M1" s="3392"/>
      <c r="N1" s="3392"/>
      <c r="O1" s="3393"/>
      <c r="P1" s="3393"/>
      <c r="Q1" s="3393"/>
      <c r="R1" s="3393"/>
      <c r="S1" s="3393"/>
      <c r="T1" s="3393"/>
      <c r="U1" s="3393"/>
      <c r="V1" s="3393"/>
      <c r="W1" s="3393"/>
      <c r="X1" s="3393"/>
      <c r="Y1" s="3393"/>
      <c r="Z1" s="3393"/>
      <c r="AA1" s="3393"/>
    </row>
    <row r="2" spans="2:31" s="3394" customFormat="1" ht="15.75" customHeight="1" thickBot="1">
      <c r="B2" s="3749" t="s">
        <v>3446</v>
      </c>
      <c r="C2" s="3749"/>
      <c r="D2" s="3749"/>
      <c r="E2" s="3749"/>
      <c r="F2" s="3749"/>
      <c r="G2" s="3749"/>
      <c r="H2" s="3749"/>
      <c r="I2" s="3749"/>
      <c r="J2" s="3749"/>
      <c r="K2" s="3395"/>
      <c r="L2" s="3395"/>
      <c r="M2" s="3396"/>
      <c r="N2" s="3397"/>
      <c r="O2" s="3397"/>
      <c r="P2" s="3397"/>
      <c r="Q2" s="3397"/>
      <c r="R2" s="3397"/>
      <c r="S2" s="3397"/>
      <c r="T2" s="3397"/>
      <c r="U2" s="3397"/>
      <c r="V2" s="3397"/>
      <c r="W2" s="3397"/>
      <c r="X2" s="3397"/>
      <c r="Y2" s="3397"/>
      <c r="Z2" s="3397"/>
      <c r="AA2" s="3397"/>
    </row>
    <row r="3" spans="2:31" s="3405" customFormat="1" ht="37.5" customHeight="1">
      <c r="B3" s="3398" t="s">
        <v>2375</v>
      </c>
      <c r="C3" s="3399" t="s">
        <v>2376</v>
      </c>
      <c r="D3" s="3400" t="s">
        <v>3447</v>
      </c>
      <c r="E3" s="3400" t="s">
        <v>3448</v>
      </c>
      <c r="F3" s="3400" t="s">
        <v>3449</v>
      </c>
      <c r="G3" s="3400" t="s">
        <v>3450</v>
      </c>
      <c r="H3" s="3400" t="s">
        <v>3451</v>
      </c>
      <c r="I3" s="3400" t="s">
        <v>3452</v>
      </c>
      <c r="J3" s="3401" t="s">
        <v>3453</v>
      </c>
      <c r="K3" s="3402" t="s">
        <v>3454</v>
      </c>
      <c r="L3" s="3400" t="s">
        <v>3455</v>
      </c>
      <c r="M3" s="3400" t="s">
        <v>3456</v>
      </c>
      <c r="N3" s="3400" t="s">
        <v>3457</v>
      </c>
      <c r="O3" s="3400" t="s">
        <v>3458</v>
      </c>
      <c r="P3" s="3400" t="s">
        <v>3459</v>
      </c>
      <c r="Q3" s="3400" t="s">
        <v>3460</v>
      </c>
      <c r="R3" s="3400" t="s">
        <v>3461</v>
      </c>
      <c r="S3" s="3400" t="s">
        <v>3462</v>
      </c>
      <c r="T3" s="3400" t="s">
        <v>3463</v>
      </c>
      <c r="U3" s="3400" t="s">
        <v>3464</v>
      </c>
      <c r="V3" s="3400" t="s">
        <v>3465</v>
      </c>
      <c r="W3" s="3400" t="s">
        <v>3466</v>
      </c>
      <c r="X3" s="3400" t="s">
        <v>3467</v>
      </c>
      <c r="Y3" s="3400" t="s">
        <v>3468</v>
      </c>
      <c r="Z3" s="3400" t="s">
        <v>3469</v>
      </c>
      <c r="AA3" s="3401" t="s">
        <v>3470</v>
      </c>
      <c r="AB3" s="3403" t="s">
        <v>3471</v>
      </c>
      <c r="AC3" s="3404" t="s">
        <v>3472</v>
      </c>
    </row>
    <row r="4" spans="2:31" s="3415" customFormat="1" ht="18" customHeight="1">
      <c r="B4" s="3406" t="s">
        <v>3148</v>
      </c>
      <c r="C4" s="3407" t="s">
        <v>3473</v>
      </c>
      <c r="D4" s="3408">
        <f>SUM(H4:AA4)</f>
        <v>221063.49680000002</v>
      </c>
      <c r="E4" s="3408"/>
      <c r="F4" s="3408"/>
      <c r="G4" s="3408"/>
      <c r="H4" s="3408">
        <f t="shared" ref="H4:AA4" si="0">H5+H30+H39</f>
        <v>74917.948399999994</v>
      </c>
      <c r="I4" s="3408">
        <f t="shared" si="0"/>
        <v>130106.3484</v>
      </c>
      <c r="J4" s="3409">
        <f t="shared" si="0"/>
        <v>16039.2</v>
      </c>
      <c r="K4" s="3410">
        <f t="shared" si="0"/>
        <v>0</v>
      </c>
      <c r="L4" s="3408">
        <f t="shared" si="0"/>
        <v>0</v>
      </c>
      <c r="M4" s="3408">
        <f t="shared" si="0"/>
        <v>0</v>
      </c>
      <c r="N4" s="3408">
        <f t="shared" si="0"/>
        <v>0</v>
      </c>
      <c r="O4" s="3408">
        <f t="shared" si="0"/>
        <v>0</v>
      </c>
      <c r="P4" s="3408">
        <f t="shared" si="0"/>
        <v>0</v>
      </c>
      <c r="Q4" s="3408">
        <f t="shared" si="0"/>
        <v>0</v>
      </c>
      <c r="R4" s="3408">
        <f t="shared" si="0"/>
        <v>0</v>
      </c>
      <c r="S4" s="3408">
        <f t="shared" si="0"/>
        <v>0</v>
      </c>
      <c r="T4" s="3408">
        <f t="shared" si="0"/>
        <v>0</v>
      </c>
      <c r="U4" s="3408">
        <f t="shared" si="0"/>
        <v>0</v>
      </c>
      <c r="V4" s="3408">
        <f t="shared" si="0"/>
        <v>0</v>
      </c>
      <c r="W4" s="3408">
        <f t="shared" si="0"/>
        <v>0</v>
      </c>
      <c r="X4" s="3408">
        <f t="shared" si="0"/>
        <v>0</v>
      </c>
      <c r="Y4" s="3408">
        <f t="shared" si="0"/>
        <v>0</v>
      </c>
      <c r="Z4" s="3408">
        <f t="shared" si="0"/>
        <v>0</v>
      </c>
      <c r="AA4" s="3409">
        <f t="shared" si="0"/>
        <v>0</v>
      </c>
      <c r="AB4" s="3411"/>
      <c r="AC4" s="3412"/>
      <c r="AD4" s="3413"/>
      <c r="AE4" s="3414"/>
    </row>
    <row r="5" spans="2:31" s="3415" customFormat="1" ht="18" customHeight="1">
      <c r="B5" s="3416">
        <v>1</v>
      </c>
      <c r="C5" s="3407" t="s">
        <v>3474</v>
      </c>
      <c r="D5" s="3408">
        <f>SUM(H5:AA5)</f>
        <v>221063.49680000002</v>
      </c>
      <c r="E5" s="3408">
        <f>SUM(E6:E18)</f>
        <v>131123</v>
      </c>
      <c r="F5" s="3408"/>
      <c r="G5" s="3408"/>
      <c r="H5" s="3408">
        <f t="shared" ref="H5:AA5" si="1">H6+H8+H10+H12+H14+H16+H18+H20+H22+H24+H26+H28</f>
        <v>74917.948399999994</v>
      </c>
      <c r="I5" s="3408">
        <f t="shared" si="1"/>
        <v>130106.3484</v>
      </c>
      <c r="J5" s="3409">
        <f t="shared" si="1"/>
        <v>16039.2</v>
      </c>
      <c r="K5" s="3410">
        <f t="shared" si="1"/>
        <v>0</v>
      </c>
      <c r="L5" s="3408">
        <f t="shared" si="1"/>
        <v>0</v>
      </c>
      <c r="M5" s="3408">
        <f t="shared" si="1"/>
        <v>0</v>
      </c>
      <c r="N5" s="3408">
        <f t="shared" si="1"/>
        <v>0</v>
      </c>
      <c r="O5" s="3408">
        <f t="shared" si="1"/>
        <v>0</v>
      </c>
      <c r="P5" s="3408">
        <f t="shared" si="1"/>
        <v>0</v>
      </c>
      <c r="Q5" s="3408">
        <f t="shared" si="1"/>
        <v>0</v>
      </c>
      <c r="R5" s="3408">
        <f t="shared" si="1"/>
        <v>0</v>
      </c>
      <c r="S5" s="3408">
        <f t="shared" si="1"/>
        <v>0</v>
      </c>
      <c r="T5" s="3408">
        <f t="shared" si="1"/>
        <v>0</v>
      </c>
      <c r="U5" s="3408">
        <f t="shared" si="1"/>
        <v>0</v>
      </c>
      <c r="V5" s="3408">
        <f t="shared" si="1"/>
        <v>0</v>
      </c>
      <c r="W5" s="3408">
        <f t="shared" si="1"/>
        <v>0</v>
      </c>
      <c r="X5" s="3408">
        <f t="shared" si="1"/>
        <v>0</v>
      </c>
      <c r="Y5" s="3408">
        <f t="shared" si="1"/>
        <v>0</v>
      </c>
      <c r="Z5" s="3408">
        <f t="shared" si="1"/>
        <v>0</v>
      </c>
      <c r="AA5" s="3408">
        <f t="shared" si="1"/>
        <v>0</v>
      </c>
      <c r="AB5" s="3411"/>
      <c r="AC5" s="3412">
        <f>[2]敏感性分析!I14</f>
        <v>1</v>
      </c>
      <c r="AD5" s="3417" t="s">
        <v>3475</v>
      </c>
      <c r="AE5" s="3414"/>
    </row>
    <row r="6" spans="2:31" s="3426" customFormat="1" ht="18" customHeight="1">
      <c r="B6" s="3418">
        <v>1.1000000000000001</v>
      </c>
      <c r="C6" s="3419" t="str">
        <f>[2]经济指标!C6</f>
        <v>高层</v>
      </c>
      <c r="D6" s="3420">
        <f>SUM(H6:AA6)</f>
        <v>54886.400000000001</v>
      </c>
      <c r="E6" s="3421">
        <f>[2]经济指标!D6</f>
        <v>34304</v>
      </c>
      <c r="F6" s="3422" t="s">
        <v>3476</v>
      </c>
      <c r="G6" s="3420">
        <v>16000</v>
      </c>
      <c r="H6" s="3420">
        <f>G6*E6*H7/10000</f>
        <v>54886.400000000001</v>
      </c>
      <c r="I6" s="3420">
        <f>E6*G6*I7/10000</f>
        <v>0</v>
      </c>
      <c r="J6" s="3423">
        <f>E6*G6*J7/10000</f>
        <v>0</v>
      </c>
      <c r="K6" s="3424">
        <f>E6*G6*K7/10000</f>
        <v>0</v>
      </c>
      <c r="L6" s="3420">
        <f>E6*G6*L7/10000</f>
        <v>0</v>
      </c>
      <c r="M6" s="3420">
        <f>E6*G6*M7/10000</f>
        <v>0</v>
      </c>
      <c r="N6" s="3420"/>
      <c r="O6" s="3420"/>
      <c r="P6" s="3420"/>
      <c r="Q6" s="3420"/>
      <c r="R6" s="3420"/>
      <c r="S6" s="3420"/>
      <c r="T6" s="3420"/>
      <c r="U6" s="3420"/>
      <c r="V6" s="3420"/>
      <c r="W6" s="3420"/>
      <c r="X6" s="3420"/>
      <c r="Y6" s="3420"/>
      <c r="Z6" s="3420"/>
      <c r="AA6" s="3423"/>
      <c r="AB6" s="3411">
        <v>13500</v>
      </c>
      <c r="AC6" s="3425"/>
      <c r="AD6" s="3405">
        <v>13963923457</v>
      </c>
    </row>
    <row r="7" spans="2:31" s="3426" customFormat="1" ht="18" customHeight="1">
      <c r="B7" s="3418"/>
      <c r="C7" s="3419" t="s">
        <v>3477</v>
      </c>
      <c r="D7" s="3420"/>
      <c r="E7" s="3427"/>
      <c r="F7" s="3422"/>
      <c r="G7" s="3428"/>
      <c r="H7" s="3429">
        <v>1</v>
      </c>
      <c r="I7" s="3429">
        <v>0</v>
      </c>
      <c r="J7" s="3430"/>
      <c r="K7" s="3431">
        <v>0</v>
      </c>
      <c r="L7" s="3432">
        <v>0</v>
      </c>
      <c r="M7" s="3432">
        <v>0</v>
      </c>
      <c r="N7" s="3420"/>
      <c r="O7" s="3420"/>
      <c r="P7" s="3420"/>
      <c r="Q7" s="3420"/>
      <c r="R7" s="3420"/>
      <c r="S7" s="3420"/>
      <c r="T7" s="3420"/>
      <c r="U7" s="3420"/>
      <c r="V7" s="3420"/>
      <c r="W7" s="3420"/>
      <c r="X7" s="3420"/>
      <c r="Y7" s="3420"/>
      <c r="Z7" s="3420"/>
      <c r="AA7" s="3423"/>
      <c r="AB7" s="3411"/>
      <c r="AC7" s="3425"/>
      <c r="AD7" s="3405"/>
    </row>
    <row r="8" spans="2:31" s="3426" customFormat="1" ht="18" customHeight="1">
      <c r="B8" s="3418">
        <v>1.2</v>
      </c>
      <c r="C8" s="3419" t="str">
        <f>[2]经济指标!C7</f>
        <v>人才公寓</v>
      </c>
      <c r="D8" s="3420">
        <f>SUM(H8:AA8)</f>
        <v>40063.096799999999</v>
      </c>
      <c r="E8" s="3421">
        <f>[2]经济指标!D7</f>
        <v>50129</v>
      </c>
      <c r="F8" s="3422" t="s">
        <v>3478</v>
      </c>
      <c r="G8" s="3420">
        <v>7992</v>
      </c>
      <c r="H8" s="3420">
        <f>G8*E8*H9/10000</f>
        <v>20031.5484</v>
      </c>
      <c r="I8" s="3420">
        <f>E8*G8*I9/10000</f>
        <v>20031.5484</v>
      </c>
      <c r="J8" s="3423">
        <f>E8*G8*J9/10000</f>
        <v>0</v>
      </c>
      <c r="K8" s="3424">
        <f>E8*G8*K9/10000</f>
        <v>0</v>
      </c>
      <c r="L8" s="3433">
        <f>E8*G8*L9/10000</f>
        <v>0</v>
      </c>
      <c r="M8" s="3433">
        <f>E8*G8*M9/10000</f>
        <v>0</v>
      </c>
      <c r="N8" s="3420"/>
      <c r="O8" s="3420"/>
      <c r="P8" s="3420"/>
      <c r="Q8" s="3420"/>
      <c r="R8" s="3420"/>
      <c r="S8" s="3420"/>
      <c r="T8" s="3420"/>
      <c r="U8" s="3420"/>
      <c r="V8" s="3420"/>
      <c r="W8" s="3420"/>
      <c r="X8" s="3420"/>
      <c r="Y8" s="3420"/>
      <c r="Z8" s="3420"/>
      <c r="AA8" s="3423"/>
      <c r="AB8" s="3411">
        <v>14500</v>
      </c>
      <c r="AC8" s="3425"/>
      <c r="AD8" s="3405"/>
    </row>
    <row r="9" spans="2:31" s="3426" customFormat="1" ht="18" customHeight="1">
      <c r="B9" s="3418"/>
      <c r="C9" s="3419" t="s">
        <v>3477</v>
      </c>
      <c r="D9" s="3420"/>
      <c r="E9" s="3434"/>
      <c r="F9" s="3422"/>
      <c r="G9" s="3420"/>
      <c r="H9" s="3429">
        <v>0.5</v>
      </c>
      <c r="I9" s="3429">
        <v>0.5</v>
      </c>
      <c r="J9" s="3430"/>
      <c r="K9" s="3431"/>
      <c r="L9" s="3432"/>
      <c r="M9" s="3432"/>
      <c r="N9" s="3420"/>
      <c r="O9" s="3420"/>
      <c r="P9" s="3420"/>
      <c r="Q9" s="3420"/>
      <c r="R9" s="3420"/>
      <c r="S9" s="3420"/>
      <c r="T9" s="3420"/>
      <c r="U9" s="3420"/>
      <c r="V9" s="3420"/>
      <c r="W9" s="3420"/>
      <c r="X9" s="3420"/>
      <c r="Y9" s="3420"/>
      <c r="Z9" s="3420"/>
      <c r="AA9" s="3423"/>
      <c r="AB9" s="3411"/>
      <c r="AC9" s="3425"/>
      <c r="AD9" s="3405"/>
    </row>
    <row r="10" spans="2:31" s="3426" customFormat="1" ht="18" customHeight="1">
      <c r="B10" s="3418">
        <v>1.3</v>
      </c>
      <c r="C10" s="3419" t="str">
        <f>[2]经济指标!C8</f>
        <v>联排别墅</v>
      </c>
      <c r="D10" s="3420">
        <f>SUM(H10:AA10)</f>
        <v>98136</v>
      </c>
      <c r="E10" s="3421">
        <f>[2]经济指标!D8</f>
        <v>40890</v>
      </c>
      <c r="F10" s="3422" t="s">
        <v>3478</v>
      </c>
      <c r="G10" s="3420">
        <v>24000</v>
      </c>
      <c r="H10" s="3420">
        <f>G10*E10*H11/10000</f>
        <v>0</v>
      </c>
      <c r="I10" s="3420">
        <f>E10*G10*I11/10000</f>
        <v>98136</v>
      </c>
      <c r="J10" s="3423">
        <f>E10*G10*J11/10000</f>
        <v>0</v>
      </c>
      <c r="K10" s="3424">
        <f>E10*G10*K11/10000</f>
        <v>0</v>
      </c>
      <c r="L10" s="3433">
        <f>E10*G10*L11/10000</f>
        <v>0</v>
      </c>
      <c r="M10" s="3433">
        <f>E10*G10*M11/10000</f>
        <v>0</v>
      </c>
      <c r="N10" s="3420"/>
      <c r="O10" s="3420"/>
      <c r="P10" s="3420"/>
      <c r="Q10" s="3420"/>
      <c r="R10" s="3420"/>
      <c r="S10" s="3420"/>
      <c r="T10" s="3420"/>
      <c r="U10" s="3420"/>
      <c r="V10" s="3420"/>
      <c r="W10" s="3420"/>
      <c r="X10" s="3420"/>
      <c r="Y10" s="3420"/>
      <c r="Z10" s="3420"/>
      <c r="AA10" s="3423"/>
      <c r="AB10" s="3411">
        <v>21000</v>
      </c>
      <c r="AC10" s="3425"/>
      <c r="AD10" s="3405"/>
    </row>
    <row r="11" spans="2:31" s="3426" customFormat="1" ht="18" customHeight="1">
      <c r="B11" s="3418"/>
      <c r="C11" s="3419" t="s">
        <v>3477</v>
      </c>
      <c r="D11" s="3420"/>
      <c r="E11" s="3427"/>
      <c r="F11" s="3422"/>
      <c r="G11" s="3420"/>
      <c r="H11" s="3429">
        <v>0</v>
      </c>
      <c r="I11" s="3429">
        <v>1</v>
      </c>
      <c r="J11" s="3430"/>
      <c r="K11" s="3431"/>
      <c r="L11" s="3432"/>
      <c r="M11" s="3432">
        <v>0</v>
      </c>
      <c r="N11" s="3420"/>
      <c r="O11" s="3420"/>
      <c r="P11" s="3420"/>
      <c r="Q11" s="3420"/>
      <c r="R11" s="3420"/>
      <c r="S11" s="3420"/>
      <c r="T11" s="3420"/>
      <c r="U11" s="3420"/>
      <c r="V11" s="3420"/>
      <c r="W11" s="3420"/>
      <c r="X11" s="3420"/>
      <c r="Y11" s="3420"/>
      <c r="Z11" s="3420"/>
      <c r="AA11" s="3423"/>
      <c r="AB11" s="3411"/>
      <c r="AC11" s="3425"/>
      <c r="AD11" s="3405"/>
    </row>
    <row r="12" spans="2:31" s="3426" customFormat="1" ht="18" customHeight="1">
      <c r="B12" s="3418">
        <v>1.3</v>
      </c>
      <c r="C12" s="3419" t="str">
        <f>[2]经济指标!C9</f>
        <v>商业</v>
      </c>
      <c r="D12" s="3420">
        <f>SUM(H12:AA12)</f>
        <v>7476</v>
      </c>
      <c r="E12" s="3421">
        <f>[2]经济指标!D9</f>
        <v>3738</v>
      </c>
      <c r="F12" s="3422" t="s">
        <v>3478</v>
      </c>
      <c r="G12" s="3420">
        <v>20000</v>
      </c>
      <c r="H12" s="3420">
        <f>G12*E12*H13/10000</f>
        <v>0</v>
      </c>
      <c r="I12" s="3420">
        <f>E12*G12*I13/10000</f>
        <v>3738</v>
      </c>
      <c r="J12" s="3423">
        <f>E12*G12*J13/10000</f>
        <v>3738</v>
      </c>
      <c r="K12" s="3424">
        <f>E12*G12*K13/10000</f>
        <v>0</v>
      </c>
      <c r="L12" s="3433">
        <f>E12*G12*L13/10000</f>
        <v>0</v>
      </c>
      <c r="M12" s="3433">
        <f>E12*G12*M13/10000</f>
        <v>0</v>
      </c>
      <c r="N12" s="3420"/>
      <c r="O12" s="3420"/>
      <c r="P12" s="3420"/>
      <c r="Q12" s="3420"/>
      <c r="R12" s="3420"/>
      <c r="S12" s="3420"/>
      <c r="T12" s="3420"/>
      <c r="U12" s="3420"/>
      <c r="V12" s="3420"/>
      <c r="W12" s="3420"/>
      <c r="X12" s="3420"/>
      <c r="Y12" s="3420"/>
      <c r="Z12" s="3420"/>
      <c r="AA12" s="3423"/>
      <c r="AB12" s="3411">
        <v>23500</v>
      </c>
      <c r="AC12" s="3425"/>
      <c r="AD12" s="3405"/>
    </row>
    <row r="13" spans="2:31" s="3426" customFormat="1" ht="18" customHeight="1">
      <c r="B13" s="3418"/>
      <c r="C13" s="3419" t="s">
        <v>3477</v>
      </c>
      <c r="D13" s="3420"/>
      <c r="E13" s="3427"/>
      <c r="F13" s="3422"/>
      <c r="G13" s="3420"/>
      <c r="H13" s="3429">
        <v>0</v>
      </c>
      <c r="I13" s="3429">
        <v>0.5</v>
      </c>
      <c r="J13" s="3430">
        <v>0.5</v>
      </c>
      <c r="K13" s="3431">
        <v>0</v>
      </c>
      <c r="L13" s="3432"/>
      <c r="M13" s="3432">
        <v>0</v>
      </c>
      <c r="N13" s="3420"/>
      <c r="O13" s="3420"/>
      <c r="P13" s="3420"/>
      <c r="Q13" s="3420"/>
      <c r="R13" s="3420"/>
      <c r="S13" s="3420"/>
      <c r="T13" s="3420"/>
      <c r="U13" s="3420"/>
      <c r="V13" s="3420"/>
      <c r="W13" s="3420"/>
      <c r="X13" s="3420"/>
      <c r="Y13" s="3420"/>
      <c r="Z13" s="3420"/>
      <c r="AA13" s="3423"/>
      <c r="AB13" s="3411"/>
      <c r="AC13" s="3425"/>
      <c r="AD13" s="3405"/>
    </row>
    <row r="14" spans="2:31" s="3426" customFormat="1" ht="18" customHeight="1">
      <c r="B14" s="3418">
        <v>1.4</v>
      </c>
      <c r="C14" s="3419" t="str">
        <f>[2]经济指标!C10</f>
        <v>公建配套</v>
      </c>
      <c r="D14" s="3420">
        <f>SUM(H14:AA14)</f>
        <v>0</v>
      </c>
      <c r="E14" s="3421">
        <f>[2]经济指标!D10</f>
        <v>2062</v>
      </c>
      <c r="F14" s="3422" t="s">
        <v>3476</v>
      </c>
      <c r="G14" s="3420">
        <v>0</v>
      </c>
      <c r="H14" s="3420">
        <f>G14*E14*H15/10000</f>
        <v>0</v>
      </c>
      <c r="I14" s="3420">
        <f>E14*G14*I15/10000</f>
        <v>0</v>
      </c>
      <c r="J14" s="3423">
        <f>E14*G14*J15/10000</f>
        <v>0</v>
      </c>
      <c r="K14" s="3424">
        <f>E14*G14*K15/10000</f>
        <v>0</v>
      </c>
      <c r="L14" s="3433">
        <f>E14*G14*L15/10000</f>
        <v>0</v>
      </c>
      <c r="M14" s="3433">
        <f>E14*G14*M15/10000</f>
        <v>0</v>
      </c>
      <c r="N14" s="3420"/>
      <c r="O14" s="3420"/>
      <c r="P14" s="3420"/>
      <c r="Q14" s="3420"/>
      <c r="R14" s="3420"/>
      <c r="S14" s="3420"/>
      <c r="T14" s="3420"/>
      <c r="U14" s="3420"/>
      <c r="V14" s="3420"/>
      <c r="W14" s="3420"/>
      <c r="X14" s="3420"/>
      <c r="Y14" s="3420"/>
      <c r="Z14" s="3420"/>
      <c r="AA14" s="3423"/>
      <c r="AB14" s="3411">
        <v>12500</v>
      </c>
      <c r="AC14" s="3425"/>
      <c r="AD14" s="3405"/>
    </row>
    <row r="15" spans="2:31" s="3426" customFormat="1" ht="18" customHeight="1">
      <c r="B15" s="3418"/>
      <c r="C15" s="3419" t="s">
        <v>3479</v>
      </c>
      <c r="D15" s="3420"/>
      <c r="E15" s="3434"/>
      <c r="F15" s="3422"/>
      <c r="G15" s="3420"/>
      <c r="H15" s="3429"/>
      <c r="I15" s="3429">
        <v>0.3</v>
      </c>
      <c r="J15" s="3430">
        <v>0.4</v>
      </c>
      <c r="K15" s="3431">
        <v>0.3</v>
      </c>
      <c r="L15" s="3432">
        <v>0</v>
      </c>
      <c r="M15" s="3432">
        <v>0</v>
      </c>
      <c r="N15" s="3420"/>
      <c r="O15" s="3420"/>
      <c r="P15" s="3420"/>
      <c r="Q15" s="3420"/>
      <c r="R15" s="3420"/>
      <c r="S15" s="3420"/>
      <c r="T15" s="3420"/>
      <c r="U15" s="3420"/>
      <c r="V15" s="3420"/>
      <c r="W15" s="3420"/>
      <c r="X15" s="3420"/>
      <c r="Y15" s="3420"/>
      <c r="Z15" s="3420"/>
      <c r="AA15" s="3423"/>
      <c r="AB15" s="3411"/>
      <c r="AC15" s="3425"/>
      <c r="AD15" s="3405"/>
    </row>
    <row r="16" spans="2:31" s="3426" customFormat="1" ht="18" hidden="1" customHeight="1">
      <c r="B16" s="3418">
        <v>1.5</v>
      </c>
      <c r="C16" s="3419">
        <f>[2]经济指标!C11</f>
        <v>0</v>
      </c>
      <c r="D16" s="3420">
        <f>SUM(H16:AA16)</f>
        <v>0</v>
      </c>
      <c r="E16" s="3421">
        <f>[2]经济指标!D11</f>
        <v>0</v>
      </c>
      <c r="F16" s="3422" t="s">
        <v>3476</v>
      </c>
      <c r="G16" s="3420"/>
      <c r="H16" s="3420">
        <f>G16*E16*H17/10000</f>
        <v>0</v>
      </c>
      <c r="I16" s="3420">
        <f>G16*E16*I17/10000</f>
        <v>0</v>
      </c>
      <c r="J16" s="3423">
        <f>G16*E16*J17/10000</f>
        <v>0</v>
      </c>
      <c r="K16" s="3424">
        <f>G16*E16*K17/10000</f>
        <v>0</v>
      </c>
      <c r="L16" s="3435">
        <f>G16*E16*L17/10000</f>
        <v>0</v>
      </c>
      <c r="M16" s="3435">
        <f>L16*J16*M17/10000</f>
        <v>0</v>
      </c>
      <c r="N16" s="3420"/>
      <c r="O16" s="3420"/>
      <c r="P16" s="3420"/>
      <c r="Q16" s="3420"/>
      <c r="R16" s="3420"/>
      <c r="S16" s="3420"/>
      <c r="T16" s="3420"/>
      <c r="U16" s="3420"/>
      <c r="V16" s="3420"/>
      <c r="W16" s="3420"/>
      <c r="X16" s="3420"/>
      <c r="Y16" s="3420"/>
      <c r="Z16" s="3420"/>
      <c r="AA16" s="3423"/>
      <c r="AB16" s="3411">
        <v>12500</v>
      </c>
      <c r="AC16" s="3425"/>
      <c r="AD16" s="3405"/>
    </row>
    <row r="17" spans="2:31" s="3426" customFormat="1" ht="18" hidden="1" customHeight="1">
      <c r="B17" s="3418"/>
      <c r="C17" s="3419" t="s">
        <v>3479</v>
      </c>
      <c r="D17" s="3420"/>
      <c r="E17" s="3434"/>
      <c r="F17" s="3422"/>
      <c r="G17" s="3420"/>
      <c r="H17" s="3429"/>
      <c r="I17" s="3429">
        <v>0.2</v>
      </c>
      <c r="J17" s="3430">
        <v>0.4</v>
      </c>
      <c r="K17" s="3431">
        <v>0.4</v>
      </c>
      <c r="L17" s="3432"/>
      <c r="M17" s="3432">
        <v>0</v>
      </c>
      <c r="N17" s="3420"/>
      <c r="O17" s="3420"/>
      <c r="P17" s="3420"/>
      <c r="Q17" s="3420"/>
      <c r="R17" s="3420"/>
      <c r="S17" s="3420"/>
      <c r="T17" s="3420"/>
      <c r="U17" s="3420"/>
      <c r="V17" s="3420"/>
      <c r="W17" s="3420"/>
      <c r="X17" s="3420"/>
      <c r="Y17" s="3420"/>
      <c r="Z17" s="3420"/>
      <c r="AA17" s="3423"/>
      <c r="AB17" s="3411"/>
      <c r="AC17" s="3425"/>
      <c r="AD17" s="3405"/>
    </row>
    <row r="18" spans="2:31" s="3426" customFormat="1" ht="18" hidden="1" customHeight="1">
      <c r="B18" s="3418">
        <v>1.6</v>
      </c>
      <c r="C18" s="3419">
        <f>[2]经济指标!C12</f>
        <v>0</v>
      </c>
      <c r="D18" s="3420">
        <f>SUM(H18:AA18)</f>
        <v>0</v>
      </c>
      <c r="E18" s="3427">
        <f>[2]经济指标!D12</f>
        <v>0</v>
      </c>
      <c r="F18" s="3422" t="s">
        <v>3476</v>
      </c>
      <c r="G18" s="3420"/>
      <c r="H18" s="3420">
        <f>G18*E18*H19/10000</f>
        <v>0</v>
      </c>
      <c r="I18" s="3420">
        <f>E18*G18*I19/10000</f>
        <v>0</v>
      </c>
      <c r="J18" s="3423">
        <f>E18*G18*J19/10000</f>
        <v>0</v>
      </c>
      <c r="K18" s="3424">
        <f>E18*G18*K19/10000</f>
        <v>0</v>
      </c>
      <c r="L18" s="3433">
        <f>E18*G18*L19/10000</f>
        <v>0</v>
      </c>
      <c r="M18" s="3433">
        <f>E18*G18*M19/10000</f>
        <v>0</v>
      </c>
      <c r="N18" s="3420"/>
      <c r="O18" s="3420"/>
      <c r="P18" s="3420"/>
      <c r="Q18" s="3420"/>
      <c r="R18" s="3420"/>
      <c r="S18" s="3420"/>
      <c r="T18" s="3420"/>
      <c r="U18" s="3420"/>
      <c r="V18" s="3420"/>
      <c r="W18" s="3420"/>
      <c r="X18" s="3420"/>
      <c r="Y18" s="3420"/>
      <c r="Z18" s="3420"/>
      <c r="AA18" s="3423"/>
      <c r="AB18" s="3411">
        <v>22220</v>
      </c>
      <c r="AC18" s="3425"/>
      <c r="AD18" s="3405"/>
    </row>
    <row r="19" spans="2:31" s="3426" customFormat="1" ht="18" hidden="1" customHeight="1">
      <c r="B19" s="3418"/>
      <c r="C19" s="3419" t="s">
        <v>3477</v>
      </c>
      <c r="D19" s="3420"/>
      <c r="E19" s="3434"/>
      <c r="F19" s="3422"/>
      <c r="G19" s="3420"/>
      <c r="H19" s="3429"/>
      <c r="I19" s="3429">
        <v>0.2</v>
      </c>
      <c r="J19" s="3430">
        <v>0.4</v>
      </c>
      <c r="K19" s="3431">
        <v>0.4</v>
      </c>
      <c r="L19" s="3432"/>
      <c r="M19" s="3432"/>
      <c r="N19" s="3420"/>
      <c r="O19" s="3420"/>
      <c r="P19" s="3420"/>
      <c r="Q19" s="3420"/>
      <c r="R19" s="3420"/>
      <c r="S19" s="3420"/>
      <c r="T19" s="3420"/>
      <c r="U19" s="3420"/>
      <c r="V19" s="3420"/>
      <c r="W19" s="3420"/>
      <c r="X19" s="3420"/>
      <c r="Y19" s="3420"/>
      <c r="Z19" s="3420"/>
      <c r="AA19" s="3423"/>
      <c r="AB19" s="3411"/>
      <c r="AC19" s="3425"/>
      <c r="AD19" s="3405"/>
    </row>
    <row r="20" spans="2:31" s="3426" customFormat="1" ht="18" customHeight="1">
      <c r="B20" s="3418">
        <v>1.7</v>
      </c>
      <c r="C20" s="3419" t="str">
        <f>[2]经济指标!C19</f>
        <v>人防车库（40%）</v>
      </c>
      <c r="D20" s="3420">
        <f>SUM(H20:AA20)</f>
        <v>8200.7999999999993</v>
      </c>
      <c r="E20" s="3427">
        <f>[2]经济指标!D28*40%</f>
        <v>482.40000000000003</v>
      </c>
      <c r="F20" s="3422" t="s">
        <v>3480</v>
      </c>
      <c r="G20" s="3420">
        <v>170000</v>
      </c>
      <c r="H20" s="3420">
        <f>G20*E20*H21/10000</f>
        <v>0</v>
      </c>
      <c r="I20" s="3420">
        <f>E20*G20*I21/10000</f>
        <v>3280.32</v>
      </c>
      <c r="J20" s="3423">
        <f>E20*G20*J21/10000</f>
        <v>4920.4799999999996</v>
      </c>
      <c r="K20" s="3424">
        <f>E20*G20*K21/10000</f>
        <v>0</v>
      </c>
      <c r="L20" s="3433">
        <f>E20*G20*L21/10000</f>
        <v>0</v>
      </c>
      <c r="M20" s="3433">
        <f>E20*G20*M21/10000</f>
        <v>0</v>
      </c>
      <c r="N20" s="3420"/>
      <c r="O20" s="3420"/>
      <c r="P20" s="3420"/>
      <c r="Q20" s="3420"/>
      <c r="R20" s="3420"/>
      <c r="S20" s="3420"/>
      <c r="T20" s="3420"/>
      <c r="U20" s="3420"/>
      <c r="V20" s="3420"/>
      <c r="W20" s="3420"/>
      <c r="X20" s="3420"/>
      <c r="Y20" s="3420"/>
      <c r="Z20" s="3420"/>
      <c r="AA20" s="3423"/>
      <c r="AB20" s="3411">
        <v>5500</v>
      </c>
      <c r="AC20" s="3425"/>
      <c r="AD20" s="3405"/>
    </row>
    <row r="21" spans="2:31" s="3426" customFormat="1" ht="18" customHeight="1">
      <c r="B21" s="3418"/>
      <c r="C21" s="3419" t="s">
        <v>3477</v>
      </c>
      <c r="D21" s="3420"/>
      <c r="E21" s="3434"/>
      <c r="F21" s="3422"/>
      <c r="G21" s="3420"/>
      <c r="H21" s="3429"/>
      <c r="I21" s="3429">
        <v>0.4</v>
      </c>
      <c r="J21" s="3430">
        <v>0.6</v>
      </c>
      <c r="K21" s="3431">
        <v>0</v>
      </c>
      <c r="L21" s="3432"/>
      <c r="M21" s="3432"/>
      <c r="N21" s="3420"/>
      <c r="O21" s="3420"/>
      <c r="P21" s="3420"/>
      <c r="Q21" s="3420"/>
      <c r="R21" s="3420"/>
      <c r="S21" s="3420"/>
      <c r="T21" s="3420"/>
      <c r="U21" s="3420"/>
      <c r="V21" s="3420"/>
      <c r="W21" s="3420"/>
      <c r="X21" s="3420"/>
      <c r="Y21" s="3420"/>
      <c r="Z21" s="3420"/>
      <c r="AA21" s="3423"/>
      <c r="AB21" s="3411"/>
      <c r="AC21" s="3425"/>
      <c r="AD21" s="3405"/>
    </row>
    <row r="22" spans="2:31" s="3426" customFormat="1" ht="18" customHeight="1">
      <c r="B22" s="3418">
        <v>1.8</v>
      </c>
      <c r="C22" s="3419" t="str">
        <f>[2]经济指标!C20</f>
        <v>非人防车库（60%）</v>
      </c>
      <c r="D22" s="3420">
        <f>SUM(H22:AA22)</f>
        <v>12301.2</v>
      </c>
      <c r="E22" s="3436">
        <f>[2]经济指标!D28*60%</f>
        <v>723.6</v>
      </c>
      <c r="F22" s="3422" t="s">
        <v>3480</v>
      </c>
      <c r="G22" s="3420">
        <v>170000</v>
      </c>
      <c r="H22" s="3420">
        <f>G22*E22*H23/10000</f>
        <v>0</v>
      </c>
      <c r="I22" s="3420">
        <f>E22*G22*I23/10000</f>
        <v>4920.4799999999996</v>
      </c>
      <c r="J22" s="3423">
        <f>E22*G22*J23/10000</f>
        <v>7380.72</v>
      </c>
      <c r="K22" s="3424">
        <f>E22*G22*K23/10000</f>
        <v>0</v>
      </c>
      <c r="L22" s="3433">
        <f>E22*G22*L23/10000</f>
        <v>0</v>
      </c>
      <c r="M22" s="3433">
        <f>E22*G22*M23/10000</f>
        <v>0</v>
      </c>
      <c r="N22" s="3420"/>
      <c r="O22" s="3420"/>
      <c r="P22" s="3420"/>
      <c r="Q22" s="3420"/>
      <c r="R22" s="3420"/>
      <c r="S22" s="3420"/>
      <c r="T22" s="3420"/>
      <c r="U22" s="3420"/>
      <c r="V22" s="3420"/>
      <c r="W22" s="3420"/>
      <c r="X22" s="3420"/>
      <c r="Y22" s="3420"/>
      <c r="Z22" s="3420"/>
      <c r="AA22" s="3423"/>
      <c r="AB22" s="3411">
        <v>100000</v>
      </c>
      <c r="AC22" s="3425"/>
      <c r="AD22" s="3405"/>
    </row>
    <row r="23" spans="2:31" s="3426" customFormat="1" ht="18" customHeight="1">
      <c r="B23" s="3418"/>
      <c r="C23" s="3419" t="s">
        <v>3477</v>
      </c>
      <c r="D23" s="3420"/>
      <c r="E23" s="3434"/>
      <c r="F23" s="3422"/>
      <c r="G23" s="3420"/>
      <c r="H23" s="3429"/>
      <c r="I23" s="3429">
        <v>0.4</v>
      </c>
      <c r="J23" s="3430">
        <v>0.6</v>
      </c>
      <c r="K23" s="3431">
        <v>0</v>
      </c>
      <c r="L23" s="3432"/>
      <c r="M23" s="3432"/>
      <c r="N23" s="3420"/>
      <c r="O23" s="3420"/>
      <c r="P23" s="3420"/>
      <c r="Q23" s="3420"/>
      <c r="R23" s="3420"/>
      <c r="S23" s="3420"/>
      <c r="T23" s="3420"/>
      <c r="U23" s="3420"/>
      <c r="V23" s="3420"/>
      <c r="W23" s="3420"/>
      <c r="X23" s="3420"/>
      <c r="Y23" s="3420"/>
      <c r="Z23" s="3420"/>
      <c r="AA23" s="3423"/>
      <c r="AB23" s="3411"/>
      <c r="AC23" s="3425"/>
      <c r="AD23" s="3405"/>
    </row>
    <row r="24" spans="2:31" s="3426" customFormat="1" ht="18" hidden="1" customHeight="1">
      <c r="B24" s="3437" t="s">
        <v>3481</v>
      </c>
      <c r="C24" s="3438">
        <f>[2]经济指标!C11</f>
        <v>0</v>
      </c>
      <c r="D24" s="3420">
        <f>SUM(H24:AA24)</f>
        <v>0</v>
      </c>
      <c r="E24" s="3427"/>
      <c r="F24" s="3422" t="s">
        <v>3476</v>
      </c>
      <c r="G24" s="3420"/>
      <c r="H24" s="3420">
        <f>G24*E24*H25/10000</f>
        <v>0</v>
      </c>
      <c r="I24" s="3420">
        <f>E24*G24*I25/10000</f>
        <v>0</v>
      </c>
      <c r="J24" s="3423">
        <f>E24*G24*J25/10000</f>
        <v>0</v>
      </c>
      <c r="K24" s="3424">
        <f>E24*G24*K25/10000</f>
        <v>0</v>
      </c>
      <c r="L24" s="3433">
        <f>E24*G24*L25/10000</f>
        <v>0</v>
      </c>
      <c r="M24" s="3433">
        <f>E24*G24*M25/10000</f>
        <v>0</v>
      </c>
      <c r="N24" s="3420"/>
      <c r="O24" s="3420"/>
      <c r="P24" s="3420"/>
      <c r="Q24" s="3420"/>
      <c r="R24" s="3420"/>
      <c r="S24" s="3420"/>
      <c r="T24" s="3420"/>
      <c r="U24" s="3420"/>
      <c r="V24" s="3420"/>
      <c r="W24" s="3420"/>
      <c r="X24" s="3420"/>
      <c r="Y24" s="3420"/>
      <c r="Z24" s="3420"/>
      <c r="AA24" s="3423"/>
      <c r="AB24" s="3411">
        <v>5000</v>
      </c>
      <c r="AC24" s="3425"/>
      <c r="AD24" s="3405"/>
    </row>
    <row r="25" spans="2:31" s="3426" customFormat="1" ht="18" hidden="1" customHeight="1">
      <c r="B25" s="3418"/>
      <c r="C25" s="3419"/>
      <c r="D25" s="3420"/>
      <c r="E25" s="3427"/>
      <c r="F25" s="3422"/>
      <c r="G25" s="3420"/>
      <c r="H25" s="3429"/>
      <c r="I25" s="3429"/>
      <c r="J25" s="3430"/>
      <c r="K25" s="3431"/>
      <c r="L25" s="3432">
        <v>1</v>
      </c>
      <c r="M25" s="3432"/>
      <c r="N25" s="3420"/>
      <c r="O25" s="3420"/>
      <c r="P25" s="3420"/>
      <c r="Q25" s="3420"/>
      <c r="R25" s="3420"/>
      <c r="S25" s="3420"/>
      <c r="T25" s="3420"/>
      <c r="U25" s="3420"/>
      <c r="V25" s="3420"/>
      <c r="W25" s="3420"/>
      <c r="X25" s="3420"/>
      <c r="Y25" s="3420"/>
      <c r="Z25" s="3420"/>
      <c r="AA25" s="3423"/>
      <c r="AB25" s="3411"/>
      <c r="AC25" s="3425"/>
      <c r="AD25" s="3405"/>
    </row>
    <row r="26" spans="2:31" s="3426" customFormat="1" ht="18" hidden="1" customHeight="1">
      <c r="B26" s="3437" t="s">
        <v>3482</v>
      </c>
      <c r="C26" s="3419">
        <f>[2]经济指标!C14</f>
        <v>0</v>
      </c>
      <c r="D26" s="3420">
        <f>SUM(H26:AA26)</f>
        <v>0</v>
      </c>
      <c r="E26" s="3427">
        <f>[2]经济指标!D14</f>
        <v>0</v>
      </c>
      <c r="F26" s="3422" t="s">
        <v>3476</v>
      </c>
      <c r="G26" s="3420"/>
      <c r="H26" s="3420">
        <f>G26*E26*H27/10000</f>
        <v>0</v>
      </c>
      <c r="I26" s="3420">
        <f>E26*G26*I27/10000</f>
        <v>0</v>
      </c>
      <c r="J26" s="3423">
        <f>E26*G26*J27/10000</f>
        <v>0</v>
      </c>
      <c r="K26" s="3424">
        <f>E26*G26*K27/10000</f>
        <v>0</v>
      </c>
      <c r="L26" s="3433">
        <f>E26*G26*L27/10000</f>
        <v>0</v>
      </c>
      <c r="M26" s="3433">
        <f>E26*G26*M27/10000</f>
        <v>0</v>
      </c>
      <c r="N26" s="3420"/>
      <c r="O26" s="3420"/>
      <c r="P26" s="3420"/>
      <c r="Q26" s="3420"/>
      <c r="R26" s="3420"/>
      <c r="S26" s="3420"/>
      <c r="T26" s="3420"/>
      <c r="U26" s="3420"/>
      <c r="V26" s="3420"/>
      <c r="W26" s="3420"/>
      <c r="X26" s="3420"/>
      <c r="Y26" s="3420"/>
      <c r="Z26" s="3420"/>
      <c r="AA26" s="3423"/>
      <c r="AB26" s="3411">
        <v>10800</v>
      </c>
      <c r="AC26" s="3425"/>
      <c r="AD26" s="3405"/>
    </row>
    <row r="27" spans="2:31" s="3426" customFormat="1" ht="18" hidden="1" customHeight="1">
      <c r="B27" s="3418"/>
      <c r="C27" s="3419"/>
      <c r="D27" s="3420"/>
      <c r="E27" s="3434"/>
      <c r="F27" s="3422"/>
      <c r="G27" s="3420"/>
      <c r="H27" s="3429"/>
      <c r="I27" s="3429"/>
      <c r="J27" s="3430"/>
      <c r="K27" s="3431"/>
      <c r="L27" s="3432">
        <v>1</v>
      </c>
      <c r="M27" s="3432"/>
      <c r="N27" s="3420"/>
      <c r="O27" s="3420"/>
      <c r="P27" s="3420"/>
      <c r="Q27" s="3420"/>
      <c r="R27" s="3420"/>
      <c r="S27" s="3420"/>
      <c r="T27" s="3420"/>
      <c r="U27" s="3420"/>
      <c r="V27" s="3420"/>
      <c r="W27" s="3420"/>
      <c r="X27" s="3420"/>
      <c r="Y27" s="3420"/>
      <c r="Z27" s="3420"/>
      <c r="AA27" s="3423"/>
      <c r="AB27" s="3411"/>
      <c r="AC27" s="3425"/>
      <c r="AD27" s="3405"/>
    </row>
    <row r="28" spans="2:31" s="3426" customFormat="1" ht="18" hidden="1" customHeight="1">
      <c r="B28" s="3437" t="s">
        <v>3482</v>
      </c>
      <c r="C28" s="3419"/>
      <c r="D28" s="3420">
        <f>SUM(H28:AA28)</f>
        <v>0</v>
      </c>
      <c r="E28" s="3427"/>
      <c r="F28" s="3422" t="s">
        <v>3476</v>
      </c>
      <c r="G28" s="3420">
        <f>AB28*$AC$5</f>
        <v>0</v>
      </c>
      <c r="H28" s="3420">
        <f>G28*E28*H29/10000</f>
        <v>0</v>
      </c>
      <c r="I28" s="3420">
        <f>E28*G28*I29/10000</f>
        <v>0</v>
      </c>
      <c r="J28" s="3423">
        <f>E28*G28*J29/10000</f>
        <v>0</v>
      </c>
      <c r="K28" s="3424">
        <f>E28*G28*K29/10000</f>
        <v>0</v>
      </c>
      <c r="L28" s="3433">
        <f>E28*G28*L29/10000</f>
        <v>0</v>
      </c>
      <c r="M28" s="3433">
        <f>E28*G28*M29/10000</f>
        <v>0</v>
      </c>
      <c r="N28" s="3420"/>
      <c r="O28" s="3420"/>
      <c r="P28" s="3420"/>
      <c r="Q28" s="3420"/>
      <c r="R28" s="3420"/>
      <c r="S28" s="3420"/>
      <c r="T28" s="3420"/>
      <c r="U28" s="3420"/>
      <c r="V28" s="3420"/>
      <c r="W28" s="3420"/>
      <c r="X28" s="3420"/>
      <c r="Y28" s="3420"/>
      <c r="Z28" s="3420"/>
      <c r="AA28" s="3423"/>
      <c r="AB28" s="3411"/>
      <c r="AC28" s="3425"/>
      <c r="AD28" s="3405"/>
    </row>
    <row r="29" spans="2:31" s="3426" customFormat="1" ht="18" hidden="1" customHeight="1">
      <c r="B29" s="3418"/>
      <c r="C29" s="3419"/>
      <c r="D29" s="3420"/>
      <c r="E29" s="3434"/>
      <c r="F29" s="3422"/>
      <c r="G29" s="3420"/>
      <c r="H29" s="3429"/>
      <c r="I29" s="3429"/>
      <c r="J29" s="3430"/>
      <c r="K29" s="3431"/>
      <c r="L29" s="3432">
        <v>1</v>
      </c>
      <c r="M29" s="3432"/>
      <c r="N29" s="3420"/>
      <c r="O29" s="3420"/>
      <c r="P29" s="3420"/>
      <c r="Q29" s="3420"/>
      <c r="R29" s="3420"/>
      <c r="S29" s="3420"/>
      <c r="T29" s="3420"/>
      <c r="U29" s="3420"/>
      <c r="V29" s="3420"/>
      <c r="W29" s="3420"/>
      <c r="X29" s="3420"/>
      <c r="Y29" s="3420"/>
      <c r="Z29" s="3420"/>
      <c r="AA29" s="3423"/>
      <c r="AB29" s="3411"/>
      <c r="AC29" s="3425"/>
      <c r="AD29" s="3405"/>
    </row>
    <row r="30" spans="2:31" s="3415" customFormat="1" ht="18" hidden="1" customHeight="1">
      <c r="B30" s="3416">
        <v>2</v>
      </c>
      <c r="C30" s="3407" t="s">
        <v>3483</v>
      </c>
      <c r="D30" s="3408">
        <f>SUM(H30:AA30)</f>
        <v>0</v>
      </c>
      <c r="E30" s="3439"/>
      <c r="F30" s="3408"/>
      <c r="G30" s="3408"/>
      <c r="H30" s="3408">
        <f t="shared" ref="H30:AA30" si="2">H31+H33+H35+H37</f>
        <v>0</v>
      </c>
      <c r="I30" s="3408">
        <f t="shared" si="2"/>
        <v>0</v>
      </c>
      <c r="J30" s="3409">
        <f t="shared" si="2"/>
        <v>0</v>
      </c>
      <c r="K30" s="3410">
        <f t="shared" si="2"/>
        <v>0</v>
      </c>
      <c r="L30" s="3439">
        <f t="shared" si="2"/>
        <v>0</v>
      </c>
      <c r="M30" s="3439">
        <f t="shared" si="2"/>
        <v>0</v>
      </c>
      <c r="N30" s="3408">
        <f t="shared" si="2"/>
        <v>0</v>
      </c>
      <c r="O30" s="3408">
        <f t="shared" si="2"/>
        <v>0</v>
      </c>
      <c r="P30" s="3408">
        <f t="shared" si="2"/>
        <v>0</v>
      </c>
      <c r="Q30" s="3408">
        <f t="shared" si="2"/>
        <v>0</v>
      </c>
      <c r="R30" s="3408">
        <f t="shared" si="2"/>
        <v>0</v>
      </c>
      <c r="S30" s="3408">
        <f t="shared" si="2"/>
        <v>0</v>
      </c>
      <c r="T30" s="3408">
        <f t="shared" si="2"/>
        <v>0</v>
      </c>
      <c r="U30" s="3408">
        <f t="shared" si="2"/>
        <v>0</v>
      </c>
      <c r="V30" s="3408">
        <f t="shared" si="2"/>
        <v>0</v>
      </c>
      <c r="W30" s="3408">
        <f t="shared" si="2"/>
        <v>0</v>
      </c>
      <c r="X30" s="3408">
        <f t="shared" si="2"/>
        <v>0</v>
      </c>
      <c r="Y30" s="3408">
        <f t="shared" si="2"/>
        <v>0</v>
      </c>
      <c r="Z30" s="3408">
        <f t="shared" si="2"/>
        <v>0</v>
      </c>
      <c r="AA30" s="3409">
        <f t="shared" si="2"/>
        <v>0</v>
      </c>
      <c r="AB30" s="3411"/>
      <c r="AC30" s="3412">
        <f>[2]敏感性分析!I24</f>
        <v>1</v>
      </c>
      <c r="AD30" s="3417" t="s">
        <v>3484</v>
      </c>
      <c r="AE30" s="3414"/>
    </row>
    <row r="31" spans="2:31" s="3426" customFormat="1" ht="18" hidden="1" customHeight="1">
      <c r="B31" s="3418">
        <v>2.1</v>
      </c>
      <c r="C31" s="3438">
        <f>[2]经济指标!C13</f>
        <v>0</v>
      </c>
      <c r="D31" s="3420">
        <f>SUM(H31:AA31)</f>
        <v>0</v>
      </c>
      <c r="E31" s="3427">
        <v>0</v>
      </c>
      <c r="F31" s="3422" t="s">
        <v>3478</v>
      </c>
      <c r="G31" s="3420">
        <f>AB31*AC30</f>
        <v>648</v>
      </c>
      <c r="H31" s="3420">
        <f>$E$31*$G$31*H32/10000</f>
        <v>0</v>
      </c>
      <c r="I31" s="3420">
        <f>$E$31*$G$31*I32/10000</f>
        <v>0</v>
      </c>
      <c r="J31" s="3423">
        <f>$E$31*$G$31*J32/10000</f>
        <v>0</v>
      </c>
      <c r="K31" s="3424">
        <f>$E$31*$G$31*K32/10000</f>
        <v>0</v>
      </c>
      <c r="L31" s="3433">
        <f>$E$31*$G$31*L32/10000/4*3</f>
        <v>0</v>
      </c>
      <c r="M31" s="3433">
        <f t="shared" ref="M31:AA31" si="3">$E$31*$G$31*M32/10000</f>
        <v>0</v>
      </c>
      <c r="N31" s="3420">
        <f t="shared" si="3"/>
        <v>0</v>
      </c>
      <c r="O31" s="3420">
        <f t="shared" si="3"/>
        <v>0</v>
      </c>
      <c r="P31" s="3420">
        <f t="shared" si="3"/>
        <v>0</v>
      </c>
      <c r="Q31" s="3420">
        <f t="shared" si="3"/>
        <v>0</v>
      </c>
      <c r="R31" s="3420">
        <f t="shared" si="3"/>
        <v>0</v>
      </c>
      <c r="S31" s="3420">
        <f t="shared" si="3"/>
        <v>0</v>
      </c>
      <c r="T31" s="3420">
        <f t="shared" si="3"/>
        <v>0</v>
      </c>
      <c r="U31" s="3420">
        <f t="shared" si="3"/>
        <v>0</v>
      </c>
      <c r="V31" s="3420">
        <f t="shared" si="3"/>
        <v>0</v>
      </c>
      <c r="W31" s="3420">
        <f t="shared" si="3"/>
        <v>0</v>
      </c>
      <c r="X31" s="3420">
        <f t="shared" si="3"/>
        <v>0</v>
      </c>
      <c r="Y31" s="3420">
        <f t="shared" si="3"/>
        <v>0</v>
      </c>
      <c r="Z31" s="3420">
        <f t="shared" si="3"/>
        <v>0</v>
      </c>
      <c r="AA31" s="3423">
        <f t="shared" si="3"/>
        <v>0</v>
      </c>
      <c r="AB31" s="3411">
        <f>360*1.8</f>
        <v>648</v>
      </c>
      <c r="AC31" s="3425" t="s">
        <v>3485</v>
      </c>
      <c r="AD31" s="3405"/>
    </row>
    <row r="32" spans="2:31" s="3426" customFormat="1" ht="18" hidden="1" customHeight="1">
      <c r="B32" s="3418"/>
      <c r="C32" s="3419" t="s">
        <v>3486</v>
      </c>
      <c r="D32" s="3420"/>
      <c r="E32" s="3427"/>
      <c r="F32" s="3422"/>
      <c r="G32" s="3428"/>
      <c r="H32" s="3429"/>
      <c r="I32" s="3429"/>
      <c r="J32" s="3430">
        <v>0.4</v>
      </c>
      <c r="K32" s="3431">
        <v>0.6</v>
      </c>
      <c r="L32" s="3429">
        <v>0.9</v>
      </c>
      <c r="M32" s="3429"/>
      <c r="N32" s="3429"/>
      <c r="O32" s="3429"/>
      <c r="P32" s="3429"/>
      <c r="Q32" s="3429"/>
      <c r="R32" s="3429"/>
      <c r="S32" s="3429"/>
      <c r="T32" s="3429"/>
      <c r="U32" s="3429"/>
      <c r="V32" s="3429"/>
      <c r="W32" s="3429"/>
      <c r="X32" s="3429"/>
      <c r="Y32" s="3429"/>
      <c r="Z32" s="3429"/>
      <c r="AA32" s="3430"/>
      <c r="AB32" s="3411"/>
      <c r="AC32" s="3425"/>
      <c r="AD32" s="3405"/>
    </row>
    <row r="33" spans="2:31" s="3426" customFormat="1" ht="18" hidden="1" customHeight="1">
      <c r="B33" s="3418">
        <v>2.2000000000000002</v>
      </c>
      <c r="C33" s="3419" t="s">
        <v>3487</v>
      </c>
      <c r="D33" s="3420">
        <f>SUM(H33:AA33)</f>
        <v>0</v>
      </c>
      <c r="E33" s="3427">
        <f>[2]经济指标!D14</f>
        <v>0</v>
      </c>
      <c r="F33" s="3422" t="s">
        <v>3478</v>
      </c>
      <c r="G33" s="3420">
        <f>AB33*AC30</f>
        <v>500</v>
      </c>
      <c r="H33" s="3420">
        <f>$G$33*$E$33*H34/10000</f>
        <v>0</v>
      </c>
      <c r="I33" s="3420">
        <f t="shared" ref="I33:AA33" si="4">$G$33*$E$33*I34/10000</f>
        <v>0</v>
      </c>
      <c r="J33" s="3423">
        <f t="shared" si="4"/>
        <v>0</v>
      </c>
      <c r="K33" s="3424">
        <f t="shared" si="4"/>
        <v>0</v>
      </c>
      <c r="L33" s="3433">
        <f t="shared" si="4"/>
        <v>0</v>
      </c>
      <c r="M33" s="3433">
        <f t="shared" si="4"/>
        <v>0</v>
      </c>
      <c r="N33" s="3420">
        <f t="shared" si="4"/>
        <v>0</v>
      </c>
      <c r="O33" s="3420">
        <f t="shared" si="4"/>
        <v>0</v>
      </c>
      <c r="P33" s="3420">
        <f t="shared" si="4"/>
        <v>0</v>
      </c>
      <c r="Q33" s="3420">
        <f t="shared" si="4"/>
        <v>0</v>
      </c>
      <c r="R33" s="3420">
        <f t="shared" si="4"/>
        <v>0</v>
      </c>
      <c r="S33" s="3420">
        <f t="shared" si="4"/>
        <v>0</v>
      </c>
      <c r="T33" s="3420">
        <f t="shared" si="4"/>
        <v>0</v>
      </c>
      <c r="U33" s="3420">
        <f t="shared" si="4"/>
        <v>0</v>
      </c>
      <c r="V33" s="3420">
        <f t="shared" si="4"/>
        <v>0</v>
      </c>
      <c r="W33" s="3420">
        <f t="shared" si="4"/>
        <v>0</v>
      </c>
      <c r="X33" s="3420">
        <f t="shared" si="4"/>
        <v>0</v>
      </c>
      <c r="Y33" s="3420">
        <f t="shared" si="4"/>
        <v>0</v>
      </c>
      <c r="Z33" s="3420">
        <f t="shared" si="4"/>
        <v>0</v>
      </c>
      <c r="AA33" s="3423">
        <f t="shared" si="4"/>
        <v>0</v>
      </c>
      <c r="AB33" s="3411">
        <v>500</v>
      </c>
      <c r="AC33" s="3425" t="s">
        <v>3485</v>
      </c>
      <c r="AD33" s="3405"/>
    </row>
    <row r="34" spans="2:31" s="3426" customFormat="1" ht="18" hidden="1" customHeight="1">
      <c r="B34" s="3418"/>
      <c r="C34" s="3419" t="s">
        <v>3486</v>
      </c>
      <c r="D34" s="3420"/>
      <c r="E34" s="3427"/>
      <c r="F34" s="3422"/>
      <c r="G34" s="3420"/>
      <c r="H34" s="3429"/>
      <c r="I34" s="3429">
        <v>0.2</v>
      </c>
      <c r="J34" s="3430">
        <v>0.4</v>
      </c>
      <c r="K34" s="3431">
        <v>0.6</v>
      </c>
      <c r="L34" s="3429">
        <f>60%/4*3</f>
        <v>0.44999999999999996</v>
      </c>
      <c r="M34" s="3429"/>
      <c r="N34" s="3429"/>
      <c r="O34" s="3429"/>
      <c r="P34" s="3429"/>
      <c r="Q34" s="3429"/>
      <c r="R34" s="3429"/>
      <c r="S34" s="3429"/>
      <c r="T34" s="3429"/>
      <c r="U34" s="3429"/>
      <c r="V34" s="3429"/>
      <c r="W34" s="3429"/>
      <c r="X34" s="3429"/>
      <c r="Y34" s="3429"/>
      <c r="Z34" s="3429"/>
      <c r="AA34" s="3430"/>
      <c r="AB34" s="3411"/>
      <c r="AC34" s="3425"/>
      <c r="AD34" s="3405"/>
    </row>
    <row r="35" spans="2:31" s="3426" customFormat="1" ht="18" hidden="1" customHeight="1">
      <c r="B35" s="3418">
        <v>2.2000000000000002</v>
      </c>
      <c r="C35" s="3419"/>
      <c r="D35" s="3420">
        <f>SUM(H35:AA35)</f>
        <v>0</v>
      </c>
      <c r="E35" s="3427"/>
      <c r="F35" s="3422" t="s">
        <v>3478</v>
      </c>
      <c r="G35" s="3420">
        <f>AB35*AC30</f>
        <v>1000</v>
      </c>
      <c r="H35" s="3420">
        <f>$G$35*$E$35*H36/10000</f>
        <v>0</v>
      </c>
      <c r="I35" s="3420">
        <f t="shared" ref="I35:AA35" si="5">$G$35*$E$35*I36/10000</f>
        <v>0</v>
      </c>
      <c r="J35" s="3423">
        <f t="shared" si="5"/>
        <v>0</v>
      </c>
      <c r="K35" s="3424">
        <f t="shared" si="5"/>
        <v>0</v>
      </c>
      <c r="L35" s="3433">
        <f t="shared" si="5"/>
        <v>0</v>
      </c>
      <c r="M35" s="3433">
        <f t="shared" si="5"/>
        <v>0</v>
      </c>
      <c r="N35" s="3420">
        <f t="shared" si="5"/>
        <v>0</v>
      </c>
      <c r="O35" s="3420">
        <f t="shared" si="5"/>
        <v>0</v>
      </c>
      <c r="P35" s="3420">
        <f t="shared" si="5"/>
        <v>0</v>
      </c>
      <c r="Q35" s="3420">
        <f t="shared" si="5"/>
        <v>0</v>
      </c>
      <c r="R35" s="3420">
        <f t="shared" si="5"/>
        <v>0</v>
      </c>
      <c r="S35" s="3420">
        <f t="shared" si="5"/>
        <v>0</v>
      </c>
      <c r="T35" s="3420">
        <f t="shared" si="5"/>
        <v>0</v>
      </c>
      <c r="U35" s="3420">
        <f t="shared" si="5"/>
        <v>0</v>
      </c>
      <c r="V35" s="3420">
        <f t="shared" si="5"/>
        <v>0</v>
      </c>
      <c r="W35" s="3420">
        <f t="shared" si="5"/>
        <v>0</v>
      </c>
      <c r="X35" s="3420">
        <f t="shared" si="5"/>
        <v>0</v>
      </c>
      <c r="Y35" s="3420">
        <f t="shared" si="5"/>
        <v>0</v>
      </c>
      <c r="Z35" s="3420">
        <f t="shared" si="5"/>
        <v>0</v>
      </c>
      <c r="AA35" s="3423">
        <f t="shared" si="5"/>
        <v>0</v>
      </c>
      <c r="AB35" s="3411">
        <v>1000</v>
      </c>
      <c r="AC35" s="3425" t="s">
        <v>3485</v>
      </c>
      <c r="AD35" s="3405"/>
    </row>
    <row r="36" spans="2:31" s="3426" customFormat="1" ht="18" hidden="1" customHeight="1">
      <c r="B36" s="3418"/>
      <c r="C36" s="3419" t="s">
        <v>3486</v>
      </c>
      <c r="D36" s="3420"/>
      <c r="E36" s="3434"/>
      <c r="F36" s="3422"/>
      <c r="G36" s="3420"/>
      <c r="H36" s="3429"/>
      <c r="I36" s="3429">
        <v>0.2</v>
      </c>
      <c r="J36" s="3430">
        <v>0.4</v>
      </c>
      <c r="K36" s="3431">
        <v>0.6</v>
      </c>
      <c r="L36" s="3429">
        <v>0.9</v>
      </c>
      <c r="M36" s="3429">
        <v>0.9</v>
      </c>
      <c r="N36" s="3429">
        <v>0.9</v>
      </c>
      <c r="O36" s="3429">
        <v>0.9</v>
      </c>
      <c r="P36" s="3429">
        <v>0.9</v>
      </c>
      <c r="Q36" s="3429">
        <v>0.9</v>
      </c>
      <c r="R36" s="3429">
        <v>0.9</v>
      </c>
      <c r="S36" s="3429">
        <v>0.9</v>
      </c>
      <c r="T36" s="3429">
        <v>0.9</v>
      </c>
      <c r="U36" s="3429">
        <v>0.9</v>
      </c>
      <c r="V36" s="3429">
        <v>0.9</v>
      </c>
      <c r="W36" s="3429">
        <v>0.9</v>
      </c>
      <c r="X36" s="3429">
        <v>0.9</v>
      </c>
      <c r="Y36" s="3429">
        <v>0.9</v>
      </c>
      <c r="Z36" s="3429">
        <v>0.9</v>
      </c>
      <c r="AA36" s="3430">
        <v>0.9</v>
      </c>
      <c r="AB36" s="3411"/>
      <c r="AC36" s="3425"/>
      <c r="AD36" s="3405"/>
    </row>
    <row r="37" spans="2:31" s="3426" customFormat="1" ht="18" hidden="1" customHeight="1">
      <c r="B37" s="3418">
        <v>2.2999999999999998</v>
      </c>
      <c r="C37" s="3419"/>
      <c r="D37" s="3420">
        <f>SUM(H37:AA37)</f>
        <v>0</v>
      </c>
      <c r="E37" s="3427"/>
      <c r="F37" s="3422" t="s">
        <v>3478</v>
      </c>
      <c r="G37" s="3420">
        <f>AB37*AC30</f>
        <v>1200</v>
      </c>
      <c r="H37" s="3420">
        <f>$G$37*$E$37*H38/10000</f>
        <v>0</v>
      </c>
      <c r="I37" s="3420">
        <f t="shared" ref="I37:AA37" si="6">$G$37*$E$37*I38/10000</f>
        <v>0</v>
      </c>
      <c r="J37" s="3423">
        <f t="shared" si="6"/>
        <v>0</v>
      </c>
      <c r="K37" s="3424">
        <f t="shared" si="6"/>
        <v>0</v>
      </c>
      <c r="L37" s="3433">
        <f t="shared" si="6"/>
        <v>0</v>
      </c>
      <c r="M37" s="3433">
        <f t="shared" si="6"/>
        <v>0</v>
      </c>
      <c r="N37" s="3420">
        <f t="shared" si="6"/>
        <v>0</v>
      </c>
      <c r="O37" s="3420">
        <f t="shared" si="6"/>
        <v>0</v>
      </c>
      <c r="P37" s="3420">
        <f t="shared" si="6"/>
        <v>0</v>
      </c>
      <c r="Q37" s="3420">
        <f t="shared" si="6"/>
        <v>0</v>
      </c>
      <c r="R37" s="3420">
        <f t="shared" si="6"/>
        <v>0</v>
      </c>
      <c r="S37" s="3420">
        <f t="shared" si="6"/>
        <v>0</v>
      </c>
      <c r="T37" s="3420">
        <f t="shared" si="6"/>
        <v>0</v>
      </c>
      <c r="U37" s="3420">
        <f t="shared" si="6"/>
        <v>0</v>
      </c>
      <c r="V37" s="3420">
        <f t="shared" si="6"/>
        <v>0</v>
      </c>
      <c r="W37" s="3420">
        <f t="shared" si="6"/>
        <v>0</v>
      </c>
      <c r="X37" s="3420">
        <f t="shared" si="6"/>
        <v>0</v>
      </c>
      <c r="Y37" s="3420">
        <f t="shared" si="6"/>
        <v>0</v>
      </c>
      <c r="Z37" s="3420">
        <f t="shared" si="6"/>
        <v>0</v>
      </c>
      <c r="AA37" s="3423">
        <f t="shared" si="6"/>
        <v>0</v>
      </c>
      <c r="AB37" s="3411">
        <v>1200</v>
      </c>
      <c r="AC37" s="3425" t="s">
        <v>3485</v>
      </c>
      <c r="AD37" s="3405"/>
    </row>
    <row r="38" spans="2:31" s="3426" customFormat="1" ht="18" hidden="1" customHeight="1">
      <c r="B38" s="3418"/>
      <c r="C38" s="3419" t="s">
        <v>3486</v>
      </c>
      <c r="D38" s="3420"/>
      <c r="E38" s="3434"/>
      <c r="F38" s="3422"/>
      <c r="G38" s="3420"/>
      <c r="H38" s="3429"/>
      <c r="I38" s="3429">
        <v>0.2</v>
      </c>
      <c r="J38" s="3430">
        <v>0.4</v>
      </c>
      <c r="K38" s="3431">
        <v>0.6</v>
      </c>
      <c r="L38" s="3429">
        <v>0.9</v>
      </c>
      <c r="M38" s="3429">
        <v>0.8</v>
      </c>
      <c r="N38" s="3429">
        <v>0.9</v>
      </c>
      <c r="O38" s="3429">
        <v>0.9</v>
      </c>
      <c r="P38" s="3429">
        <v>0.9</v>
      </c>
      <c r="Q38" s="3429">
        <v>0.9</v>
      </c>
      <c r="R38" s="3429">
        <v>0.9</v>
      </c>
      <c r="S38" s="3429">
        <v>0.9</v>
      </c>
      <c r="T38" s="3429">
        <v>0.9</v>
      </c>
      <c r="U38" s="3429">
        <v>0.9</v>
      </c>
      <c r="V38" s="3429">
        <v>0.9</v>
      </c>
      <c r="W38" s="3429">
        <v>0.9</v>
      </c>
      <c r="X38" s="3429">
        <v>0.9</v>
      </c>
      <c r="Y38" s="3429">
        <v>0.9</v>
      </c>
      <c r="Z38" s="3429">
        <v>0.9</v>
      </c>
      <c r="AA38" s="3430">
        <v>0.9</v>
      </c>
      <c r="AB38" s="3411"/>
      <c r="AC38" s="3425"/>
      <c r="AD38" s="3405"/>
    </row>
    <row r="39" spans="2:31" s="3415" customFormat="1" ht="18" hidden="1" customHeight="1">
      <c r="B39" s="3416">
        <v>3</v>
      </c>
      <c r="C39" s="3407" t="s">
        <v>3488</v>
      </c>
      <c r="D39" s="3408">
        <f>SUM(H39:V39)</f>
        <v>0</v>
      </c>
      <c r="E39" s="3408"/>
      <c r="F39" s="3408"/>
      <c r="G39" s="3408"/>
      <c r="H39" s="3408">
        <f t="shared" ref="H39:AA39" si="7">H40+H41+H42</f>
        <v>0</v>
      </c>
      <c r="I39" s="3408">
        <f t="shared" si="7"/>
        <v>0</v>
      </c>
      <c r="J39" s="3409">
        <f t="shared" si="7"/>
        <v>0</v>
      </c>
      <c r="K39" s="3410">
        <f t="shared" si="7"/>
        <v>0</v>
      </c>
      <c r="L39" s="3439">
        <f t="shared" si="7"/>
        <v>0</v>
      </c>
      <c r="M39" s="3439">
        <f t="shared" si="7"/>
        <v>0</v>
      </c>
      <c r="N39" s="3408">
        <f t="shared" si="7"/>
        <v>0</v>
      </c>
      <c r="O39" s="3408">
        <f t="shared" si="7"/>
        <v>0</v>
      </c>
      <c r="P39" s="3408">
        <f t="shared" si="7"/>
        <v>0</v>
      </c>
      <c r="Q39" s="3408">
        <f t="shared" si="7"/>
        <v>0</v>
      </c>
      <c r="R39" s="3408">
        <f t="shared" si="7"/>
        <v>0</v>
      </c>
      <c r="S39" s="3408">
        <f t="shared" si="7"/>
        <v>0</v>
      </c>
      <c r="T39" s="3408">
        <f t="shared" si="7"/>
        <v>0</v>
      </c>
      <c r="U39" s="3408">
        <f t="shared" si="7"/>
        <v>0</v>
      </c>
      <c r="V39" s="3408">
        <f t="shared" si="7"/>
        <v>0</v>
      </c>
      <c r="W39" s="3408">
        <f t="shared" si="7"/>
        <v>0</v>
      </c>
      <c r="X39" s="3408">
        <f t="shared" si="7"/>
        <v>0</v>
      </c>
      <c r="Y39" s="3408">
        <f t="shared" si="7"/>
        <v>0</v>
      </c>
      <c r="Z39" s="3408">
        <f t="shared" si="7"/>
        <v>0</v>
      </c>
      <c r="AA39" s="3409">
        <f t="shared" si="7"/>
        <v>0</v>
      </c>
      <c r="AB39" s="3411"/>
      <c r="AC39" s="3412"/>
      <c r="AD39" s="3413"/>
      <c r="AE39" s="3414"/>
    </row>
    <row r="40" spans="2:31" s="3426" customFormat="1" ht="18" hidden="1" customHeight="1">
      <c r="B40" s="3418">
        <v>3.1</v>
      </c>
      <c r="C40" s="3419"/>
      <c r="D40" s="3420"/>
      <c r="E40" s="3427"/>
      <c r="F40" s="3422"/>
      <c r="G40" s="3420"/>
      <c r="H40" s="3420"/>
      <c r="I40" s="3420"/>
      <c r="J40" s="3423"/>
      <c r="K40" s="3424"/>
      <c r="L40" s="3433"/>
      <c r="M40" s="3433"/>
      <c r="N40" s="3420"/>
      <c r="O40" s="3420"/>
      <c r="P40" s="3420"/>
      <c r="Q40" s="3420"/>
      <c r="R40" s="3420"/>
      <c r="S40" s="3420"/>
      <c r="T40" s="3420"/>
      <c r="U40" s="3420"/>
      <c r="V40" s="3420"/>
      <c r="W40" s="3420"/>
      <c r="X40" s="3420"/>
      <c r="Y40" s="3420"/>
      <c r="Z40" s="3420"/>
      <c r="AA40" s="3423"/>
      <c r="AB40" s="3411">
        <v>0</v>
      </c>
      <c r="AC40" s="3425"/>
      <c r="AD40" s="3405"/>
    </row>
    <row r="41" spans="2:31" s="3426" customFormat="1" ht="18" hidden="1" customHeight="1">
      <c r="B41" s="3418">
        <v>3.2</v>
      </c>
      <c r="C41" s="3419"/>
      <c r="D41" s="3420"/>
      <c r="E41" s="3427"/>
      <c r="F41" s="3422"/>
      <c r="G41" s="3420"/>
      <c r="H41" s="3420"/>
      <c r="I41" s="3420"/>
      <c r="J41" s="3423"/>
      <c r="K41" s="3424"/>
      <c r="L41" s="3433"/>
      <c r="M41" s="3433"/>
      <c r="N41" s="3420"/>
      <c r="O41" s="3420"/>
      <c r="P41" s="3420"/>
      <c r="Q41" s="3420"/>
      <c r="R41" s="3420"/>
      <c r="S41" s="3420"/>
      <c r="T41" s="3420"/>
      <c r="U41" s="3420"/>
      <c r="V41" s="3420"/>
      <c r="W41" s="3420"/>
      <c r="X41" s="3420"/>
      <c r="Y41" s="3420"/>
      <c r="Z41" s="3420"/>
      <c r="AA41" s="3423"/>
      <c r="AB41" s="3411">
        <v>0</v>
      </c>
      <c r="AC41" s="3425"/>
      <c r="AD41" s="3405"/>
    </row>
    <row r="42" spans="2:31" s="3426" customFormat="1" ht="18" hidden="1" customHeight="1">
      <c r="B42" s="3418">
        <v>3.3</v>
      </c>
      <c r="C42" s="3419"/>
      <c r="D42" s="3420"/>
      <c r="E42" s="3434"/>
      <c r="F42" s="3422"/>
      <c r="G42" s="3420"/>
      <c r="H42" s="3420"/>
      <c r="I42" s="3420"/>
      <c r="J42" s="3423"/>
      <c r="K42" s="3424"/>
      <c r="L42" s="3433"/>
      <c r="M42" s="3433"/>
      <c r="N42" s="3420"/>
      <c r="O42" s="3420"/>
      <c r="P42" s="3420"/>
      <c r="Q42" s="3420"/>
      <c r="R42" s="3420"/>
      <c r="S42" s="3420"/>
      <c r="T42" s="3420"/>
      <c r="U42" s="3420"/>
      <c r="V42" s="3420"/>
      <c r="W42" s="3420"/>
      <c r="X42" s="3420"/>
      <c r="Y42" s="3420"/>
      <c r="Z42" s="3420"/>
      <c r="AA42" s="3423"/>
      <c r="AB42" s="3411">
        <v>0</v>
      </c>
      <c r="AC42" s="3425"/>
      <c r="AD42" s="3405"/>
    </row>
    <row r="43" spans="2:31" s="3450" customFormat="1" ht="18" customHeight="1">
      <c r="B43" s="3440" t="s">
        <v>3489</v>
      </c>
      <c r="C43" s="3441" t="s">
        <v>3490</v>
      </c>
      <c r="D43" s="3442">
        <f>D48-D44</f>
        <v>6808.0580061474693</v>
      </c>
      <c r="E43" s="3442"/>
      <c r="F43" s="3442"/>
      <c r="G43" s="3442"/>
      <c r="H43" s="3442"/>
      <c r="I43" s="3443">
        <f>H48+I48-H44-I44</f>
        <v>8021.1235845168358</v>
      </c>
      <c r="J43" s="3444">
        <f>J48-J44</f>
        <v>-1213.0655783693669</v>
      </c>
      <c r="K43" s="3445">
        <f>K48-K44</f>
        <v>0</v>
      </c>
      <c r="L43" s="3446">
        <f>L48-L44</f>
        <v>0</v>
      </c>
      <c r="M43" s="3446">
        <f>M48-M44</f>
        <v>0</v>
      </c>
      <c r="N43" s="3442">
        <f t="shared" ref="N43:AA43" si="8">N48-N44</f>
        <v>0</v>
      </c>
      <c r="O43" s="3442">
        <f t="shared" si="8"/>
        <v>0</v>
      </c>
      <c r="P43" s="3442">
        <f t="shared" si="8"/>
        <v>0</v>
      </c>
      <c r="Q43" s="3442">
        <f t="shared" si="8"/>
        <v>0</v>
      </c>
      <c r="R43" s="3442">
        <f t="shared" si="8"/>
        <v>0</v>
      </c>
      <c r="S43" s="3442">
        <f t="shared" si="8"/>
        <v>0</v>
      </c>
      <c r="T43" s="3442">
        <f t="shared" si="8"/>
        <v>0</v>
      </c>
      <c r="U43" s="3442">
        <f t="shared" si="8"/>
        <v>0</v>
      </c>
      <c r="V43" s="3442">
        <f t="shared" si="8"/>
        <v>0</v>
      </c>
      <c r="W43" s="3442">
        <f t="shared" si="8"/>
        <v>0</v>
      </c>
      <c r="X43" s="3442">
        <f t="shared" si="8"/>
        <v>0</v>
      </c>
      <c r="Y43" s="3442">
        <f t="shared" si="8"/>
        <v>0</v>
      </c>
      <c r="Z43" s="3442">
        <f t="shared" si="8"/>
        <v>0</v>
      </c>
      <c r="AA43" s="3444">
        <f t="shared" si="8"/>
        <v>0</v>
      </c>
      <c r="AB43" s="3447"/>
      <c r="AC43" s="3448" t="s">
        <v>3491</v>
      </c>
      <c r="AD43" s="3449">
        <f>D43/D4</f>
        <v>3.0796843914519444E-2</v>
      </c>
    </row>
    <row r="44" spans="2:31" ht="18" customHeight="1">
      <c r="B44" s="3451">
        <v>3.1</v>
      </c>
      <c r="C44" s="3419" t="s">
        <v>3492</v>
      </c>
      <c r="D44" s="3452">
        <f>SUM(H44:AA44)</f>
        <v>6802.1626450616232</v>
      </c>
      <c r="E44" s="3452"/>
      <c r="F44" s="3452"/>
      <c r="G44" s="3452"/>
      <c r="H44" s="3452">
        <f t="shared" ref="H44:AA44" si="9">SUM(H45:H47)</f>
        <v>2353.3674727504867</v>
      </c>
      <c r="I44" s="3452">
        <f t="shared" si="9"/>
        <v>1682.3492303054059</v>
      </c>
      <c r="J44" s="3453">
        <f t="shared" si="9"/>
        <v>2766.4459420057306</v>
      </c>
      <c r="K44" s="3454">
        <f t="shared" si="9"/>
        <v>0</v>
      </c>
      <c r="L44" s="3452">
        <f t="shared" si="9"/>
        <v>0</v>
      </c>
      <c r="M44" s="3452">
        <f t="shared" si="9"/>
        <v>0</v>
      </c>
      <c r="N44" s="3452">
        <f t="shared" si="9"/>
        <v>0</v>
      </c>
      <c r="O44" s="3452">
        <f t="shared" si="9"/>
        <v>0</v>
      </c>
      <c r="P44" s="3452">
        <f t="shared" si="9"/>
        <v>0</v>
      </c>
      <c r="Q44" s="3452">
        <f t="shared" si="9"/>
        <v>0</v>
      </c>
      <c r="R44" s="3452">
        <f t="shared" si="9"/>
        <v>0</v>
      </c>
      <c r="S44" s="3452">
        <f t="shared" si="9"/>
        <v>0</v>
      </c>
      <c r="T44" s="3452">
        <f t="shared" si="9"/>
        <v>0</v>
      </c>
      <c r="U44" s="3452">
        <f t="shared" si="9"/>
        <v>0</v>
      </c>
      <c r="V44" s="3452">
        <f t="shared" si="9"/>
        <v>0</v>
      </c>
      <c r="W44" s="3452">
        <f t="shared" si="9"/>
        <v>0</v>
      </c>
      <c r="X44" s="3452">
        <f t="shared" si="9"/>
        <v>0</v>
      </c>
      <c r="Y44" s="3452">
        <f t="shared" si="9"/>
        <v>0</v>
      </c>
      <c r="Z44" s="3452">
        <f t="shared" si="9"/>
        <v>0</v>
      </c>
      <c r="AA44" s="3453">
        <f t="shared" si="9"/>
        <v>0</v>
      </c>
      <c r="AB44" s="3455"/>
      <c r="AC44" s="3456">
        <f>[2]总成本!C32</f>
        <v>1</v>
      </c>
    </row>
    <row r="45" spans="2:31" ht="18" customHeight="1">
      <c r="B45" s="3451" t="s">
        <v>3493</v>
      </c>
      <c r="C45" s="3419" t="s">
        <v>3494</v>
      </c>
      <c r="D45" s="3452"/>
      <c r="E45" s="3452"/>
      <c r="F45" s="3452"/>
      <c r="G45" s="3452"/>
      <c r="H45" s="3452">
        <f>([2]总投资!D6+[2]总投资!D17)*0.3*0.1</f>
        <v>1831.4659346704866</v>
      </c>
      <c r="I45" s="3452">
        <f>([2]总投资!D6+[2]总投资!D17)*0.25*0.1</f>
        <v>1526.2216122254058</v>
      </c>
      <c r="J45" s="3453">
        <f>([2]总投资!D6+[2]总投资!D17)*0.45*0.1</f>
        <v>2747.1989020057304</v>
      </c>
      <c r="K45" s="3454"/>
      <c r="L45" s="3452"/>
      <c r="M45" s="3452"/>
      <c r="N45" s="3452"/>
      <c r="O45" s="3452"/>
      <c r="P45" s="3452"/>
      <c r="Q45" s="3452"/>
      <c r="R45" s="3452"/>
      <c r="S45" s="3452"/>
      <c r="T45" s="3452"/>
      <c r="U45" s="3452"/>
      <c r="V45" s="3452"/>
      <c r="W45" s="3452"/>
      <c r="X45" s="3452"/>
      <c r="Y45" s="3452"/>
      <c r="Z45" s="3452"/>
      <c r="AA45" s="3453"/>
      <c r="AB45" s="3455">
        <v>0.1</v>
      </c>
      <c r="AC45" s="3456"/>
    </row>
    <row r="46" spans="2:31" ht="18" customHeight="1">
      <c r="B46" s="3451" t="s">
        <v>3495</v>
      </c>
      <c r="C46" s="3419" t="s">
        <v>3496</v>
      </c>
      <c r="D46" s="3452"/>
      <c r="E46" s="3452"/>
      <c r="F46" s="3452"/>
      <c r="G46" s="3452"/>
      <c r="H46" s="3452">
        <f>[2]总投资!D10*0.16</f>
        <v>432</v>
      </c>
      <c r="I46" s="3452"/>
      <c r="J46" s="3453"/>
      <c r="K46" s="3454"/>
      <c r="L46" s="3452"/>
      <c r="M46" s="3452"/>
      <c r="N46" s="3452"/>
      <c r="O46" s="3452"/>
      <c r="P46" s="3452"/>
      <c r="Q46" s="3452"/>
      <c r="R46" s="3452"/>
      <c r="S46" s="3452"/>
      <c r="T46" s="3452"/>
      <c r="U46" s="3452"/>
      <c r="V46" s="3452"/>
      <c r="W46" s="3452"/>
      <c r="X46" s="3452"/>
      <c r="Y46" s="3452"/>
      <c r="Z46" s="3452"/>
      <c r="AA46" s="3453"/>
      <c r="AB46" s="3455">
        <v>0.16</v>
      </c>
      <c r="AC46" s="3456"/>
    </row>
    <row r="47" spans="2:31" ht="18" customHeight="1">
      <c r="B47" s="3451" t="s">
        <v>3497</v>
      </c>
      <c r="C47" s="3419" t="s">
        <v>3498</v>
      </c>
      <c r="D47" s="3452"/>
      <c r="E47" s="3452"/>
      <c r="F47" s="3452"/>
      <c r="G47" s="3452"/>
      <c r="H47" s="3452">
        <f>[2]总成本!E29*0.06</f>
        <v>89.901538079999995</v>
      </c>
      <c r="I47" s="3452">
        <f>[2]总成本!F29*0.06</f>
        <v>156.12761807999999</v>
      </c>
      <c r="J47" s="3453">
        <f>[2]总成本!G29*0.06</f>
        <v>19.247040000000002</v>
      </c>
      <c r="K47" s="3454">
        <f>[2]总成本!H29*0.06</f>
        <v>0</v>
      </c>
      <c r="L47" s="3452">
        <f>[2]总成本!I29*0.06</f>
        <v>0</v>
      </c>
      <c r="M47" s="3452">
        <f>[2]总成本!J29*0.06</f>
        <v>0</v>
      </c>
      <c r="N47" s="3452">
        <f>[2]总成本!K29*0.06</f>
        <v>0</v>
      </c>
      <c r="O47" s="3452">
        <f>[2]总成本!L29*0.06</f>
        <v>0</v>
      </c>
      <c r="P47" s="3452">
        <f>[2]总成本!M29*0.06</f>
        <v>0</v>
      </c>
      <c r="Q47" s="3452">
        <f>[2]总成本!N29*0.06</f>
        <v>0</v>
      </c>
      <c r="R47" s="3452">
        <f>[2]总成本!O29*0.06</f>
        <v>0</v>
      </c>
      <c r="S47" s="3452">
        <f>[2]总成本!P29*0.06</f>
        <v>0</v>
      </c>
      <c r="T47" s="3452">
        <f>[2]总成本!Q29*0.06</f>
        <v>0</v>
      </c>
      <c r="U47" s="3452">
        <f>[2]总成本!R29*0.06</f>
        <v>0</v>
      </c>
      <c r="V47" s="3452">
        <f>[2]总成本!S29*0.06</f>
        <v>0</v>
      </c>
      <c r="W47" s="3452">
        <f>[2]总成本!T29*0.06</f>
        <v>0</v>
      </c>
      <c r="X47" s="3452">
        <f>[2]总成本!U29*0.06</f>
        <v>0</v>
      </c>
      <c r="Y47" s="3452">
        <f>[2]总成本!V29*0.06</f>
        <v>0</v>
      </c>
      <c r="Z47" s="3452">
        <f>[2]总成本!W29*0.06</f>
        <v>0</v>
      </c>
      <c r="AA47" s="3453">
        <f>[2]总成本!X29*0.06</f>
        <v>0</v>
      </c>
      <c r="AB47" s="3455">
        <v>0.06</v>
      </c>
      <c r="AC47" s="3456"/>
    </row>
    <row r="48" spans="2:31" ht="18" customHeight="1">
      <c r="B48" s="3451">
        <v>3.2</v>
      </c>
      <c r="C48" s="3419" t="s">
        <v>3499</v>
      </c>
      <c r="D48" s="3452">
        <f>SUM(H48:AA48)</f>
        <v>13610.220651209092</v>
      </c>
      <c r="E48" s="3452"/>
      <c r="F48" s="3452"/>
      <c r="G48" s="3452"/>
      <c r="H48" s="3452">
        <f t="shared" ref="H48:AA48" si="10">SUM(H49:H51)</f>
        <v>-539.36914479090865</v>
      </c>
      <c r="I48" s="3452">
        <f t="shared" si="10"/>
        <v>12596.209432363637</v>
      </c>
      <c r="J48" s="3453">
        <f t="shared" si="10"/>
        <v>1553.3803636363637</v>
      </c>
      <c r="K48" s="3454">
        <f t="shared" si="10"/>
        <v>0</v>
      </c>
      <c r="L48" s="3452">
        <f t="shared" si="10"/>
        <v>0</v>
      </c>
      <c r="M48" s="3452">
        <f t="shared" si="10"/>
        <v>0</v>
      </c>
      <c r="N48" s="3452">
        <f t="shared" si="10"/>
        <v>0</v>
      </c>
      <c r="O48" s="3452">
        <f t="shared" si="10"/>
        <v>0</v>
      </c>
      <c r="P48" s="3452">
        <f t="shared" si="10"/>
        <v>0</v>
      </c>
      <c r="Q48" s="3452">
        <f t="shared" si="10"/>
        <v>0</v>
      </c>
      <c r="R48" s="3452">
        <f t="shared" si="10"/>
        <v>0</v>
      </c>
      <c r="S48" s="3452">
        <f t="shared" si="10"/>
        <v>0</v>
      </c>
      <c r="T48" s="3452">
        <f t="shared" si="10"/>
        <v>0</v>
      </c>
      <c r="U48" s="3452">
        <f t="shared" si="10"/>
        <v>0</v>
      </c>
      <c r="V48" s="3452">
        <f t="shared" si="10"/>
        <v>0</v>
      </c>
      <c r="W48" s="3452">
        <f t="shared" si="10"/>
        <v>0</v>
      </c>
      <c r="X48" s="3452">
        <f t="shared" si="10"/>
        <v>0</v>
      </c>
      <c r="Y48" s="3452">
        <f t="shared" si="10"/>
        <v>0</v>
      </c>
      <c r="Z48" s="3452">
        <f t="shared" si="10"/>
        <v>0</v>
      </c>
      <c r="AA48" s="3453">
        <f t="shared" si="10"/>
        <v>0</v>
      </c>
      <c r="AB48" s="3455">
        <v>0.06</v>
      </c>
    </row>
    <row r="49" spans="2:29" ht="18" customHeight="1">
      <c r="B49" s="3451" t="s">
        <v>3500</v>
      </c>
      <c r="C49" s="3419" t="s">
        <v>3501</v>
      </c>
      <c r="D49" s="3452"/>
      <c r="E49" s="3452"/>
      <c r="F49" s="3452"/>
      <c r="G49" s="3452"/>
      <c r="H49" s="3452">
        <f>(H5-[2]总投资!$F$12*经营收入及税金!H7-H57)*0.1</f>
        <v>-539.36914479090865</v>
      </c>
      <c r="I49" s="3452">
        <f>(I5-[2]总投资!$F$12*经营收入及税金!I7-I57)*0.1</f>
        <v>12596.209432363637</v>
      </c>
      <c r="J49" s="3453">
        <f>(J5-[2]总投资!$F$12*经营收入及税金!J7-J57)*0.1</f>
        <v>1553.3803636363637</v>
      </c>
      <c r="K49" s="3454">
        <f>(K5-[2]总投资!$F$12*经营收入及税金!K7)*0.1</f>
        <v>0</v>
      </c>
      <c r="L49" s="3452"/>
      <c r="M49" s="3452"/>
      <c r="N49" s="3452"/>
      <c r="O49" s="3452"/>
      <c r="P49" s="3452"/>
      <c r="Q49" s="3452"/>
      <c r="R49" s="3452"/>
      <c r="S49" s="3452"/>
      <c r="T49" s="3452"/>
      <c r="U49" s="3452"/>
      <c r="V49" s="3452"/>
      <c r="W49" s="3452"/>
      <c r="X49" s="3452"/>
      <c r="Y49" s="3452"/>
      <c r="Z49" s="3452"/>
      <c r="AA49" s="3453"/>
      <c r="AB49" s="3455">
        <v>0.1</v>
      </c>
    </row>
    <row r="50" spans="2:29" ht="18" customHeight="1">
      <c r="B50" s="3451" t="s">
        <v>3502</v>
      </c>
      <c r="C50" s="3419" t="s">
        <v>3503</v>
      </c>
      <c r="D50" s="3452"/>
      <c r="E50" s="3452"/>
      <c r="F50" s="3452"/>
      <c r="G50" s="3452"/>
      <c r="H50" s="3452">
        <f>H30*0.11</f>
        <v>0</v>
      </c>
      <c r="I50" s="3452">
        <f t="shared" ref="I50:AA50" si="11">I30*0.1</f>
        <v>0</v>
      </c>
      <c r="J50" s="3453">
        <f t="shared" si="11"/>
        <v>0</v>
      </c>
      <c r="K50" s="3454">
        <f t="shared" si="11"/>
        <v>0</v>
      </c>
      <c r="L50" s="3452">
        <f t="shared" si="11"/>
        <v>0</v>
      </c>
      <c r="M50" s="3452">
        <f t="shared" si="11"/>
        <v>0</v>
      </c>
      <c r="N50" s="3452">
        <f t="shared" si="11"/>
        <v>0</v>
      </c>
      <c r="O50" s="3452">
        <f t="shared" si="11"/>
        <v>0</v>
      </c>
      <c r="P50" s="3452">
        <f t="shared" si="11"/>
        <v>0</v>
      </c>
      <c r="Q50" s="3452">
        <f t="shared" si="11"/>
        <v>0</v>
      </c>
      <c r="R50" s="3452">
        <f t="shared" si="11"/>
        <v>0</v>
      </c>
      <c r="S50" s="3452">
        <f t="shared" si="11"/>
        <v>0</v>
      </c>
      <c r="T50" s="3452">
        <f t="shared" si="11"/>
        <v>0</v>
      </c>
      <c r="U50" s="3452">
        <f t="shared" si="11"/>
        <v>0</v>
      </c>
      <c r="V50" s="3452">
        <f t="shared" si="11"/>
        <v>0</v>
      </c>
      <c r="W50" s="3452">
        <f t="shared" si="11"/>
        <v>0</v>
      </c>
      <c r="X50" s="3452">
        <f t="shared" si="11"/>
        <v>0</v>
      </c>
      <c r="Y50" s="3452">
        <f t="shared" si="11"/>
        <v>0</v>
      </c>
      <c r="Z50" s="3452">
        <f t="shared" si="11"/>
        <v>0</v>
      </c>
      <c r="AA50" s="3453">
        <f t="shared" si="11"/>
        <v>0</v>
      </c>
      <c r="AB50" s="3455">
        <v>0.1</v>
      </c>
    </row>
    <row r="51" spans="2:29" ht="18" customHeight="1">
      <c r="B51" s="3451" t="s">
        <v>3504</v>
      </c>
      <c r="C51" s="3419" t="s">
        <v>3505</v>
      </c>
      <c r="D51" s="3452"/>
      <c r="E51" s="3452"/>
      <c r="F51" s="3452"/>
      <c r="G51" s="3452"/>
      <c r="H51" s="3452">
        <f t="shared" ref="H51:AA51" si="12">H39*0.06</f>
        <v>0</v>
      </c>
      <c r="I51" s="3452">
        <f t="shared" si="12"/>
        <v>0</v>
      </c>
      <c r="J51" s="3453">
        <f t="shared" si="12"/>
        <v>0</v>
      </c>
      <c r="K51" s="3454">
        <f t="shared" si="12"/>
        <v>0</v>
      </c>
      <c r="L51" s="3452">
        <f t="shared" si="12"/>
        <v>0</v>
      </c>
      <c r="M51" s="3452">
        <f t="shared" si="12"/>
        <v>0</v>
      </c>
      <c r="N51" s="3452">
        <f t="shared" si="12"/>
        <v>0</v>
      </c>
      <c r="O51" s="3452">
        <f t="shared" si="12"/>
        <v>0</v>
      </c>
      <c r="P51" s="3452">
        <f t="shared" si="12"/>
        <v>0</v>
      </c>
      <c r="Q51" s="3452">
        <f t="shared" si="12"/>
        <v>0</v>
      </c>
      <c r="R51" s="3452">
        <f t="shared" si="12"/>
        <v>0</v>
      </c>
      <c r="S51" s="3452">
        <f t="shared" si="12"/>
        <v>0</v>
      </c>
      <c r="T51" s="3452">
        <f t="shared" si="12"/>
        <v>0</v>
      </c>
      <c r="U51" s="3452">
        <f t="shared" si="12"/>
        <v>0</v>
      </c>
      <c r="V51" s="3452">
        <f t="shared" si="12"/>
        <v>0</v>
      </c>
      <c r="W51" s="3452">
        <f t="shared" si="12"/>
        <v>0</v>
      </c>
      <c r="X51" s="3452">
        <f t="shared" si="12"/>
        <v>0</v>
      </c>
      <c r="Y51" s="3452">
        <f t="shared" si="12"/>
        <v>0</v>
      </c>
      <c r="Z51" s="3452">
        <f t="shared" si="12"/>
        <v>0</v>
      </c>
      <c r="AA51" s="3453">
        <f t="shared" si="12"/>
        <v>0</v>
      </c>
      <c r="AB51" s="3455">
        <v>0.06</v>
      </c>
    </row>
    <row r="52" spans="2:29" s="3450" customFormat="1" ht="18" customHeight="1">
      <c r="B52" s="3458">
        <v>4</v>
      </c>
      <c r="C52" s="3441" t="s">
        <v>3506</v>
      </c>
      <c r="D52" s="3442">
        <f>SUM(D53:D55)</f>
        <v>680.805800614747</v>
      </c>
      <c r="E52" s="3442"/>
      <c r="F52" s="3442"/>
      <c r="G52" s="3442"/>
      <c r="H52" s="3442">
        <f t="shared" ref="H52:AA52" si="13">SUM(H53:H55)</f>
        <v>0</v>
      </c>
      <c r="I52" s="3442">
        <f>SUM(I53:I55)</f>
        <v>802.11235845168369</v>
      </c>
      <c r="J52" s="3444">
        <f t="shared" si="13"/>
        <v>-121.3065578369367</v>
      </c>
      <c r="K52" s="3445">
        <f t="shared" si="13"/>
        <v>0</v>
      </c>
      <c r="L52" s="3442">
        <f t="shared" si="13"/>
        <v>0</v>
      </c>
      <c r="M52" s="3442">
        <f t="shared" si="13"/>
        <v>0</v>
      </c>
      <c r="N52" s="3442">
        <f t="shared" si="13"/>
        <v>0</v>
      </c>
      <c r="O52" s="3442">
        <f t="shared" si="13"/>
        <v>0</v>
      </c>
      <c r="P52" s="3442">
        <f t="shared" si="13"/>
        <v>0</v>
      </c>
      <c r="Q52" s="3442">
        <f t="shared" si="13"/>
        <v>0</v>
      </c>
      <c r="R52" s="3442">
        <f t="shared" si="13"/>
        <v>0</v>
      </c>
      <c r="S52" s="3442">
        <f t="shared" si="13"/>
        <v>0</v>
      </c>
      <c r="T52" s="3442">
        <f t="shared" si="13"/>
        <v>0</v>
      </c>
      <c r="U52" s="3442">
        <f t="shared" si="13"/>
        <v>0</v>
      </c>
      <c r="V52" s="3442">
        <f t="shared" si="13"/>
        <v>0</v>
      </c>
      <c r="W52" s="3442">
        <f t="shared" si="13"/>
        <v>0</v>
      </c>
      <c r="X52" s="3442">
        <f t="shared" si="13"/>
        <v>0</v>
      </c>
      <c r="Y52" s="3442">
        <f t="shared" si="13"/>
        <v>0</v>
      </c>
      <c r="Z52" s="3442">
        <f t="shared" si="13"/>
        <v>0</v>
      </c>
      <c r="AA52" s="3444">
        <f t="shared" si="13"/>
        <v>0</v>
      </c>
      <c r="AB52" s="3455"/>
      <c r="AC52" s="3457"/>
    </row>
    <row r="53" spans="2:29" ht="18" customHeight="1">
      <c r="B53" s="3451">
        <v>2.1</v>
      </c>
      <c r="C53" s="3419" t="s">
        <v>3507</v>
      </c>
      <c r="D53" s="3452">
        <f>SUM(H53:V53)</f>
        <v>0</v>
      </c>
      <c r="E53" s="3452"/>
      <c r="F53" s="3452"/>
      <c r="G53" s="3452"/>
      <c r="H53" s="3452"/>
      <c r="I53" s="3452"/>
      <c r="J53" s="3453"/>
      <c r="K53" s="3454"/>
      <c r="L53" s="3452"/>
      <c r="M53" s="3452"/>
      <c r="N53" s="3452"/>
      <c r="O53" s="3452"/>
      <c r="P53" s="3452"/>
      <c r="Q53" s="3452"/>
      <c r="R53" s="3452"/>
      <c r="S53" s="3452"/>
      <c r="T53" s="3452"/>
      <c r="U53" s="3452"/>
      <c r="V53" s="3452"/>
      <c r="W53" s="3452"/>
      <c r="X53" s="3452"/>
      <c r="Y53" s="3452"/>
      <c r="Z53" s="3452"/>
      <c r="AA53" s="3453"/>
      <c r="AB53" s="3455">
        <v>0</v>
      </c>
    </row>
    <row r="54" spans="2:29" ht="18" customHeight="1">
      <c r="B54" s="3451">
        <v>4.0999999999999996</v>
      </c>
      <c r="C54" s="3419" t="s">
        <v>3508</v>
      </c>
      <c r="D54" s="3452">
        <f>SUM(H54:AA54)</f>
        <v>476.56406043032291</v>
      </c>
      <c r="E54" s="3452"/>
      <c r="F54" s="3452"/>
      <c r="G54" s="3452"/>
      <c r="H54" s="3452">
        <f>IF(H43&gt;0,(H53+H43)*$AB$54,0)</f>
        <v>0</v>
      </c>
      <c r="I54" s="3452">
        <f>IF(H43&lt;0,(I53+I43+H43)*$AB$54,(I53+I43)*$AB$54)</f>
        <v>561.47865091617859</v>
      </c>
      <c r="J54" s="3453">
        <f t="shared" ref="J54:AA54" si="14">(J53+J43)*$AB$54</f>
        <v>-84.914590485855697</v>
      </c>
      <c r="K54" s="3454">
        <f t="shared" si="14"/>
        <v>0</v>
      </c>
      <c r="L54" s="3452">
        <f t="shared" si="14"/>
        <v>0</v>
      </c>
      <c r="M54" s="3452">
        <f t="shared" si="14"/>
        <v>0</v>
      </c>
      <c r="N54" s="3452">
        <f t="shared" si="14"/>
        <v>0</v>
      </c>
      <c r="O54" s="3452">
        <f t="shared" si="14"/>
        <v>0</v>
      </c>
      <c r="P54" s="3452">
        <f t="shared" si="14"/>
        <v>0</v>
      </c>
      <c r="Q54" s="3452">
        <f t="shared" si="14"/>
        <v>0</v>
      </c>
      <c r="R54" s="3452">
        <f t="shared" si="14"/>
        <v>0</v>
      </c>
      <c r="S54" s="3452">
        <f t="shared" si="14"/>
        <v>0</v>
      </c>
      <c r="T54" s="3452">
        <f t="shared" si="14"/>
        <v>0</v>
      </c>
      <c r="U54" s="3452">
        <f t="shared" si="14"/>
        <v>0</v>
      </c>
      <c r="V54" s="3452">
        <f t="shared" si="14"/>
        <v>0</v>
      </c>
      <c r="W54" s="3452">
        <f t="shared" si="14"/>
        <v>0</v>
      </c>
      <c r="X54" s="3452">
        <f t="shared" si="14"/>
        <v>0</v>
      </c>
      <c r="Y54" s="3452">
        <f t="shared" si="14"/>
        <v>0</v>
      </c>
      <c r="Z54" s="3452">
        <f t="shared" si="14"/>
        <v>0</v>
      </c>
      <c r="AA54" s="3453">
        <f t="shared" si="14"/>
        <v>0</v>
      </c>
      <c r="AB54" s="3455">
        <v>7.0000000000000007E-2</v>
      </c>
    </row>
    <row r="55" spans="2:29" ht="18" customHeight="1">
      <c r="B55" s="3451">
        <v>4.2</v>
      </c>
      <c r="C55" s="3419" t="s">
        <v>3509</v>
      </c>
      <c r="D55" s="3452">
        <f>SUM(H55:AA55)</f>
        <v>204.24174018442406</v>
      </c>
      <c r="E55" s="3452"/>
      <c r="F55" s="3452"/>
      <c r="G55" s="3452"/>
      <c r="H55" s="3452">
        <f>IF(H43&gt;0,(H53+H43)*$AB$55,0)</f>
        <v>0</v>
      </c>
      <c r="I55" s="3452">
        <f>IF(H43&lt;0,(I53+I43+H43)*$AB$55,(I53+I43)*$AB$55)</f>
        <v>240.63370753550507</v>
      </c>
      <c r="J55" s="3453">
        <f t="shared" ref="J55:AA55" si="15">(J53+J43)*$AB$55</f>
        <v>-36.391967351081007</v>
      </c>
      <c r="K55" s="3454">
        <f t="shared" si="15"/>
        <v>0</v>
      </c>
      <c r="L55" s="3452">
        <f t="shared" si="15"/>
        <v>0</v>
      </c>
      <c r="M55" s="3452">
        <f t="shared" si="15"/>
        <v>0</v>
      </c>
      <c r="N55" s="3452">
        <f t="shared" si="15"/>
        <v>0</v>
      </c>
      <c r="O55" s="3452">
        <f t="shared" si="15"/>
        <v>0</v>
      </c>
      <c r="P55" s="3452">
        <f t="shared" si="15"/>
        <v>0</v>
      </c>
      <c r="Q55" s="3452">
        <f t="shared" si="15"/>
        <v>0</v>
      </c>
      <c r="R55" s="3452">
        <f t="shared" si="15"/>
        <v>0</v>
      </c>
      <c r="S55" s="3452">
        <f t="shared" si="15"/>
        <v>0</v>
      </c>
      <c r="T55" s="3452">
        <f t="shared" si="15"/>
        <v>0</v>
      </c>
      <c r="U55" s="3452">
        <f t="shared" si="15"/>
        <v>0</v>
      </c>
      <c r="V55" s="3452">
        <f t="shared" si="15"/>
        <v>0</v>
      </c>
      <c r="W55" s="3452">
        <f t="shared" si="15"/>
        <v>0</v>
      </c>
      <c r="X55" s="3452">
        <f t="shared" si="15"/>
        <v>0</v>
      </c>
      <c r="Y55" s="3452">
        <f t="shared" si="15"/>
        <v>0</v>
      </c>
      <c r="Z55" s="3452">
        <f t="shared" si="15"/>
        <v>0</v>
      </c>
      <c r="AA55" s="3453">
        <f t="shared" si="15"/>
        <v>0</v>
      </c>
      <c r="AB55" s="3455">
        <v>0.03</v>
      </c>
    </row>
    <row r="56" spans="2:29" s="3450" customFormat="1" ht="18" customHeight="1">
      <c r="B56" s="3458">
        <v>5</v>
      </c>
      <c r="C56" s="3441" t="s">
        <v>3510</v>
      </c>
      <c r="D56" s="3442"/>
      <c r="E56" s="3442"/>
      <c r="F56" s="3442"/>
      <c r="G56" s="3442"/>
      <c r="H56" s="3459">
        <f>H30*0.12</f>
        <v>0</v>
      </c>
      <c r="I56" s="3442">
        <f t="shared" ref="I56:AA56" si="16">I30*0.12</f>
        <v>0</v>
      </c>
      <c r="J56" s="3444">
        <f t="shared" si="16"/>
        <v>0</v>
      </c>
      <c r="K56" s="3445">
        <f t="shared" si="16"/>
        <v>0</v>
      </c>
      <c r="L56" s="3442">
        <f t="shared" si="16"/>
        <v>0</v>
      </c>
      <c r="M56" s="3442">
        <f t="shared" si="16"/>
        <v>0</v>
      </c>
      <c r="N56" s="3442">
        <f t="shared" si="16"/>
        <v>0</v>
      </c>
      <c r="O56" s="3442">
        <f t="shared" si="16"/>
        <v>0</v>
      </c>
      <c r="P56" s="3442">
        <f t="shared" si="16"/>
        <v>0</v>
      </c>
      <c r="Q56" s="3442">
        <f t="shared" si="16"/>
        <v>0</v>
      </c>
      <c r="R56" s="3442">
        <f t="shared" si="16"/>
        <v>0</v>
      </c>
      <c r="S56" s="3442">
        <f t="shared" si="16"/>
        <v>0</v>
      </c>
      <c r="T56" s="3442">
        <f t="shared" si="16"/>
        <v>0</v>
      </c>
      <c r="U56" s="3442">
        <f t="shared" si="16"/>
        <v>0</v>
      </c>
      <c r="V56" s="3442">
        <f t="shared" si="16"/>
        <v>0</v>
      </c>
      <c r="W56" s="3442">
        <f t="shared" si="16"/>
        <v>0</v>
      </c>
      <c r="X56" s="3442">
        <f t="shared" si="16"/>
        <v>0</v>
      </c>
      <c r="Y56" s="3442">
        <f t="shared" si="16"/>
        <v>0</v>
      </c>
      <c r="Z56" s="3442">
        <f t="shared" si="16"/>
        <v>0</v>
      </c>
      <c r="AA56" s="3444">
        <f t="shared" si="16"/>
        <v>0</v>
      </c>
      <c r="AB56" s="3447">
        <v>0.12</v>
      </c>
      <c r="AC56" s="3448"/>
    </row>
    <row r="57" spans="2:29" s="3450" customFormat="1" ht="18" customHeight="1" thickBot="1">
      <c r="B57" s="3460">
        <v>6</v>
      </c>
      <c r="C57" s="3461" t="s">
        <v>3511</v>
      </c>
      <c r="D57" s="3462">
        <f>[2]土地增值税!D35</f>
        <v>5122.6211615576958</v>
      </c>
      <c r="E57" s="3462"/>
      <c r="F57" s="3462"/>
      <c r="G57" s="3462"/>
      <c r="H57" s="3463">
        <f>H6/1.1*2%+H8/1.1*1%+H10/1.1*4%+H12/1.1*5%+(H20+H22)/1.1*3%</f>
        <v>1180.0395309090909</v>
      </c>
      <c r="I57" s="3463">
        <f>I6/1.1*2%+I8/1.1*1%+I10/1.1*4%+I12/1.1*5%+(I20+I22)/1.1*3%</f>
        <v>4144.2540763636362</v>
      </c>
      <c r="J57" s="3464">
        <f t="shared" ref="J57:N57" si="17">J6/1.1*2%+J8/1.1*1%+J10/1.1*4%+J12/1.1*5%+(J20+J22)/1.1*3%</f>
        <v>505.39636363636362</v>
      </c>
      <c r="K57" s="3465">
        <f t="shared" si="17"/>
        <v>0</v>
      </c>
      <c r="L57" s="3463">
        <f t="shared" si="17"/>
        <v>0</v>
      </c>
      <c r="M57" s="3463">
        <f t="shared" si="17"/>
        <v>0</v>
      </c>
      <c r="N57" s="3463">
        <f t="shared" si="17"/>
        <v>0</v>
      </c>
      <c r="O57" s="3462"/>
      <c r="P57" s="3462"/>
      <c r="Q57" s="3462"/>
      <c r="R57" s="3462"/>
      <c r="S57" s="3462"/>
      <c r="T57" s="3462"/>
      <c r="U57" s="3462"/>
      <c r="V57" s="3462"/>
      <c r="W57" s="3462"/>
      <c r="X57" s="3462"/>
      <c r="Y57" s="3462"/>
      <c r="Z57" s="3462"/>
      <c r="AA57" s="3466"/>
      <c r="AB57" s="3447" t="s">
        <v>3512</v>
      </c>
      <c r="AC57" s="3448"/>
    </row>
    <row r="58" spans="2:29">
      <c r="D58" s="3467">
        <f>D43+D52</f>
        <v>7488.863806762216</v>
      </c>
    </row>
  </sheetData>
  <mergeCells count="2">
    <mergeCell ref="B1:J1"/>
    <mergeCell ref="B2:J2"/>
  </mergeCells>
  <phoneticPr fontId="233" type="noConversion"/>
  <printOptions horizontalCentered="1"/>
  <pageMargins left="0.94" right="0.75" top="1.04" bottom="0.98" header="0.53" footer="0.51"/>
  <pageSetup paperSize="9" scale="70" orientation="landscape" horizontalDpi="4294967293" verticalDpi="4294967293" r:id="rId1"/>
  <headerFooter alignWithMargins="0">
    <oddHeader>&amp;C&amp;"宋体,加粗"&amp;18营业收入、营业税金及附加和增值税估算表&amp;R
单位：万元</oddHeader>
    <oddFooter>第 &amp;P 页，共 &amp;N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B34" sqref="B3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1" t="s">
        <v>719</v>
      </c>
      <c r="C1" s="2622" t="s">
        <v>720</v>
      </c>
      <c r="D1" s="2623" t="s">
        <v>3169</v>
      </c>
      <c r="E1" s="2624"/>
      <c r="F1" s="2805" t="s">
        <v>3192</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20">
        <f>ROUND(B3*D3/10000,0)</f>
        <v>41748</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12170</v>
      </c>
      <c r="C3" s="851" t="s">
        <v>722</v>
      </c>
      <c r="D3" s="850">
        <f>SUMIF('数据-汇总表'!$C19:$C33,D1,'数据-汇总表'!$E19:$E33)</f>
        <v>34304</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521</v>
      </c>
      <c r="B4" s="512"/>
      <c r="C4" s="3677" t="s">
        <v>522</v>
      </c>
      <c r="D4" s="3678"/>
      <c r="E4" s="3702" t="s">
        <v>523</v>
      </c>
      <c r="F4" s="3703"/>
      <c r="G4" s="3677" t="s">
        <v>524</v>
      </c>
      <c r="H4" s="3678"/>
      <c r="I4" s="3677" t="s">
        <v>525</v>
      </c>
      <c r="J4" s="3678"/>
      <c r="K4" s="852" t="s">
        <v>526</v>
      </c>
      <c r="L4" s="2131"/>
      <c r="M4" s="2132"/>
      <c r="N4" s="2132"/>
      <c r="O4" s="2132"/>
      <c r="P4" s="3679" t="s">
        <v>527</v>
      </c>
      <c r="Q4" s="3680"/>
      <c r="R4" s="3665" t="s">
        <v>523</v>
      </c>
      <c r="S4" s="3666"/>
      <c r="T4" s="3665" t="s">
        <v>524</v>
      </c>
      <c r="U4" s="3666"/>
      <c r="V4" s="3685" t="s">
        <v>525</v>
      </c>
      <c r="W4" s="3685"/>
      <c r="X4" s="1564"/>
      <c r="Y4" s="3665" t="s">
        <v>527</v>
      </c>
      <c r="Z4" s="3666"/>
      <c r="AA4" s="3660" t="s">
        <v>523</v>
      </c>
      <c r="AB4" s="3660" t="s">
        <v>524</v>
      </c>
      <c r="AC4" s="3660" t="s">
        <v>525</v>
      </c>
    </row>
    <row r="5" spans="1:29" ht="15">
      <c r="A5" s="514"/>
      <c r="B5" s="515"/>
      <c r="C5" s="3688" t="s">
        <v>2928</v>
      </c>
      <c r="D5" s="3689"/>
      <c r="E5" s="3750" t="s">
        <v>3420</v>
      </c>
      <c r="F5" s="3705"/>
      <c r="G5" s="3751" t="s">
        <v>3421</v>
      </c>
      <c r="H5" s="3689"/>
      <c r="I5" s="3751" t="s">
        <v>3422</v>
      </c>
      <c r="J5" s="3689"/>
      <c r="K5" s="853"/>
      <c r="L5" s="2131"/>
      <c r="M5" s="2132"/>
      <c r="N5" s="2132"/>
      <c r="O5" s="2132"/>
      <c r="P5" s="3681"/>
      <c r="Q5" s="3682"/>
      <c r="R5" s="3667"/>
      <c r="S5" s="3668"/>
      <c r="T5" s="3667"/>
      <c r="U5" s="3668"/>
      <c r="V5" s="3685"/>
      <c r="W5" s="3685"/>
      <c r="X5" s="1564"/>
      <c r="Y5" s="3667"/>
      <c r="Z5" s="3668"/>
      <c r="AA5" s="3661"/>
      <c r="AB5" s="3661"/>
      <c r="AC5" s="3661"/>
    </row>
    <row r="6" spans="1:29" ht="15.75" thickBot="1">
      <c r="A6" s="516"/>
      <c r="B6" s="517"/>
      <c r="C6" s="3686" t="s">
        <v>2932</v>
      </c>
      <c r="D6" s="3687"/>
      <c r="E6" s="3752" t="s">
        <v>3816</v>
      </c>
      <c r="F6" s="3707"/>
      <c r="G6" s="3753" t="s">
        <v>3815</v>
      </c>
      <c r="H6" s="3687"/>
      <c r="I6" s="3753" t="s">
        <v>3818</v>
      </c>
      <c r="J6" s="3687"/>
      <c r="K6" s="853" t="s">
        <v>528</v>
      </c>
      <c r="L6" s="2131"/>
      <c r="M6" s="2132"/>
      <c r="N6" s="2132"/>
      <c r="O6" s="2132"/>
      <c r="P6" s="3683"/>
      <c r="Q6" s="3684"/>
      <c r="R6" s="3667"/>
      <c r="S6" s="3668"/>
      <c r="T6" s="3669"/>
      <c r="U6" s="3670"/>
      <c r="V6" s="3685"/>
      <c r="W6" s="3685"/>
      <c r="X6" s="1564"/>
      <c r="Y6" s="3669"/>
      <c r="Z6" s="3670"/>
      <c r="AA6" s="3662"/>
      <c r="AB6" s="3662"/>
      <c r="AC6" s="3662"/>
    </row>
    <row r="7" spans="1:29" s="1218" customFormat="1" ht="15.75" thickBot="1">
      <c r="A7" s="2910"/>
      <c r="B7" s="2917" t="s">
        <v>529</v>
      </c>
      <c r="C7" s="518">
        <f>'数据-取费表'!B2</f>
        <v>43346</v>
      </c>
      <c r="D7" s="519">
        <v>100</v>
      </c>
      <c r="E7" s="520">
        <v>43160</v>
      </c>
      <c r="F7" s="521">
        <f>SUMIF(58:58,YEAR(E7)&amp;"-"&amp;MONTH(E7),59:59)</f>
        <v>100</v>
      </c>
      <c r="G7" s="522">
        <f>E7</f>
        <v>43160</v>
      </c>
      <c r="H7" s="519">
        <f>SUMIF(58:58,YEAR(G7)&amp;"-"&amp;MONTH(G7),59:59)</f>
        <v>100</v>
      </c>
      <c r="I7" s="522">
        <v>43344</v>
      </c>
      <c r="J7" s="519">
        <f>SUMIF(58:58,YEAR(I7)&amp;"-"&amp;MONTH(I7),59:59)</f>
        <v>100</v>
      </c>
      <c r="K7" s="854"/>
      <c r="L7" s="2133"/>
      <c r="M7" s="2134"/>
      <c r="N7" s="2134"/>
      <c r="O7" s="2134"/>
      <c r="P7" s="3663" t="s">
        <v>530</v>
      </c>
      <c r="Q7" s="3672"/>
      <c r="R7" s="1565" t="s">
        <v>13</v>
      </c>
      <c r="S7" s="1566">
        <f t="shared" ref="S7:S15" si="0">F7</f>
        <v>100</v>
      </c>
      <c r="T7" s="1565" t="s">
        <v>13</v>
      </c>
      <c r="U7" s="1566">
        <f t="shared" ref="U7:U15" si="1">H7</f>
        <v>100</v>
      </c>
      <c r="V7" s="1565" t="s">
        <v>13</v>
      </c>
      <c r="W7" s="1566">
        <f t="shared" ref="W7:W15" si="2">J7</f>
        <v>100</v>
      </c>
      <c r="X7" s="1567"/>
      <c r="Y7" s="3663" t="s">
        <v>530</v>
      </c>
      <c r="Z7" s="3664"/>
      <c r="AA7" s="1568">
        <f>D7/F7</f>
        <v>1</v>
      </c>
      <c r="AB7" s="1568">
        <f>D7/H7</f>
        <v>1</v>
      </c>
      <c r="AC7" s="1568">
        <f>D7/J7</f>
        <v>1</v>
      </c>
    </row>
    <row r="8" spans="1:29" s="1218" customFormat="1" ht="15.75" thickBot="1">
      <c r="A8" s="2911"/>
      <c r="B8" s="2918" t="s">
        <v>531</v>
      </c>
      <c r="C8" s="524" t="s">
        <v>576</v>
      </c>
      <c r="D8" s="519">
        <v>100</v>
      </c>
      <c r="E8" s="855" t="s">
        <v>3399</v>
      </c>
      <c r="F8" s="521">
        <f>SUMIF(61:61,E8,62:62)-SUMIF(61:61,C8,62:62)+100</f>
        <v>100</v>
      </c>
      <c r="G8" s="855" t="s">
        <v>3399</v>
      </c>
      <c r="H8" s="519">
        <f>SUMIF(61:61,G8,62:62)-SUMIF(61:61,C8,62:62)+100</f>
        <v>100</v>
      </c>
      <c r="I8" s="855" t="s">
        <v>3399</v>
      </c>
      <c r="J8" s="519">
        <f>SUMIF(61:61,I8,62:62)-SUMIF(61:61,C8,62:62)+100</f>
        <v>100</v>
      </c>
      <c r="K8" s="854"/>
      <c r="L8" s="2133"/>
      <c r="M8" s="2134"/>
      <c r="N8" s="2134"/>
      <c r="O8" s="2134"/>
      <c r="P8" s="3663" t="s">
        <v>533</v>
      </c>
      <c r="Q8" s="3664"/>
      <c r="R8" s="1565" t="s">
        <v>13</v>
      </c>
      <c r="S8" s="1566">
        <f t="shared" si="0"/>
        <v>100</v>
      </c>
      <c r="T8" s="1565" t="s">
        <v>13</v>
      </c>
      <c r="U8" s="1566">
        <f t="shared" si="1"/>
        <v>100</v>
      </c>
      <c r="V8" s="1565" t="s">
        <v>13</v>
      </c>
      <c r="W8" s="1566">
        <f t="shared" si="2"/>
        <v>100</v>
      </c>
      <c r="X8" s="1567"/>
      <c r="Y8" s="3663" t="s">
        <v>533</v>
      </c>
      <c r="Z8" s="3664"/>
      <c r="AA8" s="1568">
        <f t="shared" ref="AA8:AA46" si="3">D8/F8</f>
        <v>1</v>
      </c>
      <c r="AB8" s="1568">
        <f t="shared" ref="AB8:AB46" si="4">D8/H8</f>
        <v>1</v>
      </c>
      <c r="AC8" s="1568">
        <f t="shared" ref="AC8:AC46" si="5">D8/J8</f>
        <v>1</v>
      </c>
    </row>
    <row r="9" spans="1:29" s="1218" customFormat="1" ht="15">
      <c r="A9" s="2912"/>
      <c r="B9" s="2919" t="s">
        <v>2755</v>
      </c>
      <c r="C9" s="3390" t="s">
        <v>3418</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671" t="s">
        <v>535</v>
      </c>
      <c r="Q9" s="1149" t="str">
        <f t="shared" ref="Q9:Q15" si="6">B9</f>
        <v>用途</v>
      </c>
      <c r="R9" s="1565" t="s">
        <v>8</v>
      </c>
      <c r="S9" s="1566">
        <f t="shared" si="0"/>
        <v>100</v>
      </c>
      <c r="T9" s="1565" t="s">
        <v>8</v>
      </c>
      <c r="U9" s="1566">
        <f t="shared" si="1"/>
        <v>100</v>
      </c>
      <c r="V9" s="1565" t="s">
        <v>8</v>
      </c>
      <c r="W9" s="1566">
        <f t="shared" si="2"/>
        <v>100</v>
      </c>
      <c r="X9" s="1567"/>
      <c r="Y9" s="3628" t="s">
        <v>536</v>
      </c>
      <c r="Z9" s="1148" t="str">
        <f t="shared" ref="Z9:Z15" si="7">Q9</f>
        <v>用途</v>
      </c>
      <c r="AA9" s="1568">
        <f t="shared" si="3"/>
        <v>1</v>
      </c>
      <c r="AB9" s="1568">
        <f t="shared" si="4"/>
        <v>1</v>
      </c>
      <c r="AC9" s="1568">
        <f t="shared" si="5"/>
        <v>1</v>
      </c>
    </row>
    <row r="10" spans="1:29" s="1336" customFormat="1" ht="27">
      <c r="A10" s="2913"/>
      <c r="B10" s="2918" t="s">
        <v>2756</v>
      </c>
      <c r="C10" s="860" t="s">
        <v>3419</v>
      </c>
      <c r="D10" s="254">
        <v>100</v>
      </c>
      <c r="E10" s="861" t="s">
        <v>3419</v>
      </c>
      <c r="F10" s="862">
        <f>SUMIF(65:65,E10,66:66)-SUMIF(65:65,C10,66:66)+100</f>
        <v>100</v>
      </c>
      <c r="G10" s="861" t="s">
        <v>3419</v>
      </c>
      <c r="H10" s="254">
        <f>SUMIF(65:65,G10,66:66)-SUMIF(65:65,C10,66:66)+100</f>
        <v>100</v>
      </c>
      <c r="I10" s="861" t="s">
        <v>3419</v>
      </c>
      <c r="J10" s="254">
        <f>SUMIF(65:65,I10,66:66)-SUMIF(65:65,C10,66:66)+100</f>
        <v>100</v>
      </c>
      <c r="K10" s="863">
        <v>2</v>
      </c>
      <c r="L10" s="2136"/>
      <c r="M10" s="2176"/>
      <c r="N10" s="2176"/>
      <c r="O10" s="2137"/>
      <c r="P10" s="3671"/>
      <c r="Q10" s="1149" t="str">
        <f t="shared" si="6"/>
        <v>土地使用年限（年）</v>
      </c>
      <c r="R10" s="1565" t="s">
        <v>8</v>
      </c>
      <c r="S10" s="1566">
        <f t="shared" si="0"/>
        <v>100</v>
      </c>
      <c r="T10" s="1565" t="s">
        <v>8</v>
      </c>
      <c r="U10" s="1566">
        <f t="shared" si="1"/>
        <v>100</v>
      </c>
      <c r="V10" s="1565" t="s">
        <v>8</v>
      </c>
      <c r="W10" s="1566">
        <f t="shared" si="2"/>
        <v>100</v>
      </c>
      <c r="X10" s="1567"/>
      <c r="Y10" s="3628"/>
      <c r="Z10" s="1148" t="str">
        <f t="shared" si="7"/>
        <v>土地使用年限（年）</v>
      </c>
      <c r="AA10" s="1568">
        <f t="shared" si="3"/>
        <v>1</v>
      </c>
      <c r="AB10" s="1568">
        <f t="shared" si="4"/>
        <v>1</v>
      </c>
      <c r="AC10" s="1568">
        <f t="shared" si="5"/>
        <v>1</v>
      </c>
    </row>
    <row r="11" spans="1:29" ht="15.75" thickBot="1">
      <c r="A11" s="2914"/>
      <c r="B11" s="2918" t="s">
        <v>2757</v>
      </c>
      <c r="C11" s="532">
        <f>'数据-汇总表'!I6</f>
        <v>1.8</v>
      </c>
      <c r="D11" s="254">
        <v>100</v>
      </c>
      <c r="E11" s="533">
        <v>1.5</v>
      </c>
      <c r="F11" s="862">
        <f>LOOKUP(E11,68:68,69:69)-LOOKUP(C11,68:68,69:69)+100</f>
        <v>100</v>
      </c>
      <c r="G11" s="532">
        <v>1.8</v>
      </c>
      <c r="H11" s="254">
        <f>LOOKUP(G11,68:68,69:69)-LOOKUP(C11,68:68,69:69)+100</f>
        <v>100</v>
      </c>
      <c r="I11" s="532">
        <v>1.44</v>
      </c>
      <c r="J11" s="254">
        <f>LOOKUP(I11,68:68,69:69)-LOOKUP(C11,68:68,69:69)+100</f>
        <v>100</v>
      </c>
      <c r="K11" s="863">
        <v>1</v>
      </c>
      <c r="L11" s="2138"/>
      <c r="M11" s="2132"/>
      <c r="N11" s="2132"/>
      <c r="O11" s="2139"/>
      <c r="P11" s="3671"/>
      <c r="Q11" s="1149" t="str">
        <f t="shared" si="6"/>
        <v>容积率</v>
      </c>
      <c r="R11" s="1565" t="s">
        <v>11</v>
      </c>
      <c r="S11" s="1566">
        <f t="shared" si="0"/>
        <v>100</v>
      </c>
      <c r="T11" s="1565" t="s">
        <v>11</v>
      </c>
      <c r="U11" s="1566">
        <f t="shared" si="1"/>
        <v>100</v>
      </c>
      <c r="V11" s="1565" t="s">
        <v>11</v>
      </c>
      <c r="W11" s="1566">
        <f t="shared" si="2"/>
        <v>100</v>
      </c>
      <c r="X11" s="1567"/>
      <c r="Y11" s="3628"/>
      <c r="Z11" s="1148" t="str">
        <f t="shared" si="7"/>
        <v>容积率</v>
      </c>
      <c r="AA11" s="1568">
        <f t="shared" si="3"/>
        <v>1</v>
      </c>
      <c r="AB11" s="1568">
        <f t="shared" si="4"/>
        <v>1</v>
      </c>
      <c r="AC11" s="1568">
        <f t="shared" si="5"/>
        <v>1</v>
      </c>
    </row>
    <row r="12" spans="1:29" s="1218" customFormat="1" ht="15" hidden="1">
      <c r="A12" s="2915"/>
      <c r="B12" s="2921"/>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671"/>
      <c r="Q12" s="1149">
        <f t="shared" si="6"/>
        <v>0</v>
      </c>
      <c r="R12" s="1565" t="s">
        <v>11</v>
      </c>
      <c r="S12" s="1566">
        <f t="shared" si="0"/>
        <v>100</v>
      </c>
      <c r="T12" s="1565" t="s">
        <v>11</v>
      </c>
      <c r="U12" s="1566">
        <f t="shared" si="1"/>
        <v>100</v>
      </c>
      <c r="V12" s="1565" t="s">
        <v>11</v>
      </c>
      <c r="W12" s="1566">
        <f t="shared" si="2"/>
        <v>100</v>
      </c>
      <c r="X12" s="1567"/>
      <c r="Y12" s="3628"/>
      <c r="Z12" s="1148">
        <f t="shared" si="7"/>
        <v>0</v>
      </c>
      <c r="AA12" s="1568">
        <f>D12/F12</f>
        <v>1</v>
      </c>
      <c r="AB12" s="1568">
        <f>D12/H12</f>
        <v>1</v>
      </c>
      <c r="AC12" s="1568">
        <f>D12/J12</f>
        <v>1</v>
      </c>
    </row>
    <row r="13" spans="1:29" ht="15" hidden="1">
      <c r="A13" s="2915"/>
      <c r="B13" s="2921"/>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671"/>
      <c r="Q13" s="1149">
        <f t="shared" si="6"/>
        <v>0</v>
      </c>
      <c r="R13" s="1565" t="s">
        <v>11</v>
      </c>
      <c r="S13" s="1566">
        <f t="shared" si="0"/>
        <v>100</v>
      </c>
      <c r="T13" s="1565" t="s">
        <v>11</v>
      </c>
      <c r="U13" s="1566">
        <f t="shared" si="1"/>
        <v>100</v>
      </c>
      <c r="V13" s="1565" t="s">
        <v>11</v>
      </c>
      <c r="W13" s="1566">
        <f t="shared" si="2"/>
        <v>100</v>
      </c>
      <c r="X13" s="1567"/>
      <c r="Y13" s="3628"/>
      <c r="Z13" s="1148">
        <f t="shared" si="7"/>
        <v>0</v>
      </c>
      <c r="AA13" s="1568">
        <f t="shared" si="3"/>
        <v>1</v>
      </c>
      <c r="AB13" s="1568">
        <f t="shared" si="4"/>
        <v>1</v>
      </c>
      <c r="AC13" s="1568">
        <f t="shared" si="5"/>
        <v>1</v>
      </c>
    </row>
    <row r="14" spans="1:29" ht="15.75" hidden="1" thickBot="1">
      <c r="A14" s="2916"/>
      <c r="B14" s="2922"/>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671"/>
      <c r="Q14" s="1149">
        <f t="shared" si="6"/>
        <v>0</v>
      </c>
      <c r="R14" s="1565" t="s">
        <v>11</v>
      </c>
      <c r="S14" s="1566">
        <f t="shared" si="0"/>
        <v>100</v>
      </c>
      <c r="T14" s="1565" t="s">
        <v>11</v>
      </c>
      <c r="U14" s="1566">
        <f t="shared" si="1"/>
        <v>100</v>
      </c>
      <c r="V14" s="1565" t="s">
        <v>11</v>
      </c>
      <c r="W14" s="1566">
        <f t="shared" si="2"/>
        <v>100</v>
      </c>
      <c r="X14" s="1567"/>
      <c r="Y14" s="3628"/>
      <c r="Z14" s="1148">
        <f t="shared" si="7"/>
        <v>0</v>
      </c>
      <c r="AA14" s="1568">
        <f t="shared" si="3"/>
        <v>1</v>
      </c>
      <c r="AB14" s="1568">
        <f t="shared" si="4"/>
        <v>1</v>
      </c>
      <c r="AC14" s="1568">
        <f t="shared" si="5"/>
        <v>1</v>
      </c>
    </row>
    <row r="15" spans="1:29" ht="99.75">
      <c r="A15" s="2908"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673" t="s">
        <v>540</v>
      </c>
      <c r="Q15" s="1569" t="str">
        <f t="shared" si="6"/>
        <v>居住社区成熟度</v>
      </c>
      <c r="R15" s="1570" t="s">
        <v>11</v>
      </c>
      <c r="S15" s="1571">
        <f t="shared" si="0"/>
        <v>100</v>
      </c>
      <c r="T15" s="1570" t="s">
        <v>11</v>
      </c>
      <c r="U15" s="1571">
        <f t="shared" si="1"/>
        <v>100</v>
      </c>
      <c r="V15" s="1570" t="s">
        <v>11</v>
      </c>
      <c r="W15" s="1571">
        <f t="shared" si="2"/>
        <v>100</v>
      </c>
      <c r="X15" s="1564"/>
      <c r="Y15" s="3673" t="s">
        <v>540</v>
      </c>
      <c r="Z15" s="1572" t="str">
        <f t="shared" si="7"/>
        <v>居住社区成熟度</v>
      </c>
      <c r="AA15" s="1573">
        <f t="shared" si="3"/>
        <v>1</v>
      </c>
      <c r="AB15" s="1573">
        <f t="shared" si="4"/>
        <v>1</v>
      </c>
      <c r="AC15" s="1573">
        <f t="shared" si="5"/>
        <v>1</v>
      </c>
    </row>
    <row r="16" spans="1:29" ht="15">
      <c r="A16" s="531"/>
      <c r="B16" s="868"/>
      <c r="C16" s="575" t="s">
        <v>3405</v>
      </c>
      <c r="D16" s="554"/>
      <c r="E16" s="555" t="s">
        <v>3405</v>
      </c>
      <c r="F16" s="556"/>
      <c r="G16" s="555" t="s">
        <v>3405</v>
      </c>
      <c r="H16" s="558"/>
      <c r="I16" s="555" t="s">
        <v>3405</v>
      </c>
      <c r="J16" s="554"/>
      <c r="K16" s="869"/>
      <c r="L16" s="2140"/>
      <c r="M16" s="2132"/>
      <c r="N16" s="2132"/>
      <c r="O16" s="2139"/>
      <c r="P16" s="3674"/>
      <c r="Q16" s="1569"/>
      <c r="R16" s="1570"/>
      <c r="S16" s="1571"/>
      <c r="T16" s="1570"/>
      <c r="U16" s="1571"/>
      <c r="V16" s="1570"/>
      <c r="W16" s="1571"/>
      <c r="X16" s="1564"/>
      <c r="Y16" s="3674"/>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674"/>
      <c r="Q17" s="1569" t="str">
        <f>B17</f>
        <v>交通便捷度</v>
      </c>
      <c r="R17" s="1570" t="s">
        <v>11</v>
      </c>
      <c r="S17" s="1571">
        <f>F17</f>
        <v>100</v>
      </c>
      <c r="T17" s="1570" t="s">
        <v>11</v>
      </c>
      <c r="U17" s="1571">
        <f>H17</f>
        <v>100</v>
      </c>
      <c r="V17" s="1570" t="s">
        <v>11</v>
      </c>
      <c r="W17" s="1571">
        <f>J17</f>
        <v>100</v>
      </c>
      <c r="X17" s="1564"/>
      <c r="Y17" s="3674"/>
      <c r="Z17" s="1572" t="str">
        <f>Q17</f>
        <v>交通便捷度</v>
      </c>
      <c r="AA17" s="1573">
        <f t="shared" si="3"/>
        <v>1</v>
      </c>
      <c r="AB17" s="1573">
        <f t="shared" si="4"/>
        <v>1</v>
      </c>
      <c r="AC17" s="1573">
        <f t="shared" si="5"/>
        <v>1</v>
      </c>
    </row>
    <row r="18" spans="1:29" ht="15">
      <c r="A18" s="531"/>
      <c r="B18" s="594"/>
      <c r="C18" s="872" t="s">
        <v>3405</v>
      </c>
      <c r="D18" s="558"/>
      <c r="E18" s="872" t="s">
        <v>3405</v>
      </c>
      <c r="F18" s="562"/>
      <c r="G18" s="872" t="s">
        <v>3405</v>
      </c>
      <c r="H18" s="554"/>
      <c r="I18" s="872" t="s">
        <v>3405</v>
      </c>
      <c r="J18" s="554"/>
      <c r="K18" s="869"/>
      <c r="L18" s="2140"/>
      <c r="M18" s="2132"/>
      <c r="N18" s="2132"/>
      <c r="O18" s="2139"/>
      <c r="P18" s="3674"/>
      <c r="Q18" s="1569"/>
      <c r="R18" s="1570"/>
      <c r="S18" s="1571"/>
      <c r="T18" s="1570"/>
      <c r="U18" s="1571"/>
      <c r="V18" s="1570"/>
      <c r="W18" s="1571"/>
      <c r="X18" s="1564"/>
      <c r="Y18" s="3674"/>
      <c r="Z18" s="1572"/>
      <c r="AA18" s="1573">
        <v>1</v>
      </c>
      <c r="AB18" s="1573">
        <v>1</v>
      </c>
      <c r="AC18" s="1573">
        <v>1</v>
      </c>
    </row>
    <row r="19" spans="1:29" ht="42.75">
      <c r="A19" s="531"/>
      <c r="B19" s="2598"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674"/>
      <c r="Q19" s="1569" t="str">
        <f>B19</f>
        <v>公共配套设施</v>
      </c>
      <c r="R19" s="1570" t="s">
        <v>11</v>
      </c>
      <c r="S19" s="1571">
        <f>F19</f>
        <v>100</v>
      </c>
      <c r="T19" s="1570" t="s">
        <v>11</v>
      </c>
      <c r="U19" s="1571">
        <f>H19</f>
        <v>100</v>
      </c>
      <c r="V19" s="1570" t="s">
        <v>11</v>
      </c>
      <c r="W19" s="1571">
        <f>J19</f>
        <v>100</v>
      </c>
      <c r="X19" s="1564"/>
      <c r="Y19" s="3674"/>
      <c r="Z19" s="1572" t="str">
        <f>Q19</f>
        <v>公共配套设施</v>
      </c>
      <c r="AA19" s="1573">
        <f t="shared" si="3"/>
        <v>1</v>
      </c>
      <c r="AB19" s="1573">
        <f t="shared" si="4"/>
        <v>1</v>
      </c>
      <c r="AC19" s="1573">
        <f t="shared" si="5"/>
        <v>1</v>
      </c>
    </row>
    <row r="20" spans="1:29" ht="15">
      <c r="A20" s="531"/>
      <c r="B20" s="594"/>
      <c r="C20" s="575" t="s">
        <v>3405</v>
      </c>
      <c r="D20" s="554"/>
      <c r="E20" s="555" t="s">
        <v>3405</v>
      </c>
      <c r="F20" s="556"/>
      <c r="G20" s="555" t="s">
        <v>3405</v>
      </c>
      <c r="H20" s="554"/>
      <c r="I20" s="555" t="s">
        <v>3405</v>
      </c>
      <c r="J20" s="554"/>
      <c r="K20" s="869"/>
      <c r="L20" s="2140"/>
      <c r="M20" s="2132"/>
      <c r="N20" s="2132"/>
      <c r="O20" s="2139"/>
      <c r="P20" s="3674"/>
      <c r="Q20" s="1569"/>
      <c r="R20" s="1570"/>
      <c r="S20" s="1571"/>
      <c r="T20" s="1570"/>
      <c r="U20" s="1571"/>
      <c r="V20" s="1570"/>
      <c r="W20" s="1571"/>
      <c r="X20" s="1564"/>
      <c r="Y20" s="3674"/>
      <c r="Z20" s="1572"/>
      <c r="AA20" s="1573">
        <v>1</v>
      </c>
      <c r="AB20" s="1573">
        <v>1</v>
      </c>
      <c r="AC20" s="1573">
        <v>1</v>
      </c>
    </row>
    <row r="21" spans="1:29" ht="28.5">
      <c r="A21" s="531"/>
      <c r="B21" s="2591"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674"/>
      <c r="Q21" s="2577" t="str">
        <f>B21</f>
        <v>基础设施水平</v>
      </c>
      <c r="R21" s="1570" t="s">
        <v>11</v>
      </c>
      <c r="S21" s="1571">
        <f>F21</f>
        <v>100</v>
      </c>
      <c r="T21" s="1570" t="s">
        <v>11</v>
      </c>
      <c r="U21" s="1571">
        <f>H21</f>
        <v>100</v>
      </c>
      <c r="V21" s="1570" t="s">
        <v>11</v>
      </c>
      <c r="W21" s="1571">
        <f>J21</f>
        <v>100</v>
      </c>
      <c r="X21" s="2579"/>
      <c r="Y21" s="3674"/>
      <c r="Z21" s="2578" t="str">
        <f>Q21</f>
        <v>基础设施水平</v>
      </c>
      <c r="AA21" s="1573">
        <f t="shared" ref="AA21" si="8">D21/F21</f>
        <v>1</v>
      </c>
      <c r="AB21" s="1573">
        <f t="shared" ref="AB21" si="9">D21/H21</f>
        <v>1</v>
      </c>
      <c r="AC21" s="1573">
        <f t="shared" ref="AC21" si="10">D21/J21</f>
        <v>1</v>
      </c>
    </row>
    <row r="22" spans="1:29" ht="15">
      <c r="A22" s="531"/>
      <c r="B22" s="920"/>
      <c r="C22" s="872" t="s">
        <v>3407</v>
      </c>
      <c r="D22" s="554"/>
      <c r="E22" s="872" t="s">
        <v>3407</v>
      </c>
      <c r="F22" s="556"/>
      <c r="G22" s="872" t="s">
        <v>3407</v>
      </c>
      <c r="H22" s="554"/>
      <c r="I22" s="872" t="s">
        <v>3407</v>
      </c>
      <c r="J22" s="554"/>
      <c r="K22" s="2597"/>
      <c r="L22" s="2140"/>
      <c r="M22" s="2132"/>
      <c r="N22" s="2132"/>
      <c r="O22" s="2139"/>
      <c r="P22" s="3674"/>
      <c r="Q22" s="2577"/>
      <c r="R22" s="1570"/>
      <c r="S22" s="1571"/>
      <c r="T22" s="1570"/>
      <c r="U22" s="1571"/>
      <c r="V22" s="1570"/>
      <c r="W22" s="1571"/>
      <c r="X22" s="2579"/>
      <c r="Y22" s="3674"/>
      <c r="Z22" s="2578"/>
      <c r="AA22" s="1573">
        <v>1</v>
      </c>
      <c r="AB22" s="1573">
        <v>1</v>
      </c>
      <c r="AC22" s="1573">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3</v>
      </c>
      <c r="L23" s="2140"/>
      <c r="M23" s="2132"/>
      <c r="N23" s="2132"/>
      <c r="O23" s="2139"/>
      <c r="P23" s="3674"/>
      <c r="Q23" s="1569" t="str">
        <f>B23</f>
        <v>自然及人文环境</v>
      </c>
      <c r="R23" s="1570" t="s">
        <v>11</v>
      </c>
      <c r="S23" s="1571">
        <f>F23</f>
        <v>100</v>
      </c>
      <c r="T23" s="1570" t="s">
        <v>11</v>
      </c>
      <c r="U23" s="1571">
        <f>H23</f>
        <v>100</v>
      </c>
      <c r="V23" s="1570" t="s">
        <v>11</v>
      </c>
      <c r="W23" s="1571">
        <f>J23</f>
        <v>100</v>
      </c>
      <c r="X23" s="1564"/>
      <c r="Y23" s="3674"/>
      <c r="Z23" s="1572" t="str">
        <f>Q23</f>
        <v>自然及人文环境</v>
      </c>
      <c r="AA23" s="1573">
        <f t="shared" si="3"/>
        <v>1</v>
      </c>
      <c r="AB23" s="1573">
        <f t="shared" si="4"/>
        <v>1</v>
      </c>
      <c r="AC23" s="1573">
        <f t="shared" si="5"/>
        <v>1</v>
      </c>
    </row>
    <row r="24" spans="1:29" ht="15.75" thickBot="1">
      <c r="A24" s="531"/>
      <c r="B24" s="594"/>
      <c r="C24" s="575" t="s">
        <v>3406</v>
      </c>
      <c r="D24" s="554"/>
      <c r="E24" s="575" t="s">
        <v>3406</v>
      </c>
      <c r="F24" s="556"/>
      <c r="G24" s="575" t="s">
        <v>3406</v>
      </c>
      <c r="H24" s="554"/>
      <c r="I24" s="575" t="s">
        <v>3406</v>
      </c>
      <c r="J24" s="554"/>
      <c r="K24" s="869"/>
      <c r="L24" s="2140"/>
      <c r="M24" s="2132"/>
      <c r="N24" s="2132"/>
      <c r="O24" s="2139"/>
      <c r="P24" s="3674"/>
      <c r="Q24" s="1569"/>
      <c r="R24" s="1570"/>
      <c r="S24" s="1571"/>
      <c r="T24" s="1570"/>
      <c r="U24" s="1571"/>
      <c r="V24" s="1570"/>
      <c r="W24" s="1571"/>
      <c r="X24" s="1564"/>
      <c r="Y24" s="3674"/>
      <c r="Z24" s="1572"/>
      <c r="AA24" s="1573">
        <v>1</v>
      </c>
      <c r="AB24" s="1573">
        <v>1</v>
      </c>
      <c r="AC24" s="1573">
        <v>1</v>
      </c>
    </row>
    <row r="25" spans="1:29" ht="15" hidden="1">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674"/>
      <c r="Q25" s="1569" t="str">
        <f t="shared" ref="Q25:Q46" si="11">B25</f>
        <v>楼层-1</v>
      </c>
      <c r="R25" s="1570" t="s">
        <v>11</v>
      </c>
      <c r="S25" s="1571">
        <f>F25</f>
        <v>100</v>
      </c>
      <c r="T25" s="1570" t="s">
        <v>11</v>
      </c>
      <c r="U25" s="1571">
        <f>H25</f>
        <v>100</v>
      </c>
      <c r="V25" s="1570" t="s">
        <v>11</v>
      </c>
      <c r="W25" s="1571">
        <f>J25</f>
        <v>100</v>
      </c>
      <c r="X25" s="1564"/>
      <c r="Y25" s="3674"/>
      <c r="Z25" s="1572" t="str">
        <f>Q25</f>
        <v>楼层-1</v>
      </c>
      <c r="AA25" s="1573">
        <f t="shared" si="3"/>
        <v>1</v>
      </c>
      <c r="AB25" s="1573">
        <f t="shared" si="4"/>
        <v>1</v>
      </c>
      <c r="AC25" s="1573">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674"/>
      <c r="Q26" s="1569" t="str">
        <f t="shared" si="11"/>
        <v>朝向</v>
      </c>
      <c r="R26" s="1570" t="s">
        <v>11</v>
      </c>
      <c r="S26" s="1571">
        <f>F26</f>
        <v>100</v>
      </c>
      <c r="T26" s="1570" t="s">
        <v>11</v>
      </c>
      <c r="U26" s="1571">
        <f>H26</f>
        <v>100</v>
      </c>
      <c r="V26" s="1570" t="s">
        <v>11</v>
      </c>
      <c r="W26" s="1571">
        <f>J26</f>
        <v>100</v>
      </c>
      <c r="X26" s="1564"/>
      <c r="Y26" s="3674"/>
      <c r="Z26" s="1572" t="str">
        <f>Q26</f>
        <v>朝向</v>
      </c>
      <c r="AA26" s="1573">
        <f t="shared" si="3"/>
        <v>1</v>
      </c>
      <c r="AB26" s="1573">
        <f t="shared" si="4"/>
        <v>1</v>
      </c>
      <c r="AC26" s="1573">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674"/>
      <c r="Q27" s="1149" t="str">
        <f t="shared" si="11"/>
        <v>道路级别</v>
      </c>
      <c r="R27" s="1565" t="s">
        <v>11</v>
      </c>
      <c r="S27" s="1566">
        <f>F27</f>
        <v>100</v>
      </c>
      <c r="T27" s="1565" t="s">
        <v>11</v>
      </c>
      <c r="U27" s="1566">
        <f>H27</f>
        <v>100</v>
      </c>
      <c r="V27" s="1565" t="s">
        <v>11</v>
      </c>
      <c r="W27" s="1566">
        <f>J27</f>
        <v>100</v>
      </c>
      <c r="X27" s="1567"/>
      <c r="Y27" s="3674"/>
      <c r="Z27" s="1148" t="str">
        <f>Q27</f>
        <v>道路级别</v>
      </c>
      <c r="AA27" s="1573">
        <f>D27/F27</f>
        <v>1</v>
      </c>
      <c r="AB27" s="1573">
        <f>D27/H27</f>
        <v>1</v>
      </c>
      <c r="AC27" s="1573">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674"/>
      <c r="Q28" s="1569">
        <f t="shared" si="11"/>
        <v>0</v>
      </c>
      <c r="R28" s="1570" t="s">
        <v>11</v>
      </c>
      <c r="S28" s="1571">
        <f t="shared" ref="S28:S46" si="12">F28</f>
        <v>100</v>
      </c>
      <c r="T28" s="1570" t="s">
        <v>11</v>
      </c>
      <c r="U28" s="1571">
        <f t="shared" ref="U28:U46" si="13">H28</f>
        <v>100</v>
      </c>
      <c r="V28" s="1570" t="s">
        <v>11</v>
      </c>
      <c r="W28" s="1571">
        <f t="shared" ref="W28:W46" si="14">J28</f>
        <v>100</v>
      </c>
      <c r="X28" s="1564"/>
      <c r="Y28" s="3674"/>
      <c r="Z28" s="1572">
        <f t="shared" ref="Z28:Z46" si="15">Q28</f>
        <v>0</v>
      </c>
      <c r="AA28" s="1573">
        <f t="shared" si="3"/>
        <v>1</v>
      </c>
      <c r="AB28" s="1573">
        <f t="shared" si="4"/>
        <v>1</v>
      </c>
      <c r="AC28" s="1573">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674"/>
      <c r="Q29" s="1569">
        <f t="shared" si="11"/>
        <v>0</v>
      </c>
      <c r="R29" s="1570" t="s">
        <v>11</v>
      </c>
      <c r="S29" s="1571">
        <f t="shared" si="12"/>
        <v>100</v>
      </c>
      <c r="T29" s="1570" t="s">
        <v>11</v>
      </c>
      <c r="U29" s="1571">
        <f t="shared" si="13"/>
        <v>100</v>
      </c>
      <c r="V29" s="1570" t="s">
        <v>11</v>
      </c>
      <c r="W29" s="1571">
        <f t="shared" si="14"/>
        <v>100</v>
      </c>
      <c r="X29" s="1564"/>
      <c r="Y29" s="3674"/>
      <c r="Z29" s="1572">
        <f t="shared" si="15"/>
        <v>0</v>
      </c>
      <c r="AA29" s="1573">
        <f t="shared" si="3"/>
        <v>1</v>
      </c>
      <c r="AB29" s="1573">
        <f t="shared" si="4"/>
        <v>1</v>
      </c>
      <c r="AC29" s="1573">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674"/>
      <c r="Q30" s="1569">
        <f t="shared" si="11"/>
        <v>0</v>
      </c>
      <c r="R30" s="1570" t="s">
        <v>11</v>
      </c>
      <c r="S30" s="1571">
        <f t="shared" si="12"/>
        <v>100</v>
      </c>
      <c r="T30" s="1570" t="s">
        <v>11</v>
      </c>
      <c r="U30" s="1571">
        <f t="shared" si="13"/>
        <v>100</v>
      </c>
      <c r="V30" s="1570" t="s">
        <v>11</v>
      </c>
      <c r="W30" s="1571">
        <f t="shared" si="14"/>
        <v>100</v>
      </c>
      <c r="X30" s="1564"/>
      <c r="Y30" s="3674"/>
      <c r="Z30" s="1572">
        <f t="shared" si="15"/>
        <v>0</v>
      </c>
      <c r="AA30" s="1573">
        <f t="shared" si="3"/>
        <v>1</v>
      </c>
      <c r="AB30" s="1573">
        <f t="shared" si="4"/>
        <v>1</v>
      </c>
      <c r="AC30" s="1573">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674"/>
      <c r="Q31" s="1569">
        <f t="shared" si="11"/>
        <v>0</v>
      </c>
      <c r="R31" s="1570" t="s">
        <v>11</v>
      </c>
      <c r="S31" s="1571">
        <f t="shared" si="12"/>
        <v>100</v>
      </c>
      <c r="T31" s="1570" t="s">
        <v>11</v>
      </c>
      <c r="U31" s="1571">
        <f t="shared" si="13"/>
        <v>100</v>
      </c>
      <c r="V31" s="1570" t="s">
        <v>11</v>
      </c>
      <c r="W31" s="1571">
        <f t="shared" si="14"/>
        <v>100</v>
      </c>
      <c r="X31" s="1564"/>
      <c r="Y31" s="3674"/>
      <c r="Z31" s="1572">
        <f t="shared" si="15"/>
        <v>0</v>
      </c>
      <c r="AA31" s="1573">
        <f t="shared" si="3"/>
        <v>1</v>
      </c>
      <c r="AB31" s="1573">
        <f t="shared" si="4"/>
        <v>1</v>
      </c>
      <c r="AC31" s="1573">
        <f t="shared" si="5"/>
        <v>1</v>
      </c>
    </row>
    <row r="32" spans="1:29" ht="15">
      <c r="A32" s="2905" t="s">
        <v>2754</v>
      </c>
      <c r="B32" s="172" t="s">
        <v>725</v>
      </c>
      <c r="C32" s="877" t="s">
        <v>3182</v>
      </c>
      <c r="D32" s="596">
        <v>100</v>
      </c>
      <c r="E32" s="877" t="s">
        <v>3181</v>
      </c>
      <c r="F32" s="574">
        <f>SUMIF(100:100,E32,101:101)-SUMIF(100:100,C32,101:101)+100</f>
        <v>102</v>
      </c>
      <c r="G32" s="877" t="s">
        <v>3181</v>
      </c>
      <c r="H32" s="596">
        <f>SUMIF(100:100,G32,101:101)-SUMIF(100:100,C32,101:101)+100</f>
        <v>102</v>
      </c>
      <c r="I32" s="877" t="s">
        <v>3182</v>
      </c>
      <c r="J32" s="539">
        <f>SUMIF(100:100,I32,101:101)-SUMIF(100:100,C32,101:101)+100</f>
        <v>100</v>
      </c>
      <c r="K32" s="863">
        <v>2</v>
      </c>
      <c r="L32" s="2140"/>
      <c r="M32" s="2132"/>
      <c r="N32" s="2132"/>
      <c r="O32" s="2139"/>
      <c r="P32" s="3675" t="s">
        <v>550</v>
      </c>
      <c r="Q32" s="1569" t="str">
        <f t="shared" si="11"/>
        <v>建筑类型</v>
      </c>
      <c r="R32" s="1570" t="s">
        <v>11</v>
      </c>
      <c r="S32" s="1571">
        <f t="shared" si="12"/>
        <v>102</v>
      </c>
      <c r="T32" s="1570" t="s">
        <v>11</v>
      </c>
      <c r="U32" s="1571">
        <f t="shared" si="13"/>
        <v>102</v>
      </c>
      <c r="V32" s="1570" t="s">
        <v>11</v>
      </c>
      <c r="W32" s="1571">
        <f t="shared" si="14"/>
        <v>100</v>
      </c>
      <c r="X32" s="1564"/>
      <c r="Y32" s="3676" t="s">
        <v>550</v>
      </c>
      <c r="Z32" s="1572" t="str">
        <f t="shared" si="15"/>
        <v>建筑类型</v>
      </c>
      <c r="AA32" s="1573">
        <f t="shared" si="3"/>
        <v>0.98039215686274506</v>
      </c>
      <c r="AB32" s="1573">
        <f t="shared" si="4"/>
        <v>0.98039215686274506</v>
      </c>
      <c r="AC32" s="1573">
        <f t="shared" si="5"/>
        <v>1</v>
      </c>
    </row>
    <row r="33" spans="1:29" s="1337" customFormat="1" ht="15">
      <c r="A33" s="602"/>
      <c r="B33" s="526" t="s">
        <v>726</v>
      </c>
      <c r="C33" s="878">
        <f>'数据-汇总表'!E3</f>
        <v>180792</v>
      </c>
      <c r="D33" s="254">
        <v>100</v>
      </c>
      <c r="E33" s="878">
        <v>1700000</v>
      </c>
      <c r="F33" s="862">
        <f>LOOKUP(E33,103:103,104:104)-LOOKUP(C33,103:103,104:104)+100</f>
        <v>100</v>
      </c>
      <c r="G33" s="878">
        <v>147000</v>
      </c>
      <c r="H33" s="254">
        <f>LOOKUP(G33,103:103,104:104)-LOOKUP(C33,103:103,104:104)+100</f>
        <v>100</v>
      </c>
      <c r="I33" s="878">
        <v>679359.24</v>
      </c>
      <c r="J33" s="254">
        <f>LOOKUP(I33,103:103,104:104)-LOOKUP(C33,103:103,104:104)+100</f>
        <v>100</v>
      </c>
      <c r="K33" s="864"/>
      <c r="L33" s="2138"/>
      <c r="M33" s="2169"/>
      <c r="N33" s="2169"/>
      <c r="O33" s="2141"/>
      <c r="P33" s="3676"/>
      <c r="Q33" s="1602" t="str">
        <f t="shared" si="11"/>
        <v>项目建筑规模</v>
      </c>
      <c r="R33" s="1574" t="s">
        <v>11</v>
      </c>
      <c r="S33" s="1575">
        <f t="shared" si="12"/>
        <v>100</v>
      </c>
      <c r="T33" s="1574" t="s">
        <v>11</v>
      </c>
      <c r="U33" s="1575">
        <f t="shared" si="13"/>
        <v>100</v>
      </c>
      <c r="V33" s="1574" t="s">
        <v>11</v>
      </c>
      <c r="W33" s="1575">
        <f t="shared" si="14"/>
        <v>100</v>
      </c>
      <c r="X33" s="1576"/>
      <c r="Y33" s="3676"/>
      <c r="Z33" s="1577" t="str">
        <f t="shared" si="15"/>
        <v>项目建筑规模</v>
      </c>
      <c r="AA33" s="1573">
        <f t="shared" si="3"/>
        <v>1</v>
      </c>
      <c r="AB33" s="1573">
        <f t="shared" si="4"/>
        <v>1</v>
      </c>
      <c r="AC33" s="1573">
        <f t="shared" si="5"/>
        <v>1</v>
      </c>
    </row>
    <row r="34" spans="1:29" ht="15">
      <c r="A34" s="593"/>
      <c r="B34" s="526" t="s">
        <v>727</v>
      </c>
      <c r="C34" s="879" t="s">
        <v>3187</v>
      </c>
      <c r="D34" s="539">
        <v>100</v>
      </c>
      <c r="E34" s="879" t="s">
        <v>3187</v>
      </c>
      <c r="F34" s="574">
        <f>SUMIF(105:105,E34,106:106)-SUMIF(105:105,C34,106:106)+100</f>
        <v>100</v>
      </c>
      <c r="G34" s="879" t="s">
        <v>3187</v>
      </c>
      <c r="H34" s="539">
        <f>SUMIF(105:105,G34,106:106)-SUMIF(105:105,C34,106:106)+100</f>
        <v>100</v>
      </c>
      <c r="I34" s="879" t="s">
        <v>3187</v>
      </c>
      <c r="J34" s="539">
        <f>SUMIF(105:105,I34,106:106)-SUMIF(105:105,C34,106:106)+100</f>
        <v>100</v>
      </c>
      <c r="K34" s="863">
        <v>2</v>
      </c>
      <c r="L34" s="2140"/>
      <c r="M34" s="2132"/>
      <c r="N34" s="2132"/>
      <c r="O34" s="2139"/>
      <c r="P34" s="3676"/>
      <c r="Q34" s="1569" t="str">
        <f t="shared" si="11"/>
        <v>建筑结构</v>
      </c>
      <c r="R34" s="1570" t="s">
        <v>11</v>
      </c>
      <c r="S34" s="1571">
        <f t="shared" si="12"/>
        <v>100</v>
      </c>
      <c r="T34" s="1570" t="s">
        <v>11</v>
      </c>
      <c r="U34" s="1571">
        <f t="shared" si="13"/>
        <v>100</v>
      </c>
      <c r="V34" s="1570" t="s">
        <v>11</v>
      </c>
      <c r="W34" s="1571">
        <f t="shared" si="14"/>
        <v>100</v>
      </c>
      <c r="X34" s="1564"/>
      <c r="Y34" s="3676"/>
      <c r="Z34" s="1572" t="str">
        <f t="shared" si="15"/>
        <v>建筑结构</v>
      </c>
      <c r="AA34" s="1573">
        <f t="shared" si="3"/>
        <v>1</v>
      </c>
      <c r="AB34" s="1573">
        <f t="shared" si="4"/>
        <v>1</v>
      </c>
      <c r="AC34" s="1573">
        <f t="shared" si="5"/>
        <v>1</v>
      </c>
    </row>
    <row r="35" spans="1:29" ht="15">
      <c r="A35" s="593"/>
      <c r="B35" s="526" t="s">
        <v>728</v>
      </c>
      <c r="C35" s="598" t="s">
        <v>3433</v>
      </c>
      <c r="D35" s="539">
        <v>100</v>
      </c>
      <c r="E35" s="598" t="s">
        <v>3433</v>
      </c>
      <c r="F35" s="574">
        <f>SUMIF(107:107,E35,108:108)-SUMIF(107:107,C35,108:108)+100</f>
        <v>100</v>
      </c>
      <c r="G35" s="598" t="s">
        <v>3433</v>
      </c>
      <c r="H35" s="539">
        <f>SUMIF(107:107,G35,108:108)-SUMIF(107:107,C35,108:108)+100</f>
        <v>100</v>
      </c>
      <c r="I35" s="598" t="s">
        <v>3433</v>
      </c>
      <c r="J35" s="539">
        <f>SUMIF(107:107,I35,108:108)-SUMIF(107:107,C35,108:108)+100</f>
        <v>100</v>
      </c>
      <c r="K35" s="863">
        <v>2</v>
      </c>
      <c r="L35" s="2140"/>
      <c r="M35" s="2132"/>
      <c r="N35" s="2132"/>
      <c r="O35" s="2139"/>
      <c r="P35" s="3676"/>
      <c r="Q35" s="1569" t="str">
        <f t="shared" si="11"/>
        <v>建筑品质</v>
      </c>
      <c r="R35" s="1570" t="s">
        <v>11</v>
      </c>
      <c r="S35" s="1571">
        <f t="shared" si="12"/>
        <v>100</v>
      </c>
      <c r="T35" s="1570" t="s">
        <v>11</v>
      </c>
      <c r="U35" s="1571">
        <f t="shared" si="13"/>
        <v>100</v>
      </c>
      <c r="V35" s="1570" t="s">
        <v>11</v>
      </c>
      <c r="W35" s="1571">
        <f t="shared" si="14"/>
        <v>100</v>
      </c>
      <c r="X35" s="1564"/>
      <c r="Y35" s="3676"/>
      <c r="Z35" s="1572" t="str">
        <f t="shared" si="15"/>
        <v>建筑品质</v>
      </c>
      <c r="AA35" s="1573">
        <f t="shared" si="3"/>
        <v>1</v>
      </c>
      <c r="AB35" s="1573">
        <f t="shared" si="4"/>
        <v>1</v>
      </c>
      <c r="AC35" s="1573">
        <f t="shared" si="5"/>
        <v>1</v>
      </c>
    </row>
    <row r="36" spans="1:29" ht="15">
      <c r="A36" s="593"/>
      <c r="B36" s="526" t="s">
        <v>729</v>
      </c>
      <c r="C36" s="598" t="s">
        <v>3426</v>
      </c>
      <c r="D36" s="539">
        <v>100</v>
      </c>
      <c r="E36" s="598" t="s">
        <v>3426</v>
      </c>
      <c r="F36" s="574">
        <f>SUMIF(109:109,E36,110:110)-SUMIF(109:109,C36,110:110)+100</f>
        <v>100</v>
      </c>
      <c r="G36" s="598" t="s">
        <v>3426</v>
      </c>
      <c r="H36" s="539">
        <f>SUMIF(109:109,G36,110:110)-SUMIF(109:109,C36,110:110)+100</f>
        <v>100</v>
      </c>
      <c r="I36" s="598" t="s">
        <v>3426</v>
      </c>
      <c r="J36" s="539">
        <f>SUMIF(109:109,I36,110:110)-SUMIF(109:109,C36,110:110)+100</f>
        <v>100</v>
      </c>
      <c r="K36" s="863">
        <v>2</v>
      </c>
      <c r="L36" s="2140"/>
      <c r="M36" s="2132"/>
      <c r="N36" s="2132"/>
      <c r="O36" s="2139"/>
      <c r="P36" s="3676"/>
      <c r="Q36" s="1569" t="str">
        <f t="shared" si="11"/>
        <v>公共部分装修</v>
      </c>
      <c r="R36" s="1570" t="s">
        <v>11</v>
      </c>
      <c r="S36" s="1571">
        <f t="shared" si="12"/>
        <v>100</v>
      </c>
      <c r="T36" s="1570" t="s">
        <v>11</v>
      </c>
      <c r="U36" s="1571">
        <f t="shared" si="13"/>
        <v>100</v>
      </c>
      <c r="V36" s="1570" t="s">
        <v>11</v>
      </c>
      <c r="W36" s="1571">
        <f t="shared" si="14"/>
        <v>100</v>
      </c>
      <c r="X36" s="1564"/>
      <c r="Y36" s="3676"/>
      <c r="Z36" s="1572" t="str">
        <f t="shared" si="15"/>
        <v>公共部分装修</v>
      </c>
      <c r="AA36" s="1573">
        <f t="shared" si="3"/>
        <v>1</v>
      </c>
      <c r="AB36" s="1573">
        <f t="shared" si="4"/>
        <v>1</v>
      </c>
      <c r="AC36" s="1573">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3"/>
      <c r="M37" s="2134"/>
      <c r="N37" s="2134"/>
      <c r="O37" s="2135"/>
      <c r="P37" s="3676"/>
      <c r="Q37" s="1149" t="str">
        <f t="shared" si="11"/>
        <v>成新度</v>
      </c>
      <c r="R37" s="1565" t="s">
        <v>11</v>
      </c>
      <c r="S37" s="1566">
        <f t="shared" si="12"/>
        <v>100</v>
      </c>
      <c r="T37" s="1565" t="s">
        <v>11</v>
      </c>
      <c r="U37" s="1566">
        <f t="shared" si="13"/>
        <v>100</v>
      </c>
      <c r="V37" s="1565" t="s">
        <v>11</v>
      </c>
      <c r="W37" s="1566">
        <f t="shared" si="14"/>
        <v>100</v>
      </c>
      <c r="X37" s="1567"/>
      <c r="Y37" s="3676"/>
      <c r="Z37" s="1148" t="str">
        <f t="shared" si="15"/>
        <v>成新度</v>
      </c>
      <c r="AA37" s="1568">
        <f t="shared" si="3"/>
        <v>1</v>
      </c>
      <c r="AB37" s="1568">
        <f t="shared" si="4"/>
        <v>1</v>
      </c>
      <c r="AC37" s="1568">
        <f t="shared" si="5"/>
        <v>1</v>
      </c>
    </row>
    <row r="38" spans="1:29" ht="15">
      <c r="A38" s="593"/>
      <c r="B38" s="526" t="s">
        <v>731</v>
      </c>
      <c r="C38" s="598" t="s">
        <v>3428</v>
      </c>
      <c r="D38" s="539">
        <v>100</v>
      </c>
      <c r="E38" s="598" t="s">
        <v>3428</v>
      </c>
      <c r="F38" s="574">
        <f>SUMIF(114:114,E38,115:115)-SUMIF(114:114,C38,115:115)+100</f>
        <v>100</v>
      </c>
      <c r="G38" s="598" t="s">
        <v>3428</v>
      </c>
      <c r="H38" s="539">
        <f>SUMIF(114:114,G38,115:115)-SUMIF(114:114,C38,115:115)+100</f>
        <v>100</v>
      </c>
      <c r="I38" s="598" t="s">
        <v>3428</v>
      </c>
      <c r="J38" s="539">
        <f>SUMIF(114:114,I38,115:115)-SUMIF(114:114,C38,115:115)+100</f>
        <v>100</v>
      </c>
      <c r="K38" s="863">
        <v>2</v>
      </c>
      <c r="L38" s="2140"/>
      <c r="M38" s="2132"/>
      <c r="N38" s="2132"/>
      <c r="O38" s="2139"/>
      <c r="P38" s="3676" t="s">
        <v>550</v>
      </c>
      <c r="Q38" s="1569" t="str">
        <f t="shared" si="11"/>
        <v>物业管理</v>
      </c>
      <c r="R38" s="1570" t="s">
        <v>11</v>
      </c>
      <c r="S38" s="1571">
        <f t="shared" si="12"/>
        <v>100</v>
      </c>
      <c r="T38" s="1570" t="s">
        <v>11</v>
      </c>
      <c r="U38" s="1571">
        <f t="shared" si="13"/>
        <v>100</v>
      </c>
      <c r="V38" s="1570" t="s">
        <v>11</v>
      </c>
      <c r="W38" s="1571">
        <f t="shared" si="14"/>
        <v>100</v>
      </c>
      <c r="X38" s="1564"/>
      <c r="Y38" s="3676" t="s">
        <v>550</v>
      </c>
      <c r="Z38" s="1572" t="str">
        <f t="shared" si="15"/>
        <v>物业管理</v>
      </c>
      <c r="AA38" s="1573">
        <f t="shared" si="3"/>
        <v>1</v>
      </c>
      <c r="AB38" s="1573">
        <f t="shared" si="4"/>
        <v>1</v>
      </c>
      <c r="AC38" s="1573">
        <f t="shared" si="5"/>
        <v>1</v>
      </c>
    </row>
    <row r="39" spans="1:29" ht="15">
      <c r="A39" s="593"/>
      <c r="B39" s="1893" t="s">
        <v>2564</v>
      </c>
      <c r="C39" s="598" t="s">
        <v>3407</v>
      </c>
      <c r="D39" s="539">
        <v>100</v>
      </c>
      <c r="E39" s="598" t="s">
        <v>3407</v>
      </c>
      <c r="F39" s="574">
        <f>SUMIF(116:116,E39,117:117)-SUMIF(116:116,C39,117:117)+100</f>
        <v>100</v>
      </c>
      <c r="G39" s="598" t="s">
        <v>3407</v>
      </c>
      <c r="H39" s="539">
        <f>SUMIF(116:116,G39,117:117)-SUMIF(116:116,C39,117:117)+100</f>
        <v>100</v>
      </c>
      <c r="I39" s="598" t="s">
        <v>3407</v>
      </c>
      <c r="J39" s="539">
        <f>SUMIF(116:116,I39,117:117)-SUMIF(116:116,C39,117:117)+100</f>
        <v>100</v>
      </c>
      <c r="K39" s="863">
        <v>2</v>
      </c>
      <c r="L39" s="2140"/>
      <c r="M39" s="2132"/>
      <c r="N39" s="2132"/>
      <c r="O39" s="2139"/>
      <c r="P39" s="3676"/>
      <c r="Q39" s="1569" t="str">
        <f t="shared" si="11"/>
        <v>市政基础设施</v>
      </c>
      <c r="R39" s="1570" t="s">
        <v>11</v>
      </c>
      <c r="S39" s="1571">
        <f t="shared" si="12"/>
        <v>100</v>
      </c>
      <c r="T39" s="1570" t="s">
        <v>11</v>
      </c>
      <c r="U39" s="1571">
        <f t="shared" si="13"/>
        <v>100</v>
      </c>
      <c r="V39" s="1570" t="s">
        <v>11</v>
      </c>
      <c r="W39" s="1571">
        <f t="shared" si="14"/>
        <v>100</v>
      </c>
      <c r="X39" s="1564"/>
      <c r="Y39" s="3676"/>
      <c r="Z39" s="1572" t="str">
        <f t="shared" si="15"/>
        <v>市政基础设施</v>
      </c>
      <c r="AA39" s="1573">
        <f t="shared" si="3"/>
        <v>1</v>
      </c>
      <c r="AB39" s="1573">
        <f t="shared" si="4"/>
        <v>1</v>
      </c>
      <c r="AC39" s="1573">
        <f t="shared" si="5"/>
        <v>1</v>
      </c>
    </row>
    <row r="40" spans="1:29" ht="15">
      <c r="A40" s="593"/>
      <c r="B40" s="526" t="s">
        <v>732</v>
      </c>
      <c r="C40" s="598" t="s">
        <v>3431</v>
      </c>
      <c r="D40" s="539">
        <v>100</v>
      </c>
      <c r="E40" s="598" t="s">
        <v>3431</v>
      </c>
      <c r="F40" s="574">
        <f>SUMIF(118:118,E40,119:119)-SUMIF(118:118,C40,119:119)+100</f>
        <v>100</v>
      </c>
      <c r="G40" s="598" t="s">
        <v>3431</v>
      </c>
      <c r="H40" s="539">
        <f>SUMIF(118:118,G40,119:119)-SUMIF(118:118,C40,119:119)+100</f>
        <v>100</v>
      </c>
      <c r="I40" s="598" t="s">
        <v>3431</v>
      </c>
      <c r="J40" s="539">
        <f>SUMIF(118:118,I40,119:119)-SUMIF(118:118,C40,119:119)+100</f>
        <v>100</v>
      </c>
      <c r="K40" s="863">
        <v>5</v>
      </c>
      <c r="L40" s="2140"/>
      <c r="M40" s="2132"/>
      <c r="N40" s="2132"/>
      <c r="O40" s="2139"/>
      <c r="P40" s="3676"/>
      <c r="Q40" s="1569" t="str">
        <f t="shared" si="11"/>
        <v>房型</v>
      </c>
      <c r="R40" s="1570" t="s">
        <v>11</v>
      </c>
      <c r="S40" s="1571">
        <f t="shared" si="12"/>
        <v>100</v>
      </c>
      <c r="T40" s="1570" t="s">
        <v>11</v>
      </c>
      <c r="U40" s="1571">
        <f t="shared" si="13"/>
        <v>100</v>
      </c>
      <c r="V40" s="1570" t="s">
        <v>11</v>
      </c>
      <c r="W40" s="1571">
        <f t="shared" si="14"/>
        <v>100</v>
      </c>
      <c r="X40" s="1564"/>
      <c r="Y40" s="3676"/>
      <c r="Z40" s="1572" t="str">
        <f t="shared" si="15"/>
        <v>房型</v>
      </c>
      <c r="AA40" s="1573">
        <f t="shared" si="3"/>
        <v>1</v>
      </c>
      <c r="AB40" s="1573">
        <f t="shared" si="4"/>
        <v>1</v>
      </c>
      <c r="AC40" s="1573">
        <f t="shared" si="5"/>
        <v>1</v>
      </c>
    </row>
    <row r="41" spans="1:29" s="1337"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8"/>
      <c r="M41" s="2169"/>
      <c r="N41" s="2169"/>
      <c r="O41" s="2141"/>
      <c r="P41" s="3676"/>
      <c r="Q41" s="1602" t="str">
        <f t="shared" si="11"/>
        <v>单套/主力户型建筑面积</v>
      </c>
      <c r="R41" s="1574" t="s">
        <v>11</v>
      </c>
      <c r="S41" s="1575">
        <f t="shared" si="12"/>
        <v>100</v>
      </c>
      <c r="T41" s="1574" t="s">
        <v>11</v>
      </c>
      <c r="U41" s="1575">
        <f t="shared" si="13"/>
        <v>100</v>
      </c>
      <c r="V41" s="1574" t="s">
        <v>11</v>
      </c>
      <c r="W41" s="1575">
        <f t="shared" si="14"/>
        <v>100</v>
      </c>
      <c r="X41" s="1576"/>
      <c r="Y41" s="3676"/>
      <c r="Z41" s="1577" t="str">
        <f t="shared" si="15"/>
        <v>单套/主力户型建筑面积</v>
      </c>
      <c r="AA41" s="1573">
        <f t="shared" si="3"/>
        <v>1</v>
      </c>
      <c r="AB41" s="1573">
        <f t="shared" si="4"/>
        <v>1</v>
      </c>
      <c r="AC41" s="1573">
        <f t="shared" si="5"/>
        <v>1</v>
      </c>
    </row>
    <row r="42" spans="1:29" ht="15">
      <c r="A42" s="593"/>
      <c r="B42" s="526" t="s">
        <v>734</v>
      </c>
      <c r="C42" s="598" t="s">
        <v>3426</v>
      </c>
      <c r="D42" s="539">
        <v>100</v>
      </c>
      <c r="E42" s="598" t="s">
        <v>3426</v>
      </c>
      <c r="F42" s="574">
        <f>SUMIF(122:122,E42,123:123)-SUMIF(122:122,C42,123:123)+100</f>
        <v>100</v>
      </c>
      <c r="G42" s="598" t="s">
        <v>3426</v>
      </c>
      <c r="H42" s="539">
        <f>SUMIF(122:122,G42,123:123)-SUMIF(122:122,C42,123:123)+100</f>
        <v>100</v>
      </c>
      <c r="I42" s="598" t="s">
        <v>3426</v>
      </c>
      <c r="J42" s="539">
        <f>SUMIF(122:122,I42,123:123)-SUMIF(122:122,C42,123:123)+100</f>
        <v>100</v>
      </c>
      <c r="K42" s="863">
        <v>5</v>
      </c>
      <c r="L42" s="2140"/>
      <c r="M42" s="2132"/>
      <c r="N42" s="2132"/>
      <c r="O42" s="2139"/>
      <c r="P42" s="3676"/>
      <c r="Q42" s="1569" t="str">
        <f t="shared" si="11"/>
        <v>内部装修</v>
      </c>
      <c r="R42" s="1570" t="s">
        <v>11</v>
      </c>
      <c r="S42" s="1571">
        <f t="shared" si="12"/>
        <v>100</v>
      </c>
      <c r="T42" s="1570" t="s">
        <v>11</v>
      </c>
      <c r="U42" s="1571">
        <f t="shared" si="13"/>
        <v>100</v>
      </c>
      <c r="V42" s="1570" t="s">
        <v>11</v>
      </c>
      <c r="W42" s="1571">
        <f t="shared" si="14"/>
        <v>100</v>
      </c>
      <c r="X42" s="1564"/>
      <c r="Y42" s="3676"/>
      <c r="Z42" s="1572" t="str">
        <f t="shared" si="15"/>
        <v>内部装修</v>
      </c>
      <c r="AA42" s="1573">
        <f t="shared" si="3"/>
        <v>1</v>
      </c>
      <c r="AB42" s="1573">
        <f t="shared" si="4"/>
        <v>1</v>
      </c>
      <c r="AC42" s="1573">
        <f t="shared" si="5"/>
        <v>1</v>
      </c>
    </row>
    <row r="43" spans="1:29" ht="27.75" thickBot="1">
      <c r="A43" s="593"/>
      <c r="B43" s="526" t="s">
        <v>735</v>
      </c>
      <c r="C43" s="598" t="s">
        <v>3406</v>
      </c>
      <c r="D43" s="539">
        <v>100</v>
      </c>
      <c r="E43" s="598" t="s">
        <v>3406</v>
      </c>
      <c r="F43" s="574">
        <f>SUMIF(124:124,E43,125:125)-SUMIF(124:124,C43,125:125)+100</f>
        <v>100</v>
      </c>
      <c r="G43" s="598" t="s">
        <v>3406</v>
      </c>
      <c r="H43" s="539">
        <f>SUMIF(124:124,G43,125:125)-SUMIF(124:124,C43,125:125)+100</f>
        <v>100</v>
      </c>
      <c r="I43" s="598" t="s">
        <v>3406</v>
      </c>
      <c r="J43" s="539">
        <f>SUMIF(124:124,I43,125:125)-SUMIF(124:124,C43,125:125)+100</f>
        <v>100</v>
      </c>
      <c r="K43" s="863">
        <v>2</v>
      </c>
      <c r="L43" s="2140"/>
      <c r="M43" s="2132"/>
      <c r="N43" s="2132"/>
      <c r="O43" s="2139"/>
      <c r="P43" s="3676"/>
      <c r="Q43" s="1569" t="str">
        <f t="shared" si="11"/>
        <v>内部装修维护情况</v>
      </c>
      <c r="R43" s="1570" t="s">
        <v>11</v>
      </c>
      <c r="S43" s="1571">
        <f t="shared" si="12"/>
        <v>100</v>
      </c>
      <c r="T43" s="1570" t="s">
        <v>11</v>
      </c>
      <c r="U43" s="1571">
        <f t="shared" si="13"/>
        <v>100</v>
      </c>
      <c r="V43" s="1570" t="s">
        <v>11</v>
      </c>
      <c r="W43" s="1571">
        <f t="shared" si="14"/>
        <v>100</v>
      </c>
      <c r="X43" s="1564"/>
      <c r="Y43" s="3676"/>
      <c r="Z43" s="1572" t="str">
        <f t="shared" si="15"/>
        <v>内部装修维护情况</v>
      </c>
      <c r="AA43" s="1573">
        <f t="shared" si="3"/>
        <v>1</v>
      </c>
      <c r="AB43" s="1573">
        <f t="shared" si="4"/>
        <v>1</v>
      </c>
      <c r="AC43" s="1573">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676"/>
      <c r="Q44" s="1149">
        <f t="shared" si="11"/>
        <v>0</v>
      </c>
      <c r="R44" s="1565" t="s">
        <v>11</v>
      </c>
      <c r="S44" s="1566">
        <f t="shared" si="12"/>
        <v>100</v>
      </c>
      <c r="T44" s="1565" t="s">
        <v>11</v>
      </c>
      <c r="U44" s="1566">
        <f t="shared" si="13"/>
        <v>100</v>
      </c>
      <c r="V44" s="1565" t="s">
        <v>11</v>
      </c>
      <c r="W44" s="1566">
        <f t="shared" si="14"/>
        <v>100</v>
      </c>
      <c r="X44" s="1567"/>
      <c r="Y44" s="3676"/>
      <c r="Z44" s="1148">
        <f t="shared" si="15"/>
        <v>0</v>
      </c>
      <c r="AA44" s="1568">
        <f t="shared" si="3"/>
        <v>1</v>
      </c>
      <c r="AB44" s="1568">
        <f t="shared" si="4"/>
        <v>1</v>
      </c>
      <c r="AC44" s="1568">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676"/>
      <c r="Q45" s="1569">
        <f t="shared" si="11"/>
        <v>0</v>
      </c>
      <c r="R45" s="1570" t="s">
        <v>11</v>
      </c>
      <c r="S45" s="1571">
        <f t="shared" si="12"/>
        <v>100</v>
      </c>
      <c r="T45" s="1570" t="s">
        <v>11</v>
      </c>
      <c r="U45" s="1571">
        <f t="shared" si="13"/>
        <v>100</v>
      </c>
      <c r="V45" s="1570" t="s">
        <v>11</v>
      </c>
      <c r="W45" s="1571">
        <f t="shared" si="14"/>
        <v>100</v>
      </c>
      <c r="X45" s="1564"/>
      <c r="Y45" s="3676"/>
      <c r="Z45" s="1572">
        <f t="shared" si="15"/>
        <v>0</v>
      </c>
      <c r="AA45" s="1573">
        <f t="shared" si="3"/>
        <v>1</v>
      </c>
      <c r="AB45" s="1573">
        <f t="shared" si="4"/>
        <v>1</v>
      </c>
      <c r="AC45" s="1573">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756"/>
      <c r="Q46" s="1569">
        <f t="shared" si="11"/>
        <v>0</v>
      </c>
      <c r="R46" s="1570" t="s">
        <v>10</v>
      </c>
      <c r="S46" s="1571">
        <f t="shared" si="12"/>
        <v>100</v>
      </c>
      <c r="T46" s="1570" t="s">
        <v>10</v>
      </c>
      <c r="U46" s="1571">
        <f t="shared" si="13"/>
        <v>100</v>
      </c>
      <c r="V46" s="1570" t="s">
        <v>10</v>
      </c>
      <c r="W46" s="1571">
        <f t="shared" si="14"/>
        <v>100</v>
      </c>
      <c r="X46" s="1564"/>
      <c r="Y46" s="3756"/>
      <c r="Z46" s="1572">
        <f t="shared" si="15"/>
        <v>0</v>
      </c>
      <c r="AA46" s="1573">
        <f t="shared" si="3"/>
        <v>1</v>
      </c>
      <c r="AB46" s="1573">
        <f t="shared" si="4"/>
        <v>1</v>
      </c>
      <c r="AC46" s="1573">
        <f t="shared" si="5"/>
        <v>1</v>
      </c>
    </row>
    <row r="47" spans="1:29" ht="15">
      <c r="A47" s="606" t="s">
        <v>736</v>
      </c>
      <c r="B47" s="885"/>
      <c r="C47" s="2625" t="s">
        <v>9</v>
      </c>
      <c r="D47" s="2626"/>
      <c r="E47" s="2627">
        <v>12500</v>
      </c>
      <c r="F47" s="2628"/>
      <c r="G47" s="2629">
        <v>12500</v>
      </c>
      <c r="H47" s="2630"/>
      <c r="I47" s="2627">
        <v>12000</v>
      </c>
      <c r="J47" s="2630"/>
      <c r="K47" s="1603"/>
      <c r="L47" s="2142"/>
      <c r="M47" s="2143"/>
      <c r="N47" s="2132"/>
      <c r="O47" s="2143"/>
      <c r="P47" s="3671" t="str">
        <f>A47</f>
        <v>成交单价（元/平方米）</v>
      </c>
      <c r="Q47" s="3671"/>
      <c r="R47" s="3755">
        <f>E47</f>
        <v>12500</v>
      </c>
      <c r="S47" s="3755"/>
      <c r="T47" s="3755">
        <f>G47</f>
        <v>12500</v>
      </c>
      <c r="U47" s="3755"/>
      <c r="V47" s="3755">
        <f>I47</f>
        <v>12000</v>
      </c>
      <c r="W47" s="3755"/>
      <c r="X47" s="1556"/>
      <c r="Y47" s="1578"/>
      <c r="Z47" s="1556"/>
      <c r="AA47" s="1556"/>
      <c r="AB47" s="1556"/>
      <c r="AC47" s="1556"/>
    </row>
    <row r="48" spans="1:29" ht="15.75" thickBot="1">
      <c r="A48" s="614" t="s">
        <v>2759</v>
      </c>
      <c r="B48" s="886"/>
      <c r="C48" s="2631">
        <f>R49</f>
        <v>12170</v>
      </c>
      <c r="D48" s="2632"/>
      <c r="E48" s="2633">
        <f>R48</f>
        <v>12255</v>
      </c>
      <c r="F48" s="2633"/>
      <c r="G48" s="2631">
        <f>T48</f>
        <v>12255</v>
      </c>
      <c r="H48" s="2632"/>
      <c r="I48" s="2633">
        <f>V48</f>
        <v>12000</v>
      </c>
      <c r="J48" s="2632"/>
      <c r="K48" s="1604"/>
      <c r="L48" s="2142"/>
      <c r="M48" s="2143"/>
      <c r="N48" s="2143"/>
      <c r="O48" s="2143"/>
      <c r="P48" s="3671" t="str">
        <f>A48</f>
        <v>比较价格（元/平方米）</v>
      </c>
      <c r="Q48" s="3671"/>
      <c r="R48" s="3755">
        <f>IF(F1="售价",ROUND(PRODUCT(R47,AA7:AA46),0),ROUND(PRODUCT(R47,AA7:AA46),1))</f>
        <v>12255</v>
      </c>
      <c r="S48" s="3755"/>
      <c r="T48" s="3755">
        <f>IF(F1="售价",ROUND(PRODUCT(T47,AB7:AB46),0),ROUND(PRODUCT(T47,AB7:AB46),1))</f>
        <v>12255</v>
      </c>
      <c r="U48" s="3755"/>
      <c r="V48" s="3755">
        <f>IF(F1="售价",ROUND(PRODUCT(V47,AC7:AC46),0),ROUND(PRODUCT(V47,AC7:AC46),1))</f>
        <v>12000</v>
      </c>
      <c r="W48" s="3755"/>
      <c r="X48" s="1556"/>
      <c r="Y48" s="1556"/>
      <c r="Z48" s="1556"/>
      <c r="AA48" s="1556"/>
      <c r="AB48" s="1556"/>
      <c r="AC48" s="1556"/>
    </row>
    <row r="49" spans="1:29" ht="15.75" thickBot="1">
      <c r="A49" s="620" t="s">
        <v>2934</v>
      </c>
      <c r="B49" s="621"/>
      <c r="C49" s="2634">
        <f>R49</f>
        <v>12170</v>
      </c>
      <c r="D49" s="2634"/>
      <c r="E49" s="2634"/>
      <c r="F49" s="2634"/>
      <c r="G49" s="2634"/>
      <c r="H49" s="2634"/>
      <c r="I49" s="2634"/>
      <c r="J49" s="2634"/>
      <c r="K49" s="1605"/>
      <c r="L49" s="2142"/>
      <c r="M49" s="2143"/>
      <c r="N49" s="2143"/>
      <c r="O49" s="2143"/>
      <c r="P49" s="3692" t="str">
        <f>A49</f>
        <v>估价对象XX用房的比较价格（楼面单价，元/平方米）</v>
      </c>
      <c r="Q49" s="3693"/>
      <c r="R49" s="3754">
        <f>IF(F1="售价",ROUND(AVERAGE(R48:V48),0),ROUND(AVERAGE(R48:V48),1))</f>
        <v>12170</v>
      </c>
      <c r="S49" s="3754"/>
      <c r="T49" s="3754"/>
      <c r="U49" s="3754"/>
      <c r="V49" s="3754"/>
      <c r="W49" s="375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1.9991840065279431E-2</v>
      </c>
      <c r="F52" s="626" t="str">
        <f>IF(OR(E52&gt;=0.3,E52&lt;=-0.3),"超过30%","")</f>
        <v/>
      </c>
      <c r="G52" s="625">
        <f>IF(G47&lt;G48,G48/G47-1,G47/G48-1)</f>
        <v>1.9991840065279431E-2</v>
      </c>
      <c r="H52" s="626" t="str">
        <f>IF(OR(G52&gt;=0.3,G52&lt;=-0.3),"超过30%","")</f>
        <v/>
      </c>
      <c r="I52" s="625">
        <f>IF(I47&lt;I48,I48/I47-1,I47/I48-1)</f>
        <v>0</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v>
      </c>
      <c r="F53" s="626" t="str">
        <f>IF(OR(E53&gt;=0.2,E53&lt;=-0.2),"超过20%","")</f>
        <v/>
      </c>
      <c r="G53" s="625">
        <f>IF(G48&lt;I48,I48/G48-1,G48/I48-1)</f>
        <v>2.1249999999999991E-2</v>
      </c>
      <c r="H53" s="626" t="str">
        <f>IF(OR(G53&gt;=0.2,G53&lt;=-0.2),"超过20%","")</f>
        <v/>
      </c>
      <c r="I53" s="625">
        <f>IF(I48&lt;E48,E48/I48-1,I48/E48-1)</f>
        <v>2.1249999999999991E-2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4" t="s">
        <v>529</v>
      </c>
      <c r="B58" s="645"/>
      <c r="C58" s="2802"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v>100</v>
      </c>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1（含）-2</v>
      </c>
      <c r="D67" s="681" t="str">
        <f t="shared" ref="D67:L67" si="18">D68&amp;"（含）"&amp;"-"&amp;E68</f>
        <v>2（含）-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1</v>
      </c>
      <c r="D68" s="540">
        <v>2</v>
      </c>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2558</v>
      </c>
      <c r="C82" s="2596" t="s">
        <v>2559</v>
      </c>
      <c r="D82" s="2596" t="s">
        <v>2560</v>
      </c>
      <c r="E82" s="2596" t="s">
        <v>2561</v>
      </c>
      <c r="F82" s="2596" t="s">
        <v>2562</v>
      </c>
      <c r="G82" s="2596" t="s">
        <v>2563</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8"/>
      <c r="B86" s="1894" t="s">
        <v>2257</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551</v>
      </c>
      <c r="B100" s="664" t="s">
        <v>747</v>
      </c>
      <c r="C100" s="3391" t="s">
        <v>3423</v>
      </c>
      <c r="D100" s="3391" t="s">
        <v>3424</v>
      </c>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384" t="s">
        <v>3425</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385" t="s">
        <v>3434</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384" t="s">
        <v>3427</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384" t="s">
        <v>3429</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384" t="s">
        <v>3430</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3385" t="s">
        <v>3432</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384" t="s">
        <v>3427</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80" zoomScaleNormal="80" workbookViewId="0">
      <selection activeCell="K43" sqref="K4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1" t="s">
        <v>719</v>
      </c>
      <c r="C1" s="2622" t="s">
        <v>720</v>
      </c>
      <c r="D1" s="2623" t="s">
        <v>3171</v>
      </c>
      <c r="E1" s="2624"/>
      <c r="F1" s="2805" t="s">
        <v>3192</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20">
        <f>ROUND(B3*D3/10000,0)</f>
        <v>77863</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19042</v>
      </c>
      <c r="C3" s="851" t="s">
        <v>722</v>
      </c>
      <c r="D3" s="850">
        <f>SUMIF('数据-汇总表'!$C19:$C33,D1,'数据-汇总表'!$E19:$E33)</f>
        <v>40890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521</v>
      </c>
      <c r="B4" s="512"/>
      <c r="C4" s="3677" t="s">
        <v>522</v>
      </c>
      <c r="D4" s="3678"/>
      <c r="E4" s="3702" t="s">
        <v>523</v>
      </c>
      <c r="F4" s="3703"/>
      <c r="G4" s="3677" t="s">
        <v>524</v>
      </c>
      <c r="H4" s="3678"/>
      <c r="I4" s="3677" t="s">
        <v>525</v>
      </c>
      <c r="J4" s="3678"/>
      <c r="K4" s="852" t="s">
        <v>526</v>
      </c>
      <c r="L4" s="2131"/>
      <c r="M4" s="2132"/>
      <c r="N4" s="2132"/>
      <c r="O4" s="2132"/>
      <c r="P4" s="3679" t="s">
        <v>527</v>
      </c>
      <c r="Q4" s="3680"/>
      <c r="R4" s="3665" t="s">
        <v>523</v>
      </c>
      <c r="S4" s="3666"/>
      <c r="T4" s="3665" t="s">
        <v>524</v>
      </c>
      <c r="U4" s="3666"/>
      <c r="V4" s="3685" t="s">
        <v>525</v>
      </c>
      <c r="W4" s="3685"/>
      <c r="X4" s="3185"/>
      <c r="Y4" s="3665" t="s">
        <v>527</v>
      </c>
      <c r="Z4" s="3666"/>
      <c r="AA4" s="3660" t="s">
        <v>523</v>
      </c>
      <c r="AB4" s="3660" t="s">
        <v>524</v>
      </c>
      <c r="AC4" s="3660" t="s">
        <v>525</v>
      </c>
    </row>
    <row r="5" spans="1:29" ht="15">
      <c r="A5" s="514"/>
      <c r="B5" s="515"/>
      <c r="C5" s="3688" t="s">
        <v>2928</v>
      </c>
      <c r="D5" s="3689"/>
      <c r="E5" s="3762" t="s">
        <v>3420</v>
      </c>
      <c r="F5" s="3763"/>
      <c r="G5" s="3764" t="s">
        <v>3420</v>
      </c>
      <c r="H5" s="3765"/>
      <c r="I5" s="3764" t="s">
        <v>3819</v>
      </c>
      <c r="J5" s="3765"/>
      <c r="K5" s="853"/>
      <c r="L5" s="2131"/>
      <c r="M5" s="2132"/>
      <c r="N5" s="2132"/>
      <c r="O5" s="2132"/>
      <c r="P5" s="3681"/>
      <c r="Q5" s="3682"/>
      <c r="R5" s="3667"/>
      <c r="S5" s="3668"/>
      <c r="T5" s="3667"/>
      <c r="U5" s="3668"/>
      <c r="V5" s="3685"/>
      <c r="W5" s="3685"/>
      <c r="X5" s="3185"/>
      <c r="Y5" s="3667"/>
      <c r="Z5" s="3668"/>
      <c r="AA5" s="3661"/>
      <c r="AB5" s="3661"/>
      <c r="AC5" s="3661"/>
    </row>
    <row r="6" spans="1:29" ht="15.75" thickBot="1">
      <c r="A6" s="516"/>
      <c r="B6" s="517"/>
      <c r="C6" s="3686" t="s">
        <v>2932</v>
      </c>
      <c r="D6" s="3687"/>
      <c r="E6" s="3757" t="s">
        <v>3816</v>
      </c>
      <c r="F6" s="3758"/>
      <c r="G6" s="3759" t="s">
        <v>3816</v>
      </c>
      <c r="H6" s="3760"/>
      <c r="I6" s="3761" t="s">
        <v>3817</v>
      </c>
      <c r="J6" s="3760"/>
      <c r="K6" s="853" t="s">
        <v>528</v>
      </c>
      <c r="L6" s="2131"/>
      <c r="M6" s="2132"/>
      <c r="N6" s="2132"/>
      <c r="O6" s="2132"/>
      <c r="P6" s="3683"/>
      <c r="Q6" s="3684"/>
      <c r="R6" s="3667"/>
      <c r="S6" s="3668"/>
      <c r="T6" s="3669"/>
      <c r="U6" s="3670"/>
      <c r="V6" s="3685"/>
      <c r="W6" s="3685"/>
      <c r="X6" s="3185"/>
      <c r="Y6" s="3669"/>
      <c r="Z6" s="3670"/>
      <c r="AA6" s="3662"/>
      <c r="AB6" s="3662"/>
      <c r="AC6" s="3662"/>
    </row>
    <row r="7" spans="1:29" s="1218" customFormat="1" ht="15.75" thickBot="1">
      <c r="A7" s="2910"/>
      <c r="B7" s="2917" t="s">
        <v>529</v>
      </c>
      <c r="C7" s="518">
        <f>'数据-取费表'!B2</f>
        <v>43346</v>
      </c>
      <c r="D7" s="519">
        <v>100</v>
      </c>
      <c r="E7" s="520">
        <v>43160</v>
      </c>
      <c r="F7" s="521">
        <f>SUMIF(58:58,YEAR(E7)&amp;"-"&amp;MONTH(E7),59:59)</f>
        <v>100</v>
      </c>
      <c r="G7" s="522">
        <f>E7</f>
        <v>43160</v>
      </c>
      <c r="H7" s="519">
        <f>SUMIF(58:58,YEAR(G7)&amp;"-"&amp;MONTH(G7),59:59)</f>
        <v>100</v>
      </c>
      <c r="I7" s="522">
        <v>43344</v>
      </c>
      <c r="J7" s="519">
        <f>SUMIF(58:58,YEAR(I7)&amp;"-"&amp;MONTH(I7),59:59)</f>
        <v>100</v>
      </c>
      <c r="K7" s="854"/>
      <c r="L7" s="2133"/>
      <c r="M7" s="2134"/>
      <c r="N7" s="2134"/>
      <c r="O7" s="2134"/>
      <c r="P7" s="3663" t="s">
        <v>530</v>
      </c>
      <c r="Q7" s="3672"/>
      <c r="R7" s="1565" t="s">
        <v>13</v>
      </c>
      <c r="S7" s="1566">
        <f t="shared" ref="S7:S15" si="0">F7</f>
        <v>100</v>
      </c>
      <c r="T7" s="1565" t="s">
        <v>13</v>
      </c>
      <c r="U7" s="1566">
        <f t="shared" ref="U7:U15" si="1">H7</f>
        <v>100</v>
      </c>
      <c r="V7" s="1565" t="s">
        <v>13</v>
      </c>
      <c r="W7" s="1566">
        <f t="shared" ref="W7:W15" si="2">J7</f>
        <v>100</v>
      </c>
      <c r="X7" s="1567"/>
      <c r="Y7" s="3663" t="s">
        <v>530</v>
      </c>
      <c r="Z7" s="3664"/>
      <c r="AA7" s="1568">
        <f>D7/F7</f>
        <v>1</v>
      </c>
      <c r="AB7" s="1568">
        <f>D7/H7</f>
        <v>1</v>
      </c>
      <c r="AC7" s="1568">
        <f>D7/J7</f>
        <v>1</v>
      </c>
    </row>
    <row r="8" spans="1:29" s="1218" customFormat="1" ht="15.75" thickBot="1">
      <c r="A8" s="2911"/>
      <c r="B8" s="2918" t="s">
        <v>531</v>
      </c>
      <c r="C8" s="524" t="s">
        <v>576</v>
      </c>
      <c r="D8" s="519">
        <v>100</v>
      </c>
      <c r="E8" s="855" t="s">
        <v>3399</v>
      </c>
      <c r="F8" s="521">
        <f>SUMIF(61:61,E8,62:62)-SUMIF(61:61,C8,62:62)+100</f>
        <v>100</v>
      </c>
      <c r="G8" s="524" t="s">
        <v>3399</v>
      </c>
      <c r="H8" s="519">
        <f>SUMIF(61:61,G8,62:62)-SUMIF(61:61,C8,62:62)+100</f>
        <v>100</v>
      </c>
      <c r="I8" s="855" t="s">
        <v>3399</v>
      </c>
      <c r="J8" s="519">
        <f>SUMIF(61:61,I8,62:62)-SUMIF(61:61,C8,62:62)+100</f>
        <v>100</v>
      </c>
      <c r="K8" s="854"/>
      <c r="L8" s="2133"/>
      <c r="M8" s="2134"/>
      <c r="N8" s="2134"/>
      <c r="O8" s="2134"/>
      <c r="P8" s="3663" t="s">
        <v>533</v>
      </c>
      <c r="Q8" s="3664"/>
      <c r="R8" s="1565" t="s">
        <v>13</v>
      </c>
      <c r="S8" s="1566">
        <f t="shared" si="0"/>
        <v>100</v>
      </c>
      <c r="T8" s="1565" t="s">
        <v>13</v>
      </c>
      <c r="U8" s="1566">
        <f t="shared" si="1"/>
        <v>100</v>
      </c>
      <c r="V8" s="1565" t="s">
        <v>13</v>
      </c>
      <c r="W8" s="1566">
        <f t="shared" si="2"/>
        <v>100</v>
      </c>
      <c r="X8" s="1567"/>
      <c r="Y8" s="3663" t="s">
        <v>533</v>
      </c>
      <c r="Z8" s="3664"/>
      <c r="AA8" s="1568">
        <f t="shared" ref="AA8:AA46" si="3">D8/F8</f>
        <v>1</v>
      </c>
      <c r="AB8" s="1568">
        <f t="shared" ref="AB8:AB46" si="4">D8/H8</f>
        <v>1</v>
      </c>
      <c r="AC8" s="1568">
        <f t="shared" ref="AC8:AC46" si="5">D8/J8</f>
        <v>1</v>
      </c>
    </row>
    <row r="9" spans="1:29" s="1218" customFormat="1" ht="15">
      <c r="A9" s="2912"/>
      <c r="B9" s="2919" t="s">
        <v>2755</v>
      </c>
      <c r="C9" s="3390" t="s">
        <v>3418</v>
      </c>
      <c r="D9" s="253">
        <v>100</v>
      </c>
      <c r="E9" s="857" t="s">
        <v>923</v>
      </c>
      <c r="F9" s="858">
        <f>SUMIF(63:63,E9,64:64)-SUMIF(63:63,C9,64:64)+100</f>
        <v>100</v>
      </c>
      <c r="G9" s="859" t="s">
        <v>923</v>
      </c>
      <c r="H9" s="253">
        <f>SUMIF(63:63,G9,64:64)-SUMIF(63:63,C9,64:64)+100</f>
        <v>100</v>
      </c>
      <c r="I9" s="857" t="s">
        <v>923</v>
      </c>
      <c r="J9" s="253">
        <f>SUMIF(63:63,I9,64:64)-SUMIF(63:63,C9,64:64)+100</f>
        <v>100</v>
      </c>
      <c r="K9" s="854"/>
      <c r="L9" s="2133"/>
      <c r="M9" s="2134"/>
      <c r="N9" s="2134"/>
      <c r="O9" s="2135"/>
      <c r="P9" s="3671" t="s">
        <v>535</v>
      </c>
      <c r="Q9" s="3180" t="str">
        <f t="shared" ref="Q9:Q15" si="6">B9</f>
        <v>用途</v>
      </c>
      <c r="R9" s="1565" t="s">
        <v>8</v>
      </c>
      <c r="S9" s="1566">
        <f t="shared" si="0"/>
        <v>100</v>
      </c>
      <c r="T9" s="1565" t="s">
        <v>8</v>
      </c>
      <c r="U9" s="1566">
        <f t="shared" si="1"/>
        <v>100</v>
      </c>
      <c r="V9" s="1565" t="s">
        <v>8</v>
      </c>
      <c r="W9" s="1566">
        <f t="shared" si="2"/>
        <v>100</v>
      </c>
      <c r="X9" s="1567"/>
      <c r="Y9" s="3628" t="s">
        <v>536</v>
      </c>
      <c r="Z9" s="3178" t="str">
        <f t="shared" ref="Z9:Z15" si="7">Q9</f>
        <v>用途</v>
      </c>
      <c r="AA9" s="1568">
        <f t="shared" si="3"/>
        <v>1</v>
      </c>
      <c r="AB9" s="1568">
        <f t="shared" si="4"/>
        <v>1</v>
      </c>
      <c r="AC9" s="1568">
        <f t="shared" si="5"/>
        <v>1</v>
      </c>
    </row>
    <row r="10" spans="1:29" s="1336" customFormat="1" ht="27">
      <c r="A10" s="2913"/>
      <c r="B10" s="2918" t="s">
        <v>2756</v>
      </c>
      <c r="C10" s="860" t="s">
        <v>3419</v>
      </c>
      <c r="D10" s="254">
        <v>100</v>
      </c>
      <c r="E10" s="861" t="s">
        <v>3419</v>
      </c>
      <c r="F10" s="862">
        <f>SUMIF(65:65,E10,66:66)-SUMIF(65:65,C10,66:66)+100</f>
        <v>100</v>
      </c>
      <c r="G10" s="860" t="s">
        <v>3419</v>
      </c>
      <c r="H10" s="254">
        <f>SUMIF(65:65,G10,66:66)-SUMIF(65:65,C10,66:66)+100</f>
        <v>100</v>
      </c>
      <c r="I10" s="861" t="s">
        <v>3419</v>
      </c>
      <c r="J10" s="254">
        <f>SUMIF(65:65,I10,66:66)-SUMIF(65:65,C10,66:66)+100</f>
        <v>100</v>
      </c>
      <c r="K10" s="863">
        <v>2</v>
      </c>
      <c r="L10" s="2136"/>
      <c r="M10" s="2176"/>
      <c r="N10" s="2176"/>
      <c r="O10" s="2137"/>
      <c r="P10" s="3671"/>
      <c r="Q10" s="3180" t="str">
        <f t="shared" si="6"/>
        <v>土地使用年限（年）</v>
      </c>
      <c r="R10" s="1565" t="s">
        <v>8</v>
      </c>
      <c r="S10" s="1566">
        <f t="shared" si="0"/>
        <v>100</v>
      </c>
      <c r="T10" s="1565" t="s">
        <v>8</v>
      </c>
      <c r="U10" s="1566">
        <f t="shared" si="1"/>
        <v>100</v>
      </c>
      <c r="V10" s="1565" t="s">
        <v>8</v>
      </c>
      <c r="W10" s="1566">
        <f t="shared" si="2"/>
        <v>100</v>
      </c>
      <c r="X10" s="1567"/>
      <c r="Y10" s="3628"/>
      <c r="Z10" s="3178" t="str">
        <f t="shared" si="7"/>
        <v>土地使用年限（年）</v>
      </c>
      <c r="AA10" s="1568">
        <f t="shared" si="3"/>
        <v>1</v>
      </c>
      <c r="AB10" s="1568">
        <f t="shared" si="4"/>
        <v>1</v>
      </c>
      <c r="AC10" s="1568">
        <f t="shared" si="5"/>
        <v>1</v>
      </c>
    </row>
    <row r="11" spans="1:29" ht="15.75" thickBot="1">
      <c r="A11" s="2914"/>
      <c r="B11" s="2918" t="s">
        <v>2757</v>
      </c>
      <c r="C11" s="532">
        <f>'数据-汇总表'!I6</f>
        <v>1.8</v>
      </c>
      <c r="D11" s="254">
        <v>100</v>
      </c>
      <c r="E11" s="533">
        <f>'不动产比较法-住宅（高层）'!E11</f>
        <v>1.5</v>
      </c>
      <c r="F11" s="862">
        <f>LOOKUP(E11,68:68,69:69)-LOOKUP(C11,68:68,69:69)+100</f>
        <v>100</v>
      </c>
      <c r="G11" s="532">
        <f>E11</f>
        <v>1.5</v>
      </c>
      <c r="H11" s="254">
        <f>LOOKUP(G11,68:68,69:69)-LOOKUP(C11,68:68,69:69)+100</f>
        <v>100</v>
      </c>
      <c r="I11" s="532">
        <f>'不动产比较法-住宅（高层）'!I11</f>
        <v>1.44</v>
      </c>
      <c r="J11" s="254">
        <f>LOOKUP(I11,68:68,69:69)-LOOKUP(C11,68:68,69:69)+100</f>
        <v>100</v>
      </c>
      <c r="K11" s="863">
        <v>1</v>
      </c>
      <c r="L11" s="2138"/>
      <c r="M11" s="2132"/>
      <c r="N11" s="2132"/>
      <c r="O11" s="2139"/>
      <c r="P11" s="3671"/>
      <c r="Q11" s="3180" t="str">
        <f t="shared" si="6"/>
        <v>容积率</v>
      </c>
      <c r="R11" s="1565" t="s">
        <v>11</v>
      </c>
      <c r="S11" s="1566">
        <f t="shared" si="0"/>
        <v>100</v>
      </c>
      <c r="T11" s="1565" t="s">
        <v>11</v>
      </c>
      <c r="U11" s="1566">
        <f t="shared" si="1"/>
        <v>100</v>
      </c>
      <c r="V11" s="1565" t="s">
        <v>11</v>
      </c>
      <c r="W11" s="1566">
        <f t="shared" si="2"/>
        <v>100</v>
      </c>
      <c r="X11" s="1567"/>
      <c r="Y11" s="3628"/>
      <c r="Z11" s="3178" t="str">
        <f t="shared" si="7"/>
        <v>容积率</v>
      </c>
      <c r="AA11" s="1568">
        <f t="shared" si="3"/>
        <v>1</v>
      </c>
      <c r="AB11" s="1568">
        <f t="shared" si="4"/>
        <v>1</v>
      </c>
      <c r="AC11" s="1568">
        <f t="shared" si="5"/>
        <v>1</v>
      </c>
    </row>
    <row r="12" spans="1:29" s="1218" customFormat="1" ht="15.75" hidden="1" thickBot="1">
      <c r="A12" s="2915"/>
      <c r="B12" s="2921"/>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671"/>
      <c r="Q12" s="3180">
        <f t="shared" si="6"/>
        <v>0</v>
      </c>
      <c r="R12" s="1565" t="s">
        <v>11</v>
      </c>
      <c r="S12" s="1566">
        <f t="shared" si="0"/>
        <v>100</v>
      </c>
      <c r="T12" s="1565" t="s">
        <v>11</v>
      </c>
      <c r="U12" s="1566">
        <f t="shared" si="1"/>
        <v>100</v>
      </c>
      <c r="V12" s="1565" t="s">
        <v>11</v>
      </c>
      <c r="W12" s="1566">
        <f t="shared" si="2"/>
        <v>100</v>
      </c>
      <c r="X12" s="1567"/>
      <c r="Y12" s="3628"/>
      <c r="Z12" s="3178">
        <f t="shared" si="7"/>
        <v>0</v>
      </c>
      <c r="AA12" s="1568">
        <f>D12/F12</f>
        <v>1</v>
      </c>
      <c r="AB12" s="1568">
        <f>D12/H12</f>
        <v>1</v>
      </c>
      <c r="AC12" s="1568">
        <f>D12/J12</f>
        <v>1</v>
      </c>
    </row>
    <row r="13" spans="1:29" ht="15.75" hidden="1" thickBot="1">
      <c r="A13" s="2915"/>
      <c r="B13" s="2921"/>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671"/>
      <c r="Q13" s="3180">
        <f t="shared" si="6"/>
        <v>0</v>
      </c>
      <c r="R13" s="1565" t="s">
        <v>11</v>
      </c>
      <c r="S13" s="1566">
        <f t="shared" si="0"/>
        <v>100</v>
      </c>
      <c r="T13" s="1565" t="s">
        <v>11</v>
      </c>
      <c r="U13" s="1566">
        <f t="shared" si="1"/>
        <v>100</v>
      </c>
      <c r="V13" s="1565" t="s">
        <v>11</v>
      </c>
      <c r="W13" s="1566">
        <f t="shared" si="2"/>
        <v>100</v>
      </c>
      <c r="X13" s="1567"/>
      <c r="Y13" s="3628"/>
      <c r="Z13" s="3178">
        <f t="shared" si="7"/>
        <v>0</v>
      </c>
      <c r="AA13" s="1568">
        <f t="shared" si="3"/>
        <v>1</v>
      </c>
      <c r="AB13" s="1568">
        <f t="shared" si="4"/>
        <v>1</v>
      </c>
      <c r="AC13" s="1568">
        <f t="shared" si="5"/>
        <v>1</v>
      </c>
    </row>
    <row r="14" spans="1:29" ht="15.75" hidden="1" thickBot="1">
      <c r="A14" s="2916"/>
      <c r="B14" s="2922"/>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671"/>
      <c r="Q14" s="3180">
        <f t="shared" si="6"/>
        <v>0</v>
      </c>
      <c r="R14" s="1565" t="s">
        <v>11</v>
      </c>
      <c r="S14" s="1566">
        <f t="shared" si="0"/>
        <v>100</v>
      </c>
      <c r="T14" s="1565" t="s">
        <v>11</v>
      </c>
      <c r="U14" s="1566">
        <f t="shared" si="1"/>
        <v>100</v>
      </c>
      <c r="V14" s="1565" t="s">
        <v>11</v>
      </c>
      <c r="W14" s="1566">
        <f t="shared" si="2"/>
        <v>100</v>
      </c>
      <c r="X14" s="1567"/>
      <c r="Y14" s="3628"/>
      <c r="Z14" s="3178">
        <f t="shared" si="7"/>
        <v>0</v>
      </c>
      <c r="AA14" s="1568">
        <f t="shared" si="3"/>
        <v>1</v>
      </c>
      <c r="AB14" s="1568">
        <f t="shared" si="4"/>
        <v>1</v>
      </c>
      <c r="AC14" s="1568">
        <f t="shared" si="5"/>
        <v>1</v>
      </c>
    </row>
    <row r="15" spans="1:29" ht="99.75">
      <c r="A15" s="2908"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673" t="s">
        <v>540</v>
      </c>
      <c r="Q15" s="3186" t="str">
        <f t="shared" si="6"/>
        <v>居住社区成熟度</v>
      </c>
      <c r="R15" s="1570" t="s">
        <v>11</v>
      </c>
      <c r="S15" s="1571">
        <f t="shared" si="0"/>
        <v>100</v>
      </c>
      <c r="T15" s="1570" t="s">
        <v>11</v>
      </c>
      <c r="U15" s="1571">
        <f t="shared" si="1"/>
        <v>100</v>
      </c>
      <c r="V15" s="1570" t="s">
        <v>11</v>
      </c>
      <c r="W15" s="1571">
        <f t="shared" si="2"/>
        <v>100</v>
      </c>
      <c r="X15" s="3185"/>
      <c r="Y15" s="3673" t="s">
        <v>540</v>
      </c>
      <c r="Z15" s="3187" t="str">
        <f t="shared" si="7"/>
        <v>居住社区成熟度</v>
      </c>
      <c r="AA15" s="3188">
        <f t="shared" si="3"/>
        <v>1</v>
      </c>
      <c r="AB15" s="3188">
        <f t="shared" si="4"/>
        <v>1</v>
      </c>
      <c r="AC15" s="3188">
        <f t="shared" si="5"/>
        <v>1</v>
      </c>
    </row>
    <row r="16" spans="1:29" ht="15">
      <c r="A16" s="531"/>
      <c r="B16" s="868"/>
      <c r="C16" s="575" t="s">
        <v>3405</v>
      </c>
      <c r="D16" s="554"/>
      <c r="E16" s="555" t="s">
        <v>3405</v>
      </c>
      <c r="F16" s="556"/>
      <c r="G16" s="557" t="s">
        <v>3405</v>
      </c>
      <c r="H16" s="558"/>
      <c r="I16" s="555" t="s">
        <v>3405</v>
      </c>
      <c r="J16" s="554"/>
      <c r="K16" s="869"/>
      <c r="L16" s="2140"/>
      <c r="M16" s="2132"/>
      <c r="N16" s="2132"/>
      <c r="O16" s="2139"/>
      <c r="P16" s="3674"/>
      <c r="Q16" s="3186"/>
      <c r="R16" s="1570"/>
      <c r="S16" s="1571"/>
      <c r="T16" s="1570"/>
      <c r="U16" s="1571"/>
      <c r="V16" s="1570"/>
      <c r="W16" s="1571"/>
      <c r="X16" s="3185"/>
      <c r="Y16" s="3674"/>
      <c r="Z16" s="3187"/>
      <c r="AA16" s="3188">
        <v>1</v>
      </c>
      <c r="AB16" s="3188">
        <v>1</v>
      </c>
      <c r="AC16" s="3188">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674"/>
      <c r="Q17" s="3186" t="str">
        <f>B17</f>
        <v>交通便捷度</v>
      </c>
      <c r="R17" s="1570" t="s">
        <v>11</v>
      </c>
      <c r="S17" s="1571">
        <f>F17</f>
        <v>100</v>
      </c>
      <c r="T17" s="1570" t="s">
        <v>11</v>
      </c>
      <c r="U17" s="1571">
        <f>H17</f>
        <v>100</v>
      </c>
      <c r="V17" s="1570" t="s">
        <v>11</v>
      </c>
      <c r="W17" s="1571">
        <f>J17</f>
        <v>100</v>
      </c>
      <c r="X17" s="3185"/>
      <c r="Y17" s="3674"/>
      <c r="Z17" s="3187" t="str">
        <f>Q17</f>
        <v>交通便捷度</v>
      </c>
      <c r="AA17" s="3188">
        <f t="shared" si="3"/>
        <v>1</v>
      </c>
      <c r="AB17" s="3188">
        <f t="shared" si="4"/>
        <v>1</v>
      </c>
      <c r="AC17" s="3188">
        <f t="shared" si="5"/>
        <v>1</v>
      </c>
    </row>
    <row r="18" spans="1:29" ht="15">
      <c r="A18" s="531"/>
      <c r="B18" s="594"/>
      <c r="C18" s="872" t="s">
        <v>3405</v>
      </c>
      <c r="D18" s="558"/>
      <c r="E18" s="872" t="s">
        <v>3405</v>
      </c>
      <c r="F18" s="562"/>
      <c r="G18" s="872" t="s">
        <v>3405</v>
      </c>
      <c r="H18" s="554"/>
      <c r="I18" s="872" t="s">
        <v>3405</v>
      </c>
      <c r="J18" s="554"/>
      <c r="K18" s="869"/>
      <c r="L18" s="2140"/>
      <c r="M18" s="2132"/>
      <c r="N18" s="2132"/>
      <c r="O18" s="2139"/>
      <c r="P18" s="3674"/>
      <c r="Q18" s="3186"/>
      <c r="R18" s="1570"/>
      <c r="S18" s="1571"/>
      <c r="T18" s="1570"/>
      <c r="U18" s="1571"/>
      <c r="V18" s="1570"/>
      <c r="W18" s="1571"/>
      <c r="X18" s="3185"/>
      <c r="Y18" s="3674"/>
      <c r="Z18" s="3187"/>
      <c r="AA18" s="3188">
        <v>1</v>
      </c>
      <c r="AB18" s="3188">
        <v>1</v>
      </c>
      <c r="AC18" s="3188">
        <v>1</v>
      </c>
    </row>
    <row r="19" spans="1:29" ht="42.75">
      <c r="A19" s="531"/>
      <c r="B19" s="2598"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674"/>
      <c r="Q19" s="3186" t="str">
        <f>B19</f>
        <v>公共配套设施</v>
      </c>
      <c r="R19" s="1570" t="s">
        <v>11</v>
      </c>
      <c r="S19" s="1571">
        <f>F19</f>
        <v>100</v>
      </c>
      <c r="T19" s="1570" t="s">
        <v>11</v>
      </c>
      <c r="U19" s="1571">
        <f>H19</f>
        <v>100</v>
      </c>
      <c r="V19" s="1570" t="s">
        <v>11</v>
      </c>
      <c r="W19" s="1571">
        <f>J19</f>
        <v>100</v>
      </c>
      <c r="X19" s="3185"/>
      <c r="Y19" s="3674"/>
      <c r="Z19" s="3187" t="str">
        <f>Q19</f>
        <v>公共配套设施</v>
      </c>
      <c r="AA19" s="3188">
        <f t="shared" si="3"/>
        <v>1</v>
      </c>
      <c r="AB19" s="3188">
        <f t="shared" si="4"/>
        <v>1</v>
      </c>
      <c r="AC19" s="3188">
        <f t="shared" si="5"/>
        <v>1</v>
      </c>
    </row>
    <row r="20" spans="1:29" ht="15">
      <c r="A20" s="531"/>
      <c r="B20" s="594"/>
      <c r="C20" s="575" t="s">
        <v>3405</v>
      </c>
      <c r="D20" s="554"/>
      <c r="E20" s="555" t="s">
        <v>3405</v>
      </c>
      <c r="F20" s="556"/>
      <c r="G20" s="557" t="s">
        <v>3405</v>
      </c>
      <c r="H20" s="554"/>
      <c r="I20" s="555" t="s">
        <v>3405</v>
      </c>
      <c r="J20" s="554"/>
      <c r="K20" s="869"/>
      <c r="L20" s="2140"/>
      <c r="M20" s="2132"/>
      <c r="N20" s="2132"/>
      <c r="O20" s="2139"/>
      <c r="P20" s="3674"/>
      <c r="Q20" s="3186"/>
      <c r="R20" s="1570"/>
      <c r="S20" s="1571"/>
      <c r="T20" s="1570"/>
      <c r="U20" s="1571"/>
      <c r="V20" s="1570"/>
      <c r="W20" s="1571"/>
      <c r="X20" s="3185"/>
      <c r="Y20" s="3674"/>
      <c r="Z20" s="3187"/>
      <c r="AA20" s="3188">
        <v>1</v>
      </c>
      <c r="AB20" s="3188">
        <v>1</v>
      </c>
      <c r="AC20" s="3188">
        <v>1</v>
      </c>
    </row>
    <row r="21" spans="1:29" ht="28.5">
      <c r="A21" s="531"/>
      <c r="B21" s="2591" t="s">
        <v>2547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674"/>
      <c r="Q21" s="3186" t="str">
        <f>B21</f>
        <v>基础设施水平</v>
      </c>
      <c r="R21" s="1570" t="s">
        <v>11</v>
      </c>
      <c r="S21" s="1571">
        <f>F21</f>
        <v>100</v>
      </c>
      <c r="T21" s="1570" t="s">
        <v>11</v>
      </c>
      <c r="U21" s="1571">
        <f>H21</f>
        <v>100</v>
      </c>
      <c r="V21" s="1570" t="s">
        <v>11</v>
      </c>
      <c r="W21" s="1571">
        <f>J21</f>
        <v>100</v>
      </c>
      <c r="X21" s="3185"/>
      <c r="Y21" s="3674"/>
      <c r="Z21" s="3187" t="str">
        <f>Q21</f>
        <v>基础设施水平</v>
      </c>
      <c r="AA21" s="3188">
        <f t="shared" ref="AA21" si="8">D21/F21</f>
        <v>1</v>
      </c>
      <c r="AB21" s="3188">
        <f t="shared" ref="AB21" si="9">D21/H21</f>
        <v>1</v>
      </c>
      <c r="AC21" s="3188">
        <f t="shared" ref="AC21" si="10">D21/J21</f>
        <v>1</v>
      </c>
    </row>
    <row r="22" spans="1:29" ht="15">
      <c r="A22" s="531"/>
      <c r="B22" s="920"/>
      <c r="C22" s="872" t="s">
        <v>3407</v>
      </c>
      <c r="D22" s="554"/>
      <c r="E22" s="872" t="s">
        <v>3407</v>
      </c>
      <c r="F22" s="556"/>
      <c r="G22" s="872" t="s">
        <v>3407</v>
      </c>
      <c r="H22" s="554"/>
      <c r="I22" s="872" t="s">
        <v>3407</v>
      </c>
      <c r="J22" s="554"/>
      <c r="K22" s="2597"/>
      <c r="L22" s="2140"/>
      <c r="M22" s="2132"/>
      <c r="N22" s="2132"/>
      <c r="O22" s="2139"/>
      <c r="P22" s="3674"/>
      <c r="Q22" s="3186"/>
      <c r="R22" s="1570"/>
      <c r="S22" s="1571"/>
      <c r="T22" s="1570"/>
      <c r="U22" s="1571"/>
      <c r="V22" s="1570"/>
      <c r="W22" s="1571"/>
      <c r="X22" s="3185"/>
      <c r="Y22" s="3674"/>
      <c r="Z22" s="3187"/>
      <c r="AA22" s="3188">
        <v>1</v>
      </c>
      <c r="AB22" s="3188">
        <v>1</v>
      </c>
      <c r="AC22" s="3188">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3</v>
      </c>
      <c r="L23" s="2140"/>
      <c r="M23" s="2132"/>
      <c r="N23" s="2132"/>
      <c r="O23" s="2139"/>
      <c r="P23" s="3674"/>
      <c r="Q23" s="3186" t="str">
        <f>B23</f>
        <v>自然及人文环境</v>
      </c>
      <c r="R23" s="1570" t="s">
        <v>11</v>
      </c>
      <c r="S23" s="1571">
        <f>F23</f>
        <v>100</v>
      </c>
      <c r="T23" s="1570" t="s">
        <v>11</v>
      </c>
      <c r="U23" s="1571">
        <f>H23</f>
        <v>100</v>
      </c>
      <c r="V23" s="1570" t="s">
        <v>11</v>
      </c>
      <c r="W23" s="1571">
        <f>J23</f>
        <v>100</v>
      </c>
      <c r="X23" s="3185"/>
      <c r="Y23" s="3674"/>
      <c r="Z23" s="3187" t="str">
        <f>Q23</f>
        <v>自然及人文环境</v>
      </c>
      <c r="AA23" s="3188">
        <f t="shared" si="3"/>
        <v>1</v>
      </c>
      <c r="AB23" s="3188">
        <f t="shared" si="4"/>
        <v>1</v>
      </c>
      <c r="AC23" s="3188">
        <f t="shared" si="5"/>
        <v>1</v>
      </c>
    </row>
    <row r="24" spans="1:29" ht="15.75" thickBot="1">
      <c r="A24" s="531"/>
      <c r="B24" s="594"/>
      <c r="C24" s="575" t="s">
        <v>3406</v>
      </c>
      <c r="D24" s="554"/>
      <c r="E24" s="575" t="s">
        <v>3406</v>
      </c>
      <c r="F24" s="556"/>
      <c r="G24" s="575" t="s">
        <v>3406</v>
      </c>
      <c r="H24" s="554"/>
      <c r="I24" s="575" t="s">
        <v>3406</v>
      </c>
      <c r="J24" s="554"/>
      <c r="K24" s="869"/>
      <c r="L24" s="2140"/>
      <c r="M24" s="2132"/>
      <c r="N24" s="2132"/>
      <c r="O24" s="2139"/>
      <c r="P24" s="3674"/>
      <c r="Q24" s="3186"/>
      <c r="R24" s="1570"/>
      <c r="S24" s="1571"/>
      <c r="T24" s="1570"/>
      <c r="U24" s="1571"/>
      <c r="V24" s="1570"/>
      <c r="W24" s="1571"/>
      <c r="X24" s="3185"/>
      <c r="Y24" s="3674"/>
      <c r="Z24" s="3187"/>
      <c r="AA24" s="3188">
        <v>1</v>
      </c>
      <c r="AB24" s="3188">
        <v>1</v>
      </c>
      <c r="AC24" s="3188">
        <v>1</v>
      </c>
    </row>
    <row r="25" spans="1:29" ht="15.75" hidden="1" thickBot="1">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674"/>
      <c r="Q25" s="3186" t="str">
        <f t="shared" ref="Q25:Q46" si="11">B25</f>
        <v>楼层-1</v>
      </c>
      <c r="R25" s="1570" t="s">
        <v>11</v>
      </c>
      <c r="S25" s="1571">
        <f>F25</f>
        <v>100</v>
      </c>
      <c r="T25" s="1570" t="s">
        <v>11</v>
      </c>
      <c r="U25" s="1571">
        <f>H25</f>
        <v>100</v>
      </c>
      <c r="V25" s="1570" t="s">
        <v>11</v>
      </c>
      <c r="W25" s="1571">
        <f>J25</f>
        <v>100</v>
      </c>
      <c r="X25" s="3185"/>
      <c r="Y25" s="3674"/>
      <c r="Z25" s="3187" t="str">
        <f>Q25</f>
        <v>楼层-1</v>
      </c>
      <c r="AA25" s="3188">
        <f t="shared" si="3"/>
        <v>1</v>
      </c>
      <c r="AB25" s="3188">
        <f t="shared" si="4"/>
        <v>1</v>
      </c>
      <c r="AC25" s="3188">
        <f t="shared" si="5"/>
        <v>1</v>
      </c>
    </row>
    <row r="26" spans="1:29" ht="15.75" hidden="1"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674"/>
      <c r="Q26" s="3186" t="str">
        <f t="shared" si="11"/>
        <v>朝向</v>
      </c>
      <c r="R26" s="1570" t="s">
        <v>11</v>
      </c>
      <c r="S26" s="1571">
        <f>F26</f>
        <v>100</v>
      </c>
      <c r="T26" s="1570" t="s">
        <v>11</v>
      </c>
      <c r="U26" s="1571">
        <f>H26</f>
        <v>100</v>
      </c>
      <c r="V26" s="1570" t="s">
        <v>11</v>
      </c>
      <c r="W26" s="1571">
        <f>J26</f>
        <v>100</v>
      </c>
      <c r="X26" s="3185"/>
      <c r="Y26" s="3674"/>
      <c r="Z26" s="3187" t="str">
        <f>Q26</f>
        <v>朝向</v>
      </c>
      <c r="AA26" s="3188">
        <f t="shared" si="3"/>
        <v>1</v>
      </c>
      <c r="AB26" s="3188">
        <f t="shared" si="4"/>
        <v>1</v>
      </c>
      <c r="AC26" s="3188">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674"/>
      <c r="Q27" s="3180" t="str">
        <f t="shared" si="11"/>
        <v>道路级别</v>
      </c>
      <c r="R27" s="1565" t="s">
        <v>11</v>
      </c>
      <c r="S27" s="1566">
        <f>F27</f>
        <v>100</v>
      </c>
      <c r="T27" s="1565" t="s">
        <v>11</v>
      </c>
      <c r="U27" s="1566">
        <f>H27</f>
        <v>100</v>
      </c>
      <c r="V27" s="1565" t="s">
        <v>11</v>
      </c>
      <c r="W27" s="1566">
        <f>J27</f>
        <v>100</v>
      </c>
      <c r="X27" s="1567"/>
      <c r="Y27" s="3674"/>
      <c r="Z27" s="3178" t="str">
        <f>Q27</f>
        <v>道路级别</v>
      </c>
      <c r="AA27" s="3188">
        <f>D27/F27</f>
        <v>1</v>
      </c>
      <c r="AB27" s="3188">
        <f>D27/H27</f>
        <v>1</v>
      </c>
      <c r="AC27" s="3188">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674"/>
      <c r="Q28" s="3186">
        <f t="shared" si="11"/>
        <v>0</v>
      </c>
      <c r="R28" s="1570" t="s">
        <v>11</v>
      </c>
      <c r="S28" s="1571">
        <f t="shared" ref="S28:S46" si="12">F28</f>
        <v>100</v>
      </c>
      <c r="T28" s="1570" t="s">
        <v>11</v>
      </c>
      <c r="U28" s="1571">
        <f t="shared" ref="U28:U46" si="13">H28</f>
        <v>100</v>
      </c>
      <c r="V28" s="1570" t="s">
        <v>11</v>
      </c>
      <c r="W28" s="1571">
        <f t="shared" ref="W28:W46" si="14">J28</f>
        <v>100</v>
      </c>
      <c r="X28" s="3185"/>
      <c r="Y28" s="3674"/>
      <c r="Z28" s="3187">
        <f t="shared" ref="Z28:Z46" si="15">Q28</f>
        <v>0</v>
      </c>
      <c r="AA28" s="3188">
        <f t="shared" si="3"/>
        <v>1</v>
      </c>
      <c r="AB28" s="3188">
        <f t="shared" si="4"/>
        <v>1</v>
      </c>
      <c r="AC28" s="318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674"/>
      <c r="Q29" s="3186">
        <f t="shared" si="11"/>
        <v>0</v>
      </c>
      <c r="R29" s="1570" t="s">
        <v>11</v>
      </c>
      <c r="S29" s="1571">
        <f t="shared" si="12"/>
        <v>100</v>
      </c>
      <c r="T29" s="1570" t="s">
        <v>11</v>
      </c>
      <c r="U29" s="1571">
        <f t="shared" si="13"/>
        <v>100</v>
      </c>
      <c r="V29" s="1570" t="s">
        <v>11</v>
      </c>
      <c r="W29" s="1571">
        <f t="shared" si="14"/>
        <v>100</v>
      </c>
      <c r="X29" s="3185"/>
      <c r="Y29" s="3674"/>
      <c r="Z29" s="3187">
        <f t="shared" si="15"/>
        <v>0</v>
      </c>
      <c r="AA29" s="3188">
        <f t="shared" si="3"/>
        <v>1</v>
      </c>
      <c r="AB29" s="3188">
        <f t="shared" si="4"/>
        <v>1</v>
      </c>
      <c r="AC29" s="318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674"/>
      <c r="Q30" s="3186">
        <f t="shared" si="11"/>
        <v>0</v>
      </c>
      <c r="R30" s="1570" t="s">
        <v>11</v>
      </c>
      <c r="S30" s="1571">
        <f t="shared" si="12"/>
        <v>100</v>
      </c>
      <c r="T30" s="1570" t="s">
        <v>11</v>
      </c>
      <c r="U30" s="1571">
        <f t="shared" si="13"/>
        <v>100</v>
      </c>
      <c r="V30" s="1570" t="s">
        <v>11</v>
      </c>
      <c r="W30" s="1571">
        <f t="shared" si="14"/>
        <v>100</v>
      </c>
      <c r="X30" s="3185"/>
      <c r="Y30" s="3674"/>
      <c r="Z30" s="3187">
        <f t="shared" si="15"/>
        <v>0</v>
      </c>
      <c r="AA30" s="3188">
        <f t="shared" si="3"/>
        <v>1</v>
      </c>
      <c r="AB30" s="3188">
        <f t="shared" si="4"/>
        <v>1</v>
      </c>
      <c r="AC30" s="3188">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674"/>
      <c r="Q31" s="3186">
        <f t="shared" si="11"/>
        <v>0</v>
      </c>
      <c r="R31" s="1570" t="s">
        <v>11</v>
      </c>
      <c r="S31" s="1571">
        <f t="shared" si="12"/>
        <v>100</v>
      </c>
      <c r="T31" s="1570" t="s">
        <v>11</v>
      </c>
      <c r="U31" s="1571">
        <f t="shared" si="13"/>
        <v>100</v>
      </c>
      <c r="V31" s="1570" t="s">
        <v>11</v>
      </c>
      <c r="W31" s="1571">
        <f t="shared" si="14"/>
        <v>100</v>
      </c>
      <c r="X31" s="3185"/>
      <c r="Y31" s="3674"/>
      <c r="Z31" s="3187">
        <f t="shared" si="15"/>
        <v>0</v>
      </c>
      <c r="AA31" s="3188">
        <f t="shared" si="3"/>
        <v>1</v>
      </c>
      <c r="AB31" s="3188">
        <f t="shared" si="4"/>
        <v>1</v>
      </c>
      <c r="AC31" s="3188">
        <f t="shared" si="5"/>
        <v>1</v>
      </c>
    </row>
    <row r="32" spans="1:29" ht="15">
      <c r="A32" s="2905" t="s">
        <v>2754</v>
      </c>
      <c r="B32" s="172" t="s">
        <v>725</v>
      </c>
      <c r="C32" s="877" t="s">
        <v>3167</v>
      </c>
      <c r="D32" s="596">
        <v>100</v>
      </c>
      <c r="E32" s="877" t="s">
        <v>3436</v>
      </c>
      <c r="F32" s="574">
        <f>SUMIF(100:100,E32,101:101)-SUMIF(100:100,C32,101:101)+100</f>
        <v>85</v>
      </c>
      <c r="G32" s="877" t="s">
        <v>3167</v>
      </c>
      <c r="H32" s="596">
        <f>SUMIF(100:100,G32,101:101)-SUMIF(100:100,C32,101:101)+100</f>
        <v>100</v>
      </c>
      <c r="I32" s="877" t="s">
        <v>3436</v>
      </c>
      <c r="J32" s="539">
        <f>SUMIF(100:100,I32,101:101)-SUMIF(100:100,C32,101:101)+100</f>
        <v>85</v>
      </c>
      <c r="K32" s="863">
        <v>15</v>
      </c>
      <c r="L32" s="2140"/>
      <c r="M32" s="2132"/>
      <c r="N32" s="2132"/>
      <c r="O32" s="2139"/>
      <c r="P32" s="3675" t="s">
        <v>550</v>
      </c>
      <c r="Q32" s="3186" t="str">
        <f t="shared" si="11"/>
        <v>建筑类型</v>
      </c>
      <c r="R32" s="1570" t="s">
        <v>11</v>
      </c>
      <c r="S32" s="1571">
        <f t="shared" si="12"/>
        <v>85</v>
      </c>
      <c r="T32" s="1570" t="s">
        <v>11</v>
      </c>
      <c r="U32" s="1571">
        <f t="shared" si="13"/>
        <v>100</v>
      </c>
      <c r="V32" s="1570" t="s">
        <v>11</v>
      </c>
      <c r="W32" s="1571">
        <f t="shared" si="14"/>
        <v>85</v>
      </c>
      <c r="X32" s="3185"/>
      <c r="Y32" s="3676" t="s">
        <v>550</v>
      </c>
      <c r="Z32" s="3187" t="str">
        <f t="shared" si="15"/>
        <v>建筑类型</v>
      </c>
      <c r="AA32" s="3188">
        <f t="shared" si="3"/>
        <v>1.1764705882352942</v>
      </c>
      <c r="AB32" s="3188">
        <f t="shared" si="4"/>
        <v>1</v>
      </c>
      <c r="AC32" s="3188">
        <f t="shared" si="5"/>
        <v>1.1764705882352942</v>
      </c>
    </row>
    <row r="33" spans="1:29" s="1337" customFormat="1" ht="15">
      <c r="A33" s="602"/>
      <c r="B33" s="526" t="s">
        <v>726</v>
      </c>
      <c r="C33" s="878">
        <f>'数据-汇总表'!E3</f>
        <v>180792</v>
      </c>
      <c r="D33" s="254">
        <v>100</v>
      </c>
      <c r="E33" s="878">
        <f>'不动产比较法-住宅（高层）'!E33</f>
        <v>1700000</v>
      </c>
      <c r="F33" s="862">
        <f>LOOKUP(E33,103:103,104:104)-LOOKUP(C33,103:103,104:104)+100</f>
        <v>100</v>
      </c>
      <c r="G33" s="878">
        <f>E33</f>
        <v>1700000</v>
      </c>
      <c r="H33" s="254">
        <f>LOOKUP(G33,103:103,104:104)-LOOKUP(C33,103:103,104:104)+100</f>
        <v>100</v>
      </c>
      <c r="I33" s="878">
        <f>'不动产比较法-住宅（高层）'!I33</f>
        <v>679359.24</v>
      </c>
      <c r="J33" s="254">
        <f>LOOKUP(I33,103:103,104:104)-LOOKUP(C33,103:103,104:104)+100</f>
        <v>100</v>
      </c>
      <c r="K33" s="864"/>
      <c r="L33" s="2138"/>
      <c r="M33" s="2169"/>
      <c r="N33" s="2169"/>
      <c r="O33" s="2141"/>
      <c r="P33" s="3676"/>
      <c r="Q33" s="1602" t="str">
        <f t="shared" si="11"/>
        <v>项目建筑规模</v>
      </c>
      <c r="R33" s="1574" t="s">
        <v>11</v>
      </c>
      <c r="S33" s="1575">
        <f t="shared" si="12"/>
        <v>100</v>
      </c>
      <c r="T33" s="1574" t="s">
        <v>11</v>
      </c>
      <c r="U33" s="1575">
        <f t="shared" si="13"/>
        <v>100</v>
      </c>
      <c r="V33" s="1574" t="s">
        <v>11</v>
      </c>
      <c r="W33" s="1575">
        <f t="shared" si="14"/>
        <v>100</v>
      </c>
      <c r="X33" s="1576"/>
      <c r="Y33" s="3676"/>
      <c r="Z33" s="1577" t="str">
        <f t="shared" si="15"/>
        <v>项目建筑规模</v>
      </c>
      <c r="AA33" s="3188">
        <f t="shared" si="3"/>
        <v>1</v>
      </c>
      <c r="AB33" s="3188">
        <f t="shared" si="4"/>
        <v>1</v>
      </c>
      <c r="AC33" s="3188">
        <f t="shared" si="5"/>
        <v>1</v>
      </c>
    </row>
    <row r="34" spans="1:29" ht="15">
      <c r="A34" s="593"/>
      <c r="B34" s="526" t="s">
        <v>727</v>
      </c>
      <c r="C34" s="879" t="s">
        <v>3187</v>
      </c>
      <c r="D34" s="539">
        <v>100</v>
      </c>
      <c r="E34" s="879" t="s">
        <v>3187</v>
      </c>
      <c r="F34" s="574">
        <f>SUMIF(105:105,E34,106:106)-SUMIF(105:105,C34,106:106)+100</f>
        <v>100</v>
      </c>
      <c r="G34" s="879" t="s">
        <v>3187</v>
      </c>
      <c r="H34" s="539">
        <f>SUMIF(105:105,G34,106:106)-SUMIF(105:105,C34,106:106)+100</f>
        <v>100</v>
      </c>
      <c r="I34" s="879" t="s">
        <v>3187</v>
      </c>
      <c r="J34" s="539">
        <f>SUMIF(105:105,I34,106:106)-SUMIF(105:105,C34,106:106)+100</f>
        <v>100</v>
      </c>
      <c r="K34" s="863">
        <v>2</v>
      </c>
      <c r="L34" s="2140"/>
      <c r="M34" s="2132"/>
      <c r="N34" s="2132"/>
      <c r="O34" s="2139"/>
      <c r="P34" s="3676"/>
      <c r="Q34" s="3186" t="str">
        <f t="shared" si="11"/>
        <v>建筑结构</v>
      </c>
      <c r="R34" s="1570" t="s">
        <v>11</v>
      </c>
      <c r="S34" s="1571">
        <f t="shared" si="12"/>
        <v>100</v>
      </c>
      <c r="T34" s="1570" t="s">
        <v>11</v>
      </c>
      <c r="U34" s="1571">
        <f t="shared" si="13"/>
        <v>100</v>
      </c>
      <c r="V34" s="1570" t="s">
        <v>11</v>
      </c>
      <c r="W34" s="1571">
        <f t="shared" si="14"/>
        <v>100</v>
      </c>
      <c r="X34" s="3185"/>
      <c r="Y34" s="3676"/>
      <c r="Z34" s="3187" t="str">
        <f t="shared" si="15"/>
        <v>建筑结构</v>
      </c>
      <c r="AA34" s="3188">
        <f t="shared" si="3"/>
        <v>1</v>
      </c>
      <c r="AB34" s="3188">
        <f t="shared" si="4"/>
        <v>1</v>
      </c>
      <c r="AC34" s="3188">
        <f t="shared" si="5"/>
        <v>1</v>
      </c>
    </row>
    <row r="35" spans="1:29" ht="15">
      <c r="A35" s="593"/>
      <c r="B35" s="526" t="s">
        <v>728</v>
      </c>
      <c r="C35" s="598" t="s">
        <v>3433</v>
      </c>
      <c r="D35" s="539">
        <v>100</v>
      </c>
      <c r="E35" s="598" t="s">
        <v>3433</v>
      </c>
      <c r="F35" s="574">
        <f>SUMIF(107:107,E35,108:108)-SUMIF(107:107,C35,108:108)+100</f>
        <v>100</v>
      </c>
      <c r="G35" s="598" t="s">
        <v>3433</v>
      </c>
      <c r="H35" s="539">
        <f>SUMIF(107:107,G35,108:108)-SUMIF(107:107,C35,108:108)+100</f>
        <v>100</v>
      </c>
      <c r="I35" s="598" t="s">
        <v>3813</v>
      </c>
      <c r="J35" s="539">
        <f>SUMIF(107:107,I35,108:108)-SUMIF(107:107,C35,108:108)+100</f>
        <v>95</v>
      </c>
      <c r="K35" s="863">
        <v>5</v>
      </c>
      <c r="L35" s="2140"/>
      <c r="M35" s="2132"/>
      <c r="N35" s="2132"/>
      <c r="O35" s="2139"/>
      <c r="P35" s="3676"/>
      <c r="Q35" s="3186" t="str">
        <f t="shared" si="11"/>
        <v>建筑品质</v>
      </c>
      <c r="R35" s="1570" t="s">
        <v>11</v>
      </c>
      <c r="S35" s="1571">
        <f t="shared" si="12"/>
        <v>100</v>
      </c>
      <c r="T35" s="1570" t="s">
        <v>11</v>
      </c>
      <c r="U35" s="1571">
        <f t="shared" si="13"/>
        <v>100</v>
      </c>
      <c r="V35" s="1570" t="s">
        <v>11</v>
      </c>
      <c r="W35" s="1571">
        <f t="shared" si="14"/>
        <v>95</v>
      </c>
      <c r="X35" s="3185"/>
      <c r="Y35" s="3676"/>
      <c r="Z35" s="3187" t="str">
        <f t="shared" si="15"/>
        <v>建筑品质</v>
      </c>
      <c r="AA35" s="3188">
        <f t="shared" si="3"/>
        <v>1</v>
      </c>
      <c r="AB35" s="3188">
        <f t="shared" si="4"/>
        <v>1</v>
      </c>
      <c r="AC35" s="3188">
        <f t="shared" si="5"/>
        <v>1.0526315789473684</v>
      </c>
    </row>
    <row r="36" spans="1:29" ht="15">
      <c r="A36" s="593"/>
      <c r="B36" s="526" t="s">
        <v>729</v>
      </c>
      <c r="C36" s="598" t="s">
        <v>3442</v>
      </c>
      <c r="D36" s="539">
        <v>100</v>
      </c>
      <c r="E36" s="598" t="s">
        <v>3442</v>
      </c>
      <c r="F36" s="574">
        <f>SUMIF(109:109,E36,110:110)-SUMIF(109:109,C36,110:110)+100</f>
        <v>100</v>
      </c>
      <c r="G36" s="598" t="s">
        <v>3442</v>
      </c>
      <c r="H36" s="539">
        <f>SUMIF(109:109,G36,110:110)-SUMIF(109:109,C36,110:110)+100</f>
        <v>100</v>
      </c>
      <c r="I36" s="598" t="s">
        <v>3442</v>
      </c>
      <c r="J36" s="539">
        <f>SUMIF(109:109,I36,110:110)-SUMIF(109:109,C36,110:110)+100</f>
        <v>100</v>
      </c>
      <c r="K36" s="863">
        <v>2</v>
      </c>
      <c r="L36" s="2140"/>
      <c r="M36" s="2132"/>
      <c r="N36" s="2132"/>
      <c r="O36" s="2139"/>
      <c r="P36" s="3676"/>
      <c r="Q36" s="3186" t="str">
        <f t="shared" si="11"/>
        <v>公共部分装修</v>
      </c>
      <c r="R36" s="1570" t="s">
        <v>11</v>
      </c>
      <c r="S36" s="1571">
        <f t="shared" si="12"/>
        <v>100</v>
      </c>
      <c r="T36" s="1570" t="s">
        <v>11</v>
      </c>
      <c r="U36" s="1571">
        <f t="shared" si="13"/>
        <v>100</v>
      </c>
      <c r="V36" s="1570" t="s">
        <v>11</v>
      </c>
      <c r="W36" s="1571">
        <f t="shared" si="14"/>
        <v>100</v>
      </c>
      <c r="X36" s="3185"/>
      <c r="Y36" s="3676"/>
      <c r="Z36" s="3187" t="str">
        <f t="shared" si="15"/>
        <v>公共部分装修</v>
      </c>
      <c r="AA36" s="3188">
        <f t="shared" si="3"/>
        <v>1</v>
      </c>
      <c r="AB36" s="3188">
        <f t="shared" si="4"/>
        <v>1</v>
      </c>
      <c r="AC36" s="3188">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3"/>
      <c r="M37" s="2134"/>
      <c r="N37" s="2134"/>
      <c r="O37" s="2135"/>
      <c r="P37" s="3676"/>
      <c r="Q37" s="3180" t="str">
        <f t="shared" si="11"/>
        <v>成新度</v>
      </c>
      <c r="R37" s="1565" t="s">
        <v>11</v>
      </c>
      <c r="S37" s="1566">
        <f t="shared" si="12"/>
        <v>100</v>
      </c>
      <c r="T37" s="1565" t="s">
        <v>11</v>
      </c>
      <c r="U37" s="1566">
        <f t="shared" si="13"/>
        <v>100</v>
      </c>
      <c r="V37" s="1565" t="s">
        <v>11</v>
      </c>
      <c r="W37" s="1566">
        <f t="shared" si="14"/>
        <v>100</v>
      </c>
      <c r="X37" s="1567"/>
      <c r="Y37" s="3676"/>
      <c r="Z37" s="3178" t="str">
        <f t="shared" si="15"/>
        <v>成新度</v>
      </c>
      <c r="AA37" s="1568">
        <f t="shared" si="3"/>
        <v>1</v>
      </c>
      <c r="AB37" s="1568">
        <f t="shared" si="4"/>
        <v>1</v>
      </c>
      <c r="AC37" s="1568">
        <f t="shared" si="5"/>
        <v>1</v>
      </c>
    </row>
    <row r="38" spans="1:29" ht="15">
      <c r="A38" s="593"/>
      <c r="B38" s="526" t="s">
        <v>731</v>
      </c>
      <c r="C38" s="598" t="s">
        <v>3428</v>
      </c>
      <c r="D38" s="539">
        <v>100</v>
      </c>
      <c r="E38" s="598" t="s">
        <v>3428</v>
      </c>
      <c r="F38" s="574">
        <f>SUMIF(114:114,E38,115:115)-SUMIF(114:114,C38,115:115)+100</f>
        <v>100</v>
      </c>
      <c r="G38" s="598" t="s">
        <v>3428</v>
      </c>
      <c r="H38" s="539">
        <f>SUMIF(114:114,G38,115:115)-SUMIF(114:114,C38,115:115)+100</f>
        <v>100</v>
      </c>
      <c r="I38" s="598" t="s">
        <v>3428</v>
      </c>
      <c r="J38" s="539">
        <f>SUMIF(114:114,I38,115:115)-SUMIF(114:114,C38,115:115)+100</f>
        <v>100</v>
      </c>
      <c r="K38" s="863">
        <v>2</v>
      </c>
      <c r="L38" s="2140"/>
      <c r="M38" s="2132"/>
      <c r="N38" s="2132"/>
      <c r="O38" s="2139"/>
      <c r="P38" s="3676" t="s">
        <v>550</v>
      </c>
      <c r="Q38" s="3186" t="str">
        <f t="shared" si="11"/>
        <v>物业管理</v>
      </c>
      <c r="R38" s="1570" t="s">
        <v>11</v>
      </c>
      <c r="S38" s="1571">
        <f t="shared" si="12"/>
        <v>100</v>
      </c>
      <c r="T38" s="1570" t="s">
        <v>11</v>
      </c>
      <c r="U38" s="1571">
        <f t="shared" si="13"/>
        <v>100</v>
      </c>
      <c r="V38" s="1570" t="s">
        <v>11</v>
      </c>
      <c r="W38" s="1571">
        <f t="shared" si="14"/>
        <v>100</v>
      </c>
      <c r="X38" s="3185"/>
      <c r="Y38" s="3676" t="s">
        <v>550</v>
      </c>
      <c r="Z38" s="3187" t="str">
        <f t="shared" si="15"/>
        <v>物业管理</v>
      </c>
      <c r="AA38" s="3188">
        <f t="shared" si="3"/>
        <v>1</v>
      </c>
      <c r="AB38" s="3188">
        <f t="shared" si="4"/>
        <v>1</v>
      </c>
      <c r="AC38" s="3188">
        <f t="shared" si="5"/>
        <v>1</v>
      </c>
    </row>
    <row r="39" spans="1:29" ht="15">
      <c r="A39" s="593"/>
      <c r="B39" s="1893" t="s">
        <v>2564</v>
      </c>
      <c r="C39" s="598" t="s">
        <v>3407</v>
      </c>
      <c r="D39" s="539">
        <v>100</v>
      </c>
      <c r="E39" s="598" t="s">
        <v>3407</v>
      </c>
      <c r="F39" s="574">
        <f>SUMIF(116:116,E39,117:117)-SUMIF(116:116,C39,117:117)+100</f>
        <v>100</v>
      </c>
      <c r="G39" s="598" t="s">
        <v>3407</v>
      </c>
      <c r="H39" s="539">
        <f>SUMIF(116:116,G39,117:117)-SUMIF(116:116,C39,117:117)+100</f>
        <v>100</v>
      </c>
      <c r="I39" s="598" t="s">
        <v>3407</v>
      </c>
      <c r="J39" s="539">
        <f>SUMIF(116:116,I39,117:117)-SUMIF(116:116,C39,117:117)+100</f>
        <v>100</v>
      </c>
      <c r="K39" s="863">
        <v>2</v>
      </c>
      <c r="L39" s="2140"/>
      <c r="M39" s="2132"/>
      <c r="N39" s="2132"/>
      <c r="O39" s="2139"/>
      <c r="P39" s="3676"/>
      <c r="Q39" s="3186" t="str">
        <f t="shared" si="11"/>
        <v>市政基础设施</v>
      </c>
      <c r="R39" s="1570" t="s">
        <v>11</v>
      </c>
      <c r="S39" s="1571">
        <f t="shared" si="12"/>
        <v>100</v>
      </c>
      <c r="T39" s="1570" t="s">
        <v>11</v>
      </c>
      <c r="U39" s="1571">
        <f t="shared" si="13"/>
        <v>100</v>
      </c>
      <c r="V39" s="1570" t="s">
        <v>11</v>
      </c>
      <c r="W39" s="1571">
        <f t="shared" si="14"/>
        <v>100</v>
      </c>
      <c r="X39" s="3185"/>
      <c r="Y39" s="3676"/>
      <c r="Z39" s="3187" t="str">
        <f t="shared" si="15"/>
        <v>市政基础设施</v>
      </c>
      <c r="AA39" s="3188">
        <f t="shared" si="3"/>
        <v>1</v>
      </c>
      <c r="AB39" s="3188">
        <f t="shared" si="4"/>
        <v>1</v>
      </c>
      <c r="AC39" s="3188">
        <f t="shared" si="5"/>
        <v>1</v>
      </c>
    </row>
    <row r="40" spans="1:29" ht="15">
      <c r="A40" s="593"/>
      <c r="B40" s="526" t="s">
        <v>732</v>
      </c>
      <c r="C40" s="598" t="s">
        <v>3431</v>
      </c>
      <c r="D40" s="539">
        <v>100</v>
      </c>
      <c r="E40" s="598" t="s">
        <v>3431</v>
      </c>
      <c r="F40" s="574">
        <f>SUMIF(118:118,E40,119:119)-SUMIF(118:118,C40,119:119)+100</f>
        <v>100</v>
      </c>
      <c r="G40" s="598" t="s">
        <v>3431</v>
      </c>
      <c r="H40" s="539">
        <f>SUMIF(118:118,G40,119:119)-SUMIF(118:118,C40,119:119)+100</f>
        <v>100</v>
      </c>
      <c r="I40" s="598" t="s">
        <v>3431</v>
      </c>
      <c r="J40" s="539">
        <f>SUMIF(118:118,I40,119:119)-SUMIF(118:118,C40,119:119)+100</f>
        <v>100</v>
      </c>
      <c r="K40" s="863">
        <v>5</v>
      </c>
      <c r="L40" s="2140"/>
      <c r="M40" s="2132"/>
      <c r="N40" s="2132"/>
      <c r="O40" s="2139"/>
      <c r="P40" s="3676"/>
      <c r="Q40" s="3186" t="str">
        <f t="shared" si="11"/>
        <v>房型</v>
      </c>
      <c r="R40" s="1570" t="s">
        <v>11</v>
      </c>
      <c r="S40" s="1571">
        <f t="shared" si="12"/>
        <v>100</v>
      </c>
      <c r="T40" s="1570" t="s">
        <v>11</v>
      </c>
      <c r="U40" s="1571">
        <f t="shared" si="13"/>
        <v>100</v>
      </c>
      <c r="V40" s="1570" t="s">
        <v>11</v>
      </c>
      <c r="W40" s="1571">
        <f t="shared" si="14"/>
        <v>100</v>
      </c>
      <c r="X40" s="3185"/>
      <c r="Y40" s="3676"/>
      <c r="Z40" s="3187" t="str">
        <f t="shared" si="15"/>
        <v>房型</v>
      </c>
      <c r="AA40" s="3188">
        <f t="shared" si="3"/>
        <v>1</v>
      </c>
      <c r="AB40" s="3188">
        <f t="shared" si="4"/>
        <v>1</v>
      </c>
      <c r="AC40" s="3188">
        <f t="shared" si="5"/>
        <v>1</v>
      </c>
    </row>
    <row r="41" spans="1:29" s="1337"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8"/>
      <c r="M41" s="2169"/>
      <c r="N41" s="2169"/>
      <c r="O41" s="2141"/>
      <c r="P41" s="3676"/>
      <c r="Q41" s="1602" t="str">
        <f t="shared" si="11"/>
        <v>单套/主力户型建筑面积</v>
      </c>
      <c r="R41" s="1574" t="s">
        <v>11</v>
      </c>
      <c r="S41" s="1575">
        <f t="shared" si="12"/>
        <v>100</v>
      </c>
      <c r="T41" s="1574" t="s">
        <v>11</v>
      </c>
      <c r="U41" s="1575">
        <f t="shared" si="13"/>
        <v>100</v>
      </c>
      <c r="V41" s="1574" t="s">
        <v>11</v>
      </c>
      <c r="W41" s="1575">
        <f t="shared" si="14"/>
        <v>100</v>
      </c>
      <c r="X41" s="1576"/>
      <c r="Y41" s="3676"/>
      <c r="Z41" s="1577" t="str">
        <f t="shared" si="15"/>
        <v>单套/主力户型建筑面积</v>
      </c>
      <c r="AA41" s="3188">
        <f t="shared" si="3"/>
        <v>1</v>
      </c>
      <c r="AB41" s="3188">
        <f t="shared" si="4"/>
        <v>1</v>
      </c>
      <c r="AC41" s="3188">
        <f t="shared" si="5"/>
        <v>1</v>
      </c>
    </row>
    <row r="42" spans="1:29" ht="15">
      <c r="A42" s="593"/>
      <c r="B42" s="526" t="s">
        <v>734</v>
      </c>
      <c r="C42" s="598" t="s">
        <v>3440</v>
      </c>
      <c r="D42" s="539">
        <v>100</v>
      </c>
      <c r="E42" s="598" t="s">
        <v>3440</v>
      </c>
      <c r="F42" s="574">
        <f>SUMIF(122:122,E42,123:123)-SUMIF(122:122,C42,123:123)+100</f>
        <v>100</v>
      </c>
      <c r="G42" s="598" t="s">
        <v>3440</v>
      </c>
      <c r="H42" s="539">
        <f>SUMIF(122:122,G42,123:123)-SUMIF(122:122,C42,123:123)+100</f>
        <v>100</v>
      </c>
      <c r="I42" s="598" t="s">
        <v>3438</v>
      </c>
      <c r="J42" s="539">
        <f>SUMIF(122:122,I42,123:123)-SUMIF(122:122,C42,123:123)+100</f>
        <v>103</v>
      </c>
      <c r="K42" s="863">
        <v>3</v>
      </c>
      <c r="L42" s="2140"/>
      <c r="M42" s="2132"/>
      <c r="N42" s="2132"/>
      <c r="O42" s="2139"/>
      <c r="P42" s="3676"/>
      <c r="Q42" s="3186" t="str">
        <f t="shared" si="11"/>
        <v>内部装修</v>
      </c>
      <c r="R42" s="1570" t="s">
        <v>11</v>
      </c>
      <c r="S42" s="1571">
        <f t="shared" si="12"/>
        <v>100</v>
      </c>
      <c r="T42" s="1570" t="s">
        <v>11</v>
      </c>
      <c r="U42" s="1571">
        <f t="shared" si="13"/>
        <v>100</v>
      </c>
      <c r="V42" s="1570" t="s">
        <v>11</v>
      </c>
      <c r="W42" s="1571">
        <f t="shared" si="14"/>
        <v>103</v>
      </c>
      <c r="X42" s="3185"/>
      <c r="Y42" s="3676"/>
      <c r="Z42" s="3187" t="str">
        <f t="shared" si="15"/>
        <v>内部装修</v>
      </c>
      <c r="AA42" s="3188">
        <f t="shared" si="3"/>
        <v>1</v>
      </c>
      <c r="AB42" s="3188">
        <f t="shared" si="4"/>
        <v>1</v>
      </c>
      <c r="AC42" s="3188">
        <f t="shared" si="5"/>
        <v>0.970873786407767</v>
      </c>
    </row>
    <row r="43" spans="1:29" ht="27.75" thickBot="1">
      <c r="A43" s="593"/>
      <c r="B43" s="526" t="s">
        <v>735</v>
      </c>
      <c r="C43" s="598" t="s">
        <v>3406</v>
      </c>
      <c r="D43" s="539">
        <v>100</v>
      </c>
      <c r="E43" s="598" t="s">
        <v>3406</v>
      </c>
      <c r="F43" s="574">
        <f>SUMIF(124:124,E43,125:125)-SUMIF(124:124,C43,125:125)+100</f>
        <v>100</v>
      </c>
      <c r="G43" s="3473" t="s">
        <v>3406</v>
      </c>
      <c r="H43" s="545">
        <f>SUMIF(124:124,G43,125:125)-SUMIF(124:124,C43,125:125)+100</f>
        <v>100</v>
      </c>
      <c r="I43" s="598" t="s">
        <v>3406</v>
      </c>
      <c r="J43" s="539">
        <f>SUMIF(124:124,I43,125:125)-SUMIF(124:124,C43,125:125)+100</f>
        <v>100</v>
      </c>
      <c r="K43" s="863">
        <v>2</v>
      </c>
      <c r="L43" s="2140"/>
      <c r="M43" s="2132"/>
      <c r="N43" s="2132"/>
      <c r="O43" s="2139"/>
      <c r="P43" s="3676"/>
      <c r="Q43" s="3186" t="str">
        <f t="shared" si="11"/>
        <v>内部装修维护情况</v>
      </c>
      <c r="R43" s="1570" t="s">
        <v>11</v>
      </c>
      <c r="S43" s="1571">
        <f t="shared" si="12"/>
        <v>100</v>
      </c>
      <c r="T43" s="1570" t="s">
        <v>11</v>
      </c>
      <c r="U43" s="1571">
        <f t="shared" si="13"/>
        <v>100</v>
      </c>
      <c r="V43" s="1570" t="s">
        <v>11</v>
      </c>
      <c r="W43" s="1571">
        <f t="shared" si="14"/>
        <v>100</v>
      </c>
      <c r="X43" s="3185"/>
      <c r="Y43" s="3676"/>
      <c r="Z43" s="3187" t="str">
        <f t="shared" si="15"/>
        <v>内部装修维护情况</v>
      </c>
      <c r="AA43" s="3188">
        <f t="shared" si="3"/>
        <v>1</v>
      </c>
      <c r="AB43" s="3188">
        <f t="shared" si="4"/>
        <v>1</v>
      </c>
      <c r="AC43" s="3188">
        <f t="shared" si="5"/>
        <v>1</v>
      </c>
    </row>
    <row r="44" spans="1:29" s="1218" customFormat="1" ht="15.75" hidden="1" thickBot="1">
      <c r="A44" s="599"/>
      <c r="B44" s="876"/>
      <c r="C44" s="878"/>
      <c r="D44" s="254">
        <v>100</v>
      </c>
      <c r="E44" s="878"/>
      <c r="F44" s="862">
        <f>SUMIF(126:126,E44,127:127)-SUMIF(126:126,C44,127:127)+100</f>
        <v>100</v>
      </c>
      <c r="G44" s="3472"/>
      <c r="H44" s="874">
        <f>SUMIF(126:126,G44,127:127)-SUMIF(126:126,C44,127:127)+100</f>
        <v>100</v>
      </c>
      <c r="I44" s="878"/>
      <c r="J44" s="254">
        <f>SUMIF(126:126,I44,127:127)-SUMIF(126:126,C44,127:127)+100</f>
        <v>100</v>
      </c>
      <c r="K44" s="864"/>
      <c r="L44" s="2133"/>
      <c r="M44" s="2134"/>
      <c r="N44" s="2134"/>
      <c r="O44" s="2135"/>
      <c r="P44" s="3676"/>
      <c r="Q44" s="3180">
        <f t="shared" si="11"/>
        <v>0</v>
      </c>
      <c r="R44" s="1565" t="s">
        <v>11</v>
      </c>
      <c r="S44" s="1566">
        <f t="shared" si="12"/>
        <v>100</v>
      </c>
      <c r="T44" s="1565" t="s">
        <v>11</v>
      </c>
      <c r="U44" s="1566">
        <f t="shared" si="13"/>
        <v>100</v>
      </c>
      <c r="V44" s="1565" t="s">
        <v>11</v>
      </c>
      <c r="W44" s="1566">
        <f t="shared" si="14"/>
        <v>100</v>
      </c>
      <c r="X44" s="1567"/>
      <c r="Y44" s="3676"/>
      <c r="Z44" s="3178">
        <f t="shared" si="15"/>
        <v>0</v>
      </c>
      <c r="AA44" s="1568">
        <f t="shared" si="3"/>
        <v>1</v>
      </c>
      <c r="AB44" s="1568">
        <f t="shared" si="4"/>
        <v>1</v>
      </c>
      <c r="AC44" s="1568">
        <f t="shared" si="5"/>
        <v>1</v>
      </c>
    </row>
    <row r="45" spans="1:29" ht="15.75" hidden="1" thickBot="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676"/>
      <c r="Q45" s="3186">
        <f t="shared" si="11"/>
        <v>0</v>
      </c>
      <c r="R45" s="1570" t="s">
        <v>11</v>
      </c>
      <c r="S45" s="1571">
        <f t="shared" si="12"/>
        <v>100</v>
      </c>
      <c r="T45" s="1570" t="s">
        <v>11</v>
      </c>
      <c r="U45" s="1571">
        <f t="shared" si="13"/>
        <v>100</v>
      </c>
      <c r="V45" s="1570" t="s">
        <v>11</v>
      </c>
      <c r="W45" s="1571">
        <f t="shared" si="14"/>
        <v>100</v>
      </c>
      <c r="X45" s="3185"/>
      <c r="Y45" s="3676"/>
      <c r="Z45" s="3187">
        <f t="shared" si="15"/>
        <v>0</v>
      </c>
      <c r="AA45" s="3188">
        <f t="shared" si="3"/>
        <v>1</v>
      </c>
      <c r="AB45" s="3188">
        <f t="shared" si="4"/>
        <v>1</v>
      </c>
      <c r="AC45" s="3188">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756"/>
      <c r="Q46" s="3186">
        <f t="shared" si="11"/>
        <v>0</v>
      </c>
      <c r="R46" s="1570" t="s">
        <v>10</v>
      </c>
      <c r="S46" s="1571">
        <f t="shared" si="12"/>
        <v>100</v>
      </c>
      <c r="T46" s="1570" t="s">
        <v>10</v>
      </c>
      <c r="U46" s="1571">
        <f t="shared" si="13"/>
        <v>100</v>
      </c>
      <c r="V46" s="1570" t="s">
        <v>10</v>
      </c>
      <c r="W46" s="1571">
        <f t="shared" si="14"/>
        <v>100</v>
      </c>
      <c r="X46" s="3185"/>
      <c r="Y46" s="3756"/>
      <c r="Z46" s="3187">
        <f t="shared" si="15"/>
        <v>0</v>
      </c>
      <c r="AA46" s="3188">
        <f t="shared" si="3"/>
        <v>1</v>
      </c>
      <c r="AB46" s="3188">
        <f t="shared" si="4"/>
        <v>1</v>
      </c>
      <c r="AC46" s="3188">
        <f t="shared" si="5"/>
        <v>1</v>
      </c>
    </row>
    <row r="47" spans="1:29" ht="15">
      <c r="A47" s="606" t="s">
        <v>736</v>
      </c>
      <c r="B47" s="885"/>
      <c r="C47" s="2625" t="s">
        <v>9</v>
      </c>
      <c r="D47" s="2626"/>
      <c r="E47" s="2627">
        <f>世茂公园美地已成交数据!L64</f>
        <v>16038</v>
      </c>
      <c r="F47" s="2628"/>
      <c r="G47" s="2629">
        <f>世茂公园美地已成交数据!Y67</f>
        <v>19020</v>
      </c>
      <c r="H47" s="2630"/>
      <c r="I47" s="2627">
        <v>16000</v>
      </c>
      <c r="J47" s="2630"/>
      <c r="K47" s="1603"/>
      <c r="L47" s="2142"/>
      <c r="M47" s="2143"/>
      <c r="N47" s="2132"/>
      <c r="O47" s="2143"/>
      <c r="P47" s="3671" t="str">
        <f>A47</f>
        <v>成交单价（元/平方米）</v>
      </c>
      <c r="Q47" s="3671"/>
      <c r="R47" s="3755">
        <f>E47</f>
        <v>16038</v>
      </c>
      <c r="S47" s="3755"/>
      <c r="T47" s="3755">
        <f>G47</f>
        <v>19020</v>
      </c>
      <c r="U47" s="3755"/>
      <c r="V47" s="3755">
        <f>I47</f>
        <v>16000</v>
      </c>
      <c r="W47" s="3755"/>
      <c r="X47" s="1556"/>
      <c r="Y47" s="1578"/>
      <c r="Z47" s="1556"/>
      <c r="AA47" s="1556"/>
      <c r="AB47" s="1556"/>
      <c r="AC47" s="1556"/>
    </row>
    <row r="48" spans="1:29" ht="15.75" thickBot="1">
      <c r="A48" s="614" t="s">
        <v>2692</v>
      </c>
      <c r="B48" s="886"/>
      <c r="C48" s="2631">
        <f>R49</f>
        <v>19042</v>
      </c>
      <c r="D48" s="2632"/>
      <c r="E48" s="2633">
        <f>R48</f>
        <v>18868</v>
      </c>
      <c r="F48" s="2633"/>
      <c r="G48" s="2631">
        <f>T48</f>
        <v>19020</v>
      </c>
      <c r="H48" s="2632"/>
      <c r="I48" s="2633">
        <f>V48</f>
        <v>19237</v>
      </c>
      <c r="J48" s="2632"/>
      <c r="K48" s="1604"/>
      <c r="L48" s="2142"/>
      <c r="M48" s="2143"/>
      <c r="N48" s="2143"/>
      <c r="O48" s="2143"/>
      <c r="P48" s="3671" t="str">
        <f>A48</f>
        <v>比较价格（元/平方米）</v>
      </c>
      <c r="Q48" s="3671"/>
      <c r="R48" s="3755">
        <f>IF(F1="售价",ROUND(PRODUCT(R47,AA7:AA46),0),ROUND(PRODUCT(R47,AA7:AA46),1))</f>
        <v>18868</v>
      </c>
      <c r="S48" s="3755"/>
      <c r="T48" s="3755">
        <f>IF(F1="售价",ROUND(PRODUCT(T47,AB7:AB46),0),ROUND(PRODUCT(T47,AB7:AB46),1))</f>
        <v>19020</v>
      </c>
      <c r="U48" s="3755"/>
      <c r="V48" s="3755">
        <f>IF(F1="售价",ROUND(PRODUCT(V47,AC7:AC46),0),ROUND(PRODUCT(V47,AC7:AC46),1))</f>
        <v>19237</v>
      </c>
      <c r="W48" s="3755"/>
      <c r="X48" s="1556"/>
      <c r="Y48" s="1556"/>
      <c r="Z48" s="1556"/>
      <c r="AA48" s="1556"/>
      <c r="AB48" s="1556"/>
      <c r="AC48" s="1556"/>
    </row>
    <row r="49" spans="1:29" ht="15.75" thickBot="1">
      <c r="A49" s="620" t="s">
        <v>2934</v>
      </c>
      <c r="B49" s="621"/>
      <c r="C49" s="2634">
        <f>R49</f>
        <v>19042</v>
      </c>
      <c r="D49" s="2634"/>
      <c r="E49" s="2634"/>
      <c r="F49" s="2634"/>
      <c r="G49" s="2634"/>
      <c r="H49" s="2634"/>
      <c r="I49" s="2634"/>
      <c r="J49" s="2634"/>
      <c r="K49" s="1605"/>
      <c r="L49" s="2142"/>
      <c r="M49" s="2143"/>
      <c r="N49" s="2143"/>
      <c r="O49" s="2143"/>
      <c r="P49" s="3692" t="str">
        <f>A49</f>
        <v>估价对象XX用房的比较价格（楼面单价，元/平方米）</v>
      </c>
      <c r="Q49" s="3693"/>
      <c r="R49" s="3754">
        <f>IF(F1="售价",ROUND(AVERAGE(R48:V48),0),ROUND(AVERAGE(R48:V48),1))</f>
        <v>19042</v>
      </c>
      <c r="S49" s="3754"/>
      <c r="T49" s="3754"/>
      <c r="U49" s="3754"/>
      <c r="V49" s="3754"/>
      <c r="W49" s="375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0.17645591719665799</v>
      </c>
      <c r="F52" s="626" t="str">
        <f>IF(OR(E52&gt;=0.3,E52&lt;=-0.3),"超过30%","")</f>
        <v/>
      </c>
      <c r="G52" s="625">
        <f>IF(G47&lt;G48,G48/G47-1,G47/G48-1)</f>
        <v>0</v>
      </c>
      <c r="H52" s="626" t="str">
        <f>IF(OR(G52&gt;=0.3,G52&lt;=-0.3),"超过30%","")</f>
        <v/>
      </c>
      <c r="I52" s="625">
        <f>IF(I47&lt;I48,I48/I47-1,I47/I48-1)</f>
        <v>0.2023124999999999</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8.0559677761289361E-3</v>
      </c>
      <c r="F53" s="626" t="str">
        <f>IF(OR(E53&gt;=0.2,E53&lt;=-0.2),"超过20%","")</f>
        <v/>
      </c>
      <c r="G53" s="625">
        <f>IF(G48&lt;I48,I48/G48-1,G48/I48-1)</f>
        <v>1.1409043112513118E-2</v>
      </c>
      <c r="H53" s="626" t="str">
        <f>IF(OR(G53&gt;=0.2,G53&lt;=-0.2),"超过20%","")</f>
        <v/>
      </c>
      <c r="I53" s="625">
        <f>IF(I48&lt;E48,E48/I48-1,I48/E48-1)</f>
        <v>1.955692177231283E-2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0.18593340815563031</v>
      </c>
      <c r="F54" s="626" t="str">
        <f>IF(OR(E54&gt;=0.3,E54&lt;=-0.3),"超过30%","")</f>
        <v/>
      </c>
      <c r="G54" s="625">
        <f>IF(G47&lt;I47,I47/G47-1,G47/I47-1)</f>
        <v>0.18874999999999997</v>
      </c>
      <c r="H54" s="626" t="str">
        <f>IF(OR(G54&gt;=0.3,G54&lt;=-0.3),"超过30%","")</f>
        <v/>
      </c>
      <c r="I54" s="625">
        <f>IF(I47&lt;E47,E47/I47-1,I47/E47-1)</f>
        <v>2.375000000000016E-3</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4" t="s">
        <v>529</v>
      </c>
      <c r="B58" s="645"/>
      <c r="C58" s="2802"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v>100</v>
      </c>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1（含）-2</v>
      </c>
      <c r="D67" s="681" t="str">
        <f t="shared" ref="D67:L67" si="18">D68&amp;"（含）"&amp;"-"&amp;E68</f>
        <v>2（含）-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1</v>
      </c>
      <c r="D68" s="540">
        <v>2</v>
      </c>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4"/>
      <c r="O69" s="2164"/>
      <c r="P69" s="2163"/>
      <c r="Q69" s="2156"/>
      <c r="R69" s="2143"/>
      <c r="S69" s="2143"/>
      <c r="T69" s="2143"/>
      <c r="U69" s="2143"/>
      <c r="V69" s="2143"/>
      <c r="W69" s="2143"/>
      <c r="X69" s="2143"/>
      <c r="Y69" s="2143"/>
      <c r="Z69" s="2143"/>
      <c r="AA69" s="2143"/>
      <c r="AB69" s="2143"/>
      <c r="AC69" s="2143"/>
    </row>
    <row r="70" spans="1:29" s="1337" customFormat="1" ht="16.5" hidden="1" thickTop="1" thickBot="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6.5" hidden="1" thickTop="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6.5" hidden="1" thickTop="1" thickBot="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6.5" hidden="1" thickTop="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6.5" hidden="1" thickTop="1" thickBot="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6.5" hidden="1" thickTop="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2317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2547</v>
      </c>
      <c r="C82" s="2596" t="s">
        <v>2559</v>
      </c>
      <c r="D82" s="2596" t="s">
        <v>2560</v>
      </c>
      <c r="E82" s="2596" t="s">
        <v>2561</v>
      </c>
      <c r="F82" s="2596" t="s">
        <v>2562</v>
      </c>
      <c r="G82" s="2596" t="s">
        <v>2563</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6.5" hidden="1" thickTop="1" thickBot="1">
      <c r="A86" s="708"/>
      <c r="B86" s="1894" t="s">
        <v>2257</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6.5" hidden="1" thickTop="1" thickBot="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6.5" hidden="1" thickTop="1" thickBot="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6.5" hidden="1" thickTop="1"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6.5" hidden="1" thickTop="1" thickBot="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6.5" hidden="1" thickTop="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6.5" hidden="1" thickTop="1" thickBot="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6.5" hidden="1" thickTop="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6.5" hidden="1" thickTop="1" thickBot="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6.5" hidden="1" thickTop="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6.5" hidden="1" thickTop="1" thickBot="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6.5" hidden="1" thickTop="1"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551</v>
      </c>
      <c r="B100" s="664" t="s">
        <v>747</v>
      </c>
      <c r="C100" s="3391" t="s">
        <v>3435</v>
      </c>
      <c r="D100" s="3391" t="s">
        <v>3437</v>
      </c>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85</v>
      </c>
      <c r="E101" s="678">
        <f t="shared" si="22"/>
        <v>70</v>
      </c>
      <c r="F101" s="678">
        <f t="shared" si="22"/>
        <v>55</v>
      </c>
      <c r="G101" s="678">
        <f t="shared" si="22"/>
        <v>40</v>
      </c>
      <c r="H101" s="678">
        <f t="shared" si="22"/>
        <v>25</v>
      </c>
      <c r="I101" s="678">
        <f t="shared" si="22"/>
        <v>10</v>
      </c>
      <c r="J101" s="678">
        <f t="shared" si="22"/>
        <v>-5</v>
      </c>
      <c r="K101" s="678">
        <f t="shared" si="22"/>
        <v>-20</v>
      </c>
      <c r="L101" s="678">
        <f t="shared" si="22"/>
        <v>-35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384" t="s">
        <v>3425</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385" t="s">
        <v>3434</v>
      </c>
      <c r="D107" s="3385" t="s">
        <v>3814</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384" t="s">
        <v>3443</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384" t="s">
        <v>3429</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384" t="s">
        <v>3430</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3385" t="s">
        <v>3432</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384" t="s">
        <v>3443</v>
      </c>
      <c r="D122" s="3384" t="s">
        <v>3439</v>
      </c>
      <c r="E122" s="3384" t="s">
        <v>3441</v>
      </c>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6.5" hidden="1" thickTop="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6.5" hidden="1" thickTop="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6.5" hidden="1" thickTop="1"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2262</v>
      </c>
      <c r="H138" s="1926" t="s">
        <v>2263</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2269</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67"/>
  <sheetViews>
    <sheetView topLeftCell="K46" workbookViewId="0">
      <selection activeCell="G76" sqref="G76:R82"/>
    </sheetView>
  </sheetViews>
  <sheetFormatPr defaultRowHeight="13.5"/>
  <cols>
    <col min="1" max="1" width="14.125" customWidth="1"/>
    <col min="2" max="2" width="12" customWidth="1"/>
    <col min="3" max="3" width="12.5" style="3468" customWidth="1"/>
    <col min="4" max="4" width="12.875" customWidth="1"/>
    <col min="5" max="5" width="15.625" customWidth="1"/>
    <col min="7" max="7" width="12" customWidth="1"/>
    <col min="8" max="8" width="8.75" customWidth="1"/>
    <col min="10" max="10" width="9.75" customWidth="1"/>
    <col min="12" max="12" width="8.875" customWidth="1"/>
    <col min="14" max="14" width="13.875" customWidth="1"/>
    <col min="15" max="15" width="12.25" customWidth="1"/>
    <col min="16" max="16" width="13.625" style="3468" customWidth="1"/>
    <col min="17" max="17" width="12.875" customWidth="1"/>
    <col min="18" max="18" width="15.75" customWidth="1"/>
    <col min="20" max="20" width="13" customWidth="1"/>
  </cols>
  <sheetData>
    <row r="1" spans="1:25">
      <c r="A1" t="s">
        <v>2376</v>
      </c>
      <c r="B1" t="s">
        <v>3513</v>
      </c>
      <c r="C1" s="3468" t="s">
        <v>3514</v>
      </c>
      <c r="D1" t="s">
        <v>3515</v>
      </c>
      <c r="E1" t="s">
        <v>3516</v>
      </c>
      <c r="F1" t="s">
        <v>3517</v>
      </c>
      <c r="G1" t="s">
        <v>3518</v>
      </c>
      <c r="H1" t="s">
        <v>3519</v>
      </c>
      <c r="I1" t="s">
        <v>3520</v>
      </c>
      <c r="J1" t="s">
        <v>3521</v>
      </c>
      <c r="K1" t="s">
        <v>3522</v>
      </c>
      <c r="L1" t="s">
        <v>3523</v>
      </c>
      <c r="N1" t="s">
        <v>2376</v>
      </c>
      <c r="O1" t="s">
        <v>3513</v>
      </c>
      <c r="P1" s="3468" t="s">
        <v>3514</v>
      </c>
      <c r="Q1" t="s">
        <v>3515</v>
      </c>
      <c r="R1" t="s">
        <v>3516</v>
      </c>
      <c r="S1" t="s">
        <v>3517</v>
      </c>
      <c r="T1" t="s">
        <v>3518</v>
      </c>
      <c r="U1" t="s">
        <v>3519</v>
      </c>
      <c r="V1" t="s">
        <v>3520</v>
      </c>
      <c r="W1" t="s">
        <v>3521</v>
      </c>
      <c r="X1" t="s">
        <v>3522</v>
      </c>
      <c r="Y1" t="s">
        <v>3523</v>
      </c>
    </row>
    <row r="2" spans="1:25">
      <c r="A2" t="s">
        <v>3524</v>
      </c>
      <c r="B2" t="s">
        <v>3525</v>
      </c>
      <c r="C2" s="3468">
        <v>43327</v>
      </c>
      <c r="D2">
        <v>156.97</v>
      </c>
      <c r="E2">
        <v>3169381</v>
      </c>
      <c r="F2" t="s">
        <v>3526</v>
      </c>
      <c r="G2" t="s">
        <v>3527</v>
      </c>
      <c r="H2" t="s">
        <v>3528</v>
      </c>
      <c r="I2" t="s">
        <v>3529</v>
      </c>
      <c r="J2" t="s">
        <v>3530</v>
      </c>
      <c r="K2" t="s">
        <v>3531</v>
      </c>
      <c r="L2">
        <v>20190.998279926102</v>
      </c>
      <c r="N2" t="s">
        <v>3524</v>
      </c>
      <c r="O2" t="s">
        <v>3671</v>
      </c>
      <c r="P2" s="3468">
        <v>43201</v>
      </c>
      <c r="Q2">
        <v>178.51</v>
      </c>
      <c r="R2">
        <v>3164268</v>
      </c>
      <c r="S2" t="s">
        <v>3672</v>
      </c>
      <c r="T2" t="s">
        <v>3673</v>
      </c>
      <c r="U2" t="s">
        <v>3552</v>
      </c>
      <c r="V2" t="s">
        <v>3674</v>
      </c>
      <c r="W2" t="s">
        <v>3675</v>
      </c>
      <c r="X2" t="s">
        <v>3531</v>
      </c>
      <c r="Y2">
        <v>17725.998543498965</v>
      </c>
    </row>
    <row r="3" spans="1:25">
      <c r="A3" t="s">
        <v>3524</v>
      </c>
      <c r="B3" t="s">
        <v>3532</v>
      </c>
      <c r="C3" s="3468">
        <v>43290</v>
      </c>
      <c r="D3">
        <v>170.02</v>
      </c>
      <c r="E3">
        <v>2883813</v>
      </c>
      <c r="F3" t="s">
        <v>3533</v>
      </c>
      <c r="G3" t="s">
        <v>3534</v>
      </c>
      <c r="H3" t="s">
        <v>3528</v>
      </c>
      <c r="I3" t="s">
        <v>3535</v>
      </c>
      <c r="J3" t="s">
        <v>3530</v>
      </c>
      <c r="K3" t="s">
        <v>3531</v>
      </c>
      <c r="L3">
        <v>16961.610398776615</v>
      </c>
      <c r="N3" t="s">
        <v>3524</v>
      </c>
      <c r="O3" t="s">
        <v>3676</v>
      </c>
      <c r="P3" s="3468">
        <v>43198</v>
      </c>
      <c r="Q3">
        <v>178.6</v>
      </c>
      <c r="R3">
        <v>3165328</v>
      </c>
      <c r="S3" t="s">
        <v>3677</v>
      </c>
      <c r="T3" t="s">
        <v>3673</v>
      </c>
      <c r="U3" t="s">
        <v>3552</v>
      </c>
      <c r="V3" t="s">
        <v>3678</v>
      </c>
      <c r="W3" t="s">
        <v>3675</v>
      </c>
      <c r="X3" t="s">
        <v>3531</v>
      </c>
      <c r="Y3">
        <v>17723.00111982083</v>
      </c>
    </row>
    <row r="4" spans="1:25">
      <c r="A4" t="s">
        <v>3524</v>
      </c>
      <c r="B4" t="s">
        <v>3536</v>
      </c>
      <c r="C4" s="3468">
        <v>43174</v>
      </c>
      <c r="D4">
        <v>156.97</v>
      </c>
      <c r="E4">
        <v>3012411</v>
      </c>
      <c r="F4" t="s">
        <v>3537</v>
      </c>
      <c r="G4" t="s">
        <v>3538</v>
      </c>
      <c r="H4" t="s">
        <v>3528</v>
      </c>
      <c r="I4" t="s">
        <v>3529</v>
      </c>
      <c r="J4" t="s">
        <v>3530</v>
      </c>
      <c r="K4" t="s">
        <v>3531</v>
      </c>
      <c r="L4">
        <v>19190.998279926102</v>
      </c>
      <c r="N4" t="s">
        <v>3524</v>
      </c>
      <c r="O4" t="s">
        <v>3679</v>
      </c>
      <c r="P4" s="3468">
        <v>43190</v>
      </c>
      <c r="Q4">
        <v>234.61</v>
      </c>
      <c r="R4">
        <v>4900534</v>
      </c>
      <c r="S4" t="s">
        <v>3680</v>
      </c>
      <c r="T4" t="s">
        <v>3681</v>
      </c>
      <c r="U4" t="s">
        <v>3552</v>
      </c>
      <c r="V4" t="s">
        <v>3529</v>
      </c>
      <c r="W4" t="s">
        <v>3675</v>
      </c>
      <c r="X4" t="s">
        <v>3531</v>
      </c>
      <c r="Y4">
        <v>20888.00136396573</v>
      </c>
    </row>
    <row r="5" spans="1:25">
      <c r="A5" t="s">
        <v>3524</v>
      </c>
      <c r="B5" t="s">
        <v>3539</v>
      </c>
      <c r="C5" s="3468">
        <v>43174</v>
      </c>
      <c r="D5">
        <v>141.6</v>
      </c>
      <c r="E5">
        <v>2080387</v>
      </c>
      <c r="F5" t="s">
        <v>3540</v>
      </c>
      <c r="G5" t="s">
        <v>3538</v>
      </c>
      <c r="H5" t="s">
        <v>3528</v>
      </c>
      <c r="I5" t="s">
        <v>3541</v>
      </c>
      <c r="J5" t="s">
        <v>3530</v>
      </c>
      <c r="K5" t="s">
        <v>3531</v>
      </c>
      <c r="L5">
        <v>14691.998587570622</v>
      </c>
      <c r="N5" t="s">
        <v>3524</v>
      </c>
      <c r="O5" t="s">
        <v>3682</v>
      </c>
      <c r="P5" s="3468">
        <v>43189</v>
      </c>
      <c r="Q5">
        <v>304.58</v>
      </c>
      <c r="R5">
        <v>6433339</v>
      </c>
      <c r="S5" t="s">
        <v>3683</v>
      </c>
      <c r="T5" t="s">
        <v>3684</v>
      </c>
      <c r="U5" t="s">
        <v>3552</v>
      </c>
      <c r="V5" t="s">
        <v>3529</v>
      </c>
      <c r="W5" t="s">
        <v>3675</v>
      </c>
      <c r="X5" t="s">
        <v>3531</v>
      </c>
      <c r="Y5">
        <v>21122.000787970323</v>
      </c>
    </row>
    <row r="6" spans="1:25">
      <c r="A6" t="s">
        <v>3524</v>
      </c>
      <c r="B6" t="s">
        <v>3542</v>
      </c>
      <c r="C6" s="3468">
        <v>43215</v>
      </c>
      <c r="D6">
        <v>141.33000000000001</v>
      </c>
      <c r="E6">
        <v>1920957</v>
      </c>
      <c r="F6" t="s">
        <v>3543</v>
      </c>
      <c r="G6" t="s">
        <v>3544</v>
      </c>
      <c r="H6" t="s">
        <v>3545</v>
      </c>
      <c r="I6" t="s">
        <v>3541</v>
      </c>
      <c r="J6" t="s">
        <v>3530</v>
      </c>
      <c r="K6" t="s">
        <v>3531</v>
      </c>
      <c r="L6">
        <v>13591.997452770111</v>
      </c>
      <c r="N6" t="s">
        <v>3524</v>
      </c>
      <c r="O6" t="s">
        <v>3685</v>
      </c>
      <c r="P6" s="3468">
        <v>43189</v>
      </c>
      <c r="Q6">
        <v>179.29</v>
      </c>
      <c r="R6">
        <v>3262540</v>
      </c>
      <c r="S6" t="s">
        <v>3686</v>
      </c>
      <c r="T6" t="s">
        <v>3687</v>
      </c>
      <c r="U6" t="s">
        <v>3552</v>
      </c>
      <c r="V6" t="s">
        <v>3674</v>
      </c>
      <c r="W6" t="s">
        <v>3675</v>
      </c>
      <c r="X6" t="s">
        <v>3531</v>
      </c>
      <c r="Y6">
        <v>18196.999274917733</v>
      </c>
    </row>
    <row r="7" spans="1:25">
      <c r="A7" t="s">
        <v>3524</v>
      </c>
      <c r="B7" t="s">
        <v>3546</v>
      </c>
      <c r="C7" s="3468">
        <v>43215</v>
      </c>
      <c r="D7">
        <v>156.97</v>
      </c>
      <c r="E7">
        <v>3090896</v>
      </c>
      <c r="F7" t="s">
        <v>3547</v>
      </c>
      <c r="G7" t="s">
        <v>3527</v>
      </c>
      <c r="H7" t="s">
        <v>3545</v>
      </c>
      <c r="I7" t="s">
        <v>3548</v>
      </c>
      <c r="J7" t="s">
        <v>3530</v>
      </c>
      <c r="K7" t="s">
        <v>3531</v>
      </c>
      <c r="L7">
        <v>19690.998279926102</v>
      </c>
      <c r="N7" t="s">
        <v>3524</v>
      </c>
      <c r="O7" t="s">
        <v>3688</v>
      </c>
      <c r="P7" s="3468">
        <v>43189</v>
      </c>
      <c r="Q7">
        <v>178.51</v>
      </c>
      <c r="R7">
        <v>3217821</v>
      </c>
      <c r="S7" t="s">
        <v>3689</v>
      </c>
      <c r="T7" t="s">
        <v>3690</v>
      </c>
      <c r="U7" t="s">
        <v>3552</v>
      </c>
      <c r="V7" t="s">
        <v>3674</v>
      </c>
      <c r="W7" t="s">
        <v>3675</v>
      </c>
      <c r="X7" t="s">
        <v>3531</v>
      </c>
      <c r="Y7">
        <v>18025.998543498965</v>
      </c>
    </row>
    <row r="8" spans="1:25">
      <c r="A8" t="s">
        <v>3524</v>
      </c>
      <c r="B8" t="s">
        <v>3549</v>
      </c>
      <c r="C8" s="3468">
        <v>43213</v>
      </c>
      <c r="D8">
        <v>135.5</v>
      </c>
      <c r="E8">
        <v>2028794</v>
      </c>
      <c r="F8" t="s">
        <v>3550</v>
      </c>
      <c r="G8" t="s">
        <v>3551</v>
      </c>
      <c r="H8" t="s">
        <v>3552</v>
      </c>
      <c r="I8" t="s">
        <v>3548</v>
      </c>
      <c r="J8" t="s">
        <v>3530</v>
      </c>
      <c r="K8" t="s">
        <v>3531</v>
      </c>
      <c r="L8">
        <v>14972.649446494464</v>
      </c>
      <c r="N8" t="s">
        <v>3524</v>
      </c>
      <c r="O8" t="s">
        <v>3691</v>
      </c>
      <c r="P8" s="3468">
        <v>43186</v>
      </c>
      <c r="Q8">
        <v>234.61</v>
      </c>
      <c r="R8">
        <v>4619002</v>
      </c>
      <c r="S8" t="s">
        <v>3613</v>
      </c>
      <c r="T8" t="s">
        <v>3692</v>
      </c>
      <c r="U8" t="s">
        <v>3552</v>
      </c>
      <c r="V8" t="s">
        <v>3529</v>
      </c>
      <c r="W8" t="s">
        <v>3675</v>
      </c>
      <c r="X8" t="s">
        <v>3531</v>
      </c>
      <c r="Y8">
        <v>19688.00136396573</v>
      </c>
    </row>
    <row r="9" spans="1:25">
      <c r="A9" t="s">
        <v>3524</v>
      </c>
      <c r="B9" t="s">
        <v>3553</v>
      </c>
      <c r="C9" s="3468">
        <v>43212</v>
      </c>
      <c r="D9">
        <v>168.57</v>
      </c>
      <c r="E9">
        <v>2291203</v>
      </c>
      <c r="F9" t="s">
        <v>3554</v>
      </c>
      <c r="G9" t="s">
        <v>3544</v>
      </c>
      <c r="H9" t="s">
        <v>3555</v>
      </c>
      <c r="I9" t="s">
        <v>3541</v>
      </c>
      <c r="J9" t="s">
        <v>3530</v>
      </c>
      <c r="K9" t="s">
        <v>3531</v>
      </c>
      <c r="L9">
        <v>13591.997389808388</v>
      </c>
      <c r="N9" t="s">
        <v>3524</v>
      </c>
      <c r="O9" t="s">
        <v>3693</v>
      </c>
      <c r="P9" s="3468">
        <v>43186</v>
      </c>
      <c r="Q9">
        <v>178.6</v>
      </c>
      <c r="R9">
        <v>3254628</v>
      </c>
      <c r="S9" t="s">
        <v>3613</v>
      </c>
      <c r="T9" t="s">
        <v>3692</v>
      </c>
      <c r="U9" t="s">
        <v>3552</v>
      </c>
      <c r="V9" t="s">
        <v>3548</v>
      </c>
      <c r="W9" t="s">
        <v>3675</v>
      </c>
      <c r="X9" t="s">
        <v>3531</v>
      </c>
      <c r="Y9">
        <v>18223.00111982083</v>
      </c>
    </row>
    <row r="10" spans="1:25">
      <c r="A10" t="s">
        <v>3524</v>
      </c>
      <c r="B10" t="s">
        <v>3556</v>
      </c>
      <c r="C10" s="3468">
        <v>43211</v>
      </c>
      <c r="D10">
        <v>135.24</v>
      </c>
      <c r="E10">
        <v>2112449</v>
      </c>
      <c r="F10" t="s">
        <v>3557</v>
      </c>
      <c r="G10" t="s">
        <v>3544</v>
      </c>
      <c r="H10" t="s">
        <v>3528</v>
      </c>
      <c r="I10" t="s">
        <v>3548</v>
      </c>
      <c r="J10" t="s">
        <v>3530</v>
      </c>
      <c r="K10" t="s">
        <v>3531</v>
      </c>
      <c r="L10">
        <v>15620.001478852409</v>
      </c>
      <c r="N10" t="s">
        <v>3524</v>
      </c>
      <c r="O10" t="s">
        <v>3694</v>
      </c>
      <c r="P10" s="3468">
        <v>43186</v>
      </c>
      <c r="Q10">
        <v>234.61</v>
      </c>
      <c r="R10">
        <v>4349320</v>
      </c>
      <c r="S10" t="s">
        <v>3695</v>
      </c>
      <c r="T10" t="s">
        <v>3690</v>
      </c>
      <c r="U10" t="s">
        <v>3552</v>
      </c>
      <c r="V10" t="s">
        <v>3696</v>
      </c>
      <c r="W10" t="s">
        <v>3675</v>
      </c>
      <c r="X10" t="s">
        <v>3531</v>
      </c>
      <c r="Y10">
        <v>18538.510719918162</v>
      </c>
    </row>
    <row r="11" spans="1:25">
      <c r="A11" t="s">
        <v>3524</v>
      </c>
      <c r="B11" t="s">
        <v>3558</v>
      </c>
      <c r="C11" s="3468">
        <v>43209</v>
      </c>
      <c r="D11">
        <v>168.89</v>
      </c>
      <c r="E11">
        <v>2531999</v>
      </c>
      <c r="F11" t="s">
        <v>3559</v>
      </c>
      <c r="G11" t="s">
        <v>3560</v>
      </c>
      <c r="H11" t="s">
        <v>3528</v>
      </c>
      <c r="I11" t="s">
        <v>3535</v>
      </c>
      <c r="J11" t="s">
        <v>3530</v>
      </c>
      <c r="K11" t="s">
        <v>3531</v>
      </c>
      <c r="L11">
        <v>14992.000710521643</v>
      </c>
      <c r="N11" t="s">
        <v>3524</v>
      </c>
      <c r="O11" t="s">
        <v>3697</v>
      </c>
      <c r="P11" s="3468">
        <v>43186</v>
      </c>
      <c r="Q11">
        <v>234.61</v>
      </c>
      <c r="R11">
        <v>4677774</v>
      </c>
      <c r="S11" t="s">
        <v>3698</v>
      </c>
      <c r="T11" t="s">
        <v>3681</v>
      </c>
      <c r="U11" t="s">
        <v>3552</v>
      </c>
      <c r="V11" t="s">
        <v>3696</v>
      </c>
      <c r="W11" t="s">
        <v>3675</v>
      </c>
      <c r="X11" t="s">
        <v>3531</v>
      </c>
      <c r="Y11">
        <v>19938.510719918162</v>
      </c>
    </row>
    <row r="12" spans="1:25">
      <c r="A12" t="s">
        <v>3524</v>
      </c>
      <c r="B12" t="s">
        <v>3561</v>
      </c>
      <c r="C12" s="3468">
        <v>43209</v>
      </c>
      <c r="D12">
        <v>141.33000000000001</v>
      </c>
      <c r="E12">
        <v>1920957</v>
      </c>
      <c r="F12" t="s">
        <v>3562</v>
      </c>
      <c r="G12" t="s">
        <v>3544</v>
      </c>
      <c r="H12" t="s">
        <v>3555</v>
      </c>
      <c r="I12" t="s">
        <v>3535</v>
      </c>
      <c r="J12" t="s">
        <v>3530</v>
      </c>
      <c r="K12" t="s">
        <v>3531</v>
      </c>
      <c r="L12">
        <v>13591.997452770111</v>
      </c>
      <c r="N12" t="s">
        <v>3524</v>
      </c>
      <c r="O12" t="s">
        <v>3699</v>
      </c>
      <c r="P12" s="3468">
        <v>43186</v>
      </c>
      <c r="Q12">
        <v>178.6</v>
      </c>
      <c r="R12">
        <v>3468948</v>
      </c>
      <c r="S12" t="s">
        <v>3700</v>
      </c>
      <c r="T12" t="s">
        <v>3681</v>
      </c>
      <c r="U12" t="s">
        <v>3552</v>
      </c>
      <c r="V12" t="s">
        <v>3548</v>
      </c>
      <c r="W12" t="s">
        <v>3675</v>
      </c>
      <c r="X12" t="s">
        <v>3531</v>
      </c>
      <c r="Y12">
        <v>19423.00111982083</v>
      </c>
    </row>
    <row r="13" spans="1:25">
      <c r="A13" t="s">
        <v>3524</v>
      </c>
      <c r="B13" t="s">
        <v>3563</v>
      </c>
      <c r="C13" s="3468">
        <v>43189</v>
      </c>
      <c r="D13">
        <v>141.6</v>
      </c>
      <c r="E13">
        <v>2080387</v>
      </c>
      <c r="F13" t="s">
        <v>3564</v>
      </c>
      <c r="G13" t="s">
        <v>3565</v>
      </c>
      <c r="H13" t="s">
        <v>3545</v>
      </c>
      <c r="I13" t="s">
        <v>3535</v>
      </c>
      <c r="J13" t="s">
        <v>3530</v>
      </c>
      <c r="K13" t="s">
        <v>3531</v>
      </c>
      <c r="L13">
        <v>14691.998587570622</v>
      </c>
      <c r="N13" t="s">
        <v>3524</v>
      </c>
      <c r="O13" t="s">
        <v>3701</v>
      </c>
      <c r="P13" s="3468">
        <v>43218</v>
      </c>
      <c r="Q13">
        <v>178.6</v>
      </c>
      <c r="R13">
        <v>3165328</v>
      </c>
      <c r="S13" t="s">
        <v>3702</v>
      </c>
      <c r="T13" t="s">
        <v>3673</v>
      </c>
      <c r="U13" t="s">
        <v>3552</v>
      </c>
      <c r="V13" t="s">
        <v>3548</v>
      </c>
      <c r="W13" t="s">
        <v>3675</v>
      </c>
      <c r="X13" t="s">
        <v>3531</v>
      </c>
      <c r="Y13">
        <v>17723.00111982083</v>
      </c>
    </row>
    <row r="14" spans="1:25">
      <c r="A14" t="s">
        <v>3524</v>
      </c>
      <c r="B14" t="s">
        <v>3566</v>
      </c>
      <c r="C14" s="3468">
        <v>43189</v>
      </c>
      <c r="D14">
        <v>135.25</v>
      </c>
      <c r="E14">
        <v>2112605</v>
      </c>
      <c r="F14" t="s">
        <v>3567</v>
      </c>
      <c r="G14" t="s">
        <v>3544</v>
      </c>
      <c r="H14" t="s">
        <v>3555</v>
      </c>
      <c r="I14" t="s">
        <v>3529</v>
      </c>
      <c r="J14" t="s">
        <v>3530</v>
      </c>
      <c r="K14" t="s">
        <v>3531</v>
      </c>
      <c r="L14">
        <v>15620</v>
      </c>
      <c r="N14" t="s">
        <v>3524</v>
      </c>
      <c r="O14" t="s">
        <v>3703</v>
      </c>
      <c r="P14" s="3468">
        <v>43185</v>
      </c>
      <c r="Q14">
        <v>235.52</v>
      </c>
      <c r="R14">
        <v>4477127</v>
      </c>
      <c r="S14" t="s">
        <v>3704</v>
      </c>
      <c r="T14" t="s">
        <v>3705</v>
      </c>
      <c r="U14" t="s">
        <v>3552</v>
      </c>
      <c r="V14" t="s">
        <v>3706</v>
      </c>
      <c r="W14" t="s">
        <v>3675</v>
      </c>
      <c r="X14" t="s">
        <v>3531</v>
      </c>
      <c r="Y14">
        <v>19009.540591032608</v>
      </c>
    </row>
    <row r="15" spans="1:25">
      <c r="A15" t="s">
        <v>3524</v>
      </c>
      <c r="B15" t="s">
        <v>3568</v>
      </c>
      <c r="C15" s="3468">
        <v>43218</v>
      </c>
      <c r="D15">
        <v>135.5</v>
      </c>
      <c r="E15">
        <v>2263392</v>
      </c>
      <c r="F15" t="s">
        <v>3569</v>
      </c>
      <c r="G15" t="s">
        <v>3570</v>
      </c>
      <c r="H15" t="s">
        <v>3545</v>
      </c>
      <c r="I15" t="s">
        <v>3529</v>
      </c>
      <c r="J15" t="s">
        <v>3530</v>
      </c>
      <c r="K15" t="s">
        <v>3531</v>
      </c>
      <c r="L15">
        <v>16704</v>
      </c>
      <c r="N15" t="s">
        <v>3524</v>
      </c>
      <c r="O15" t="s">
        <v>3707</v>
      </c>
      <c r="P15" s="3468">
        <v>43185</v>
      </c>
      <c r="Q15">
        <v>178.78</v>
      </c>
      <c r="R15">
        <v>3167266</v>
      </c>
      <c r="S15" t="s">
        <v>3708</v>
      </c>
      <c r="T15" t="s">
        <v>3709</v>
      </c>
      <c r="U15" t="s">
        <v>3552</v>
      </c>
      <c r="V15" t="s">
        <v>3674</v>
      </c>
      <c r="W15" t="s">
        <v>3675</v>
      </c>
      <c r="X15" t="s">
        <v>3531</v>
      </c>
      <c r="Y15">
        <v>17715.997315135923</v>
      </c>
    </row>
    <row r="16" spans="1:25">
      <c r="A16" t="s">
        <v>3524</v>
      </c>
      <c r="B16" t="s">
        <v>3571</v>
      </c>
      <c r="C16" s="3468">
        <v>43218</v>
      </c>
      <c r="D16">
        <v>156.97</v>
      </c>
      <c r="E16">
        <v>2996714</v>
      </c>
      <c r="F16" t="s">
        <v>3572</v>
      </c>
      <c r="G16" t="s">
        <v>3573</v>
      </c>
      <c r="H16" t="s">
        <v>3528</v>
      </c>
      <c r="I16" t="s">
        <v>3529</v>
      </c>
      <c r="J16" t="s">
        <v>3530</v>
      </c>
      <c r="K16" t="s">
        <v>3531</v>
      </c>
      <c r="L16">
        <v>19090.998279926102</v>
      </c>
      <c r="N16" t="s">
        <v>3524</v>
      </c>
      <c r="O16" t="s">
        <v>3710</v>
      </c>
      <c r="P16" s="3468">
        <v>43185</v>
      </c>
      <c r="Q16">
        <v>178.86</v>
      </c>
      <c r="R16">
        <v>3472209</v>
      </c>
      <c r="S16" t="s">
        <v>3711</v>
      </c>
      <c r="T16" t="s">
        <v>3712</v>
      </c>
      <c r="U16" t="s">
        <v>3552</v>
      </c>
      <c r="V16" t="s">
        <v>3678</v>
      </c>
      <c r="W16" t="s">
        <v>3675</v>
      </c>
      <c r="X16" t="s">
        <v>3531</v>
      </c>
      <c r="Y16">
        <v>19412.998993626297</v>
      </c>
    </row>
    <row r="17" spans="1:25">
      <c r="A17" t="s">
        <v>3524</v>
      </c>
      <c r="B17" t="s">
        <v>3574</v>
      </c>
      <c r="C17" s="3468">
        <v>43179</v>
      </c>
      <c r="D17">
        <v>168.57</v>
      </c>
      <c r="E17">
        <v>2341774</v>
      </c>
      <c r="F17" t="s">
        <v>3575</v>
      </c>
      <c r="G17" t="s">
        <v>3544</v>
      </c>
      <c r="H17" t="s">
        <v>3528</v>
      </c>
      <c r="I17" t="s">
        <v>3535</v>
      </c>
      <c r="J17" t="s">
        <v>3530</v>
      </c>
      <c r="K17" t="s">
        <v>3531</v>
      </c>
      <c r="L17">
        <v>13891.997389808388</v>
      </c>
      <c r="N17" t="s">
        <v>3524</v>
      </c>
      <c r="O17" t="s">
        <v>3713</v>
      </c>
      <c r="P17" s="3468">
        <v>43185</v>
      </c>
      <c r="Q17">
        <v>179.58</v>
      </c>
      <c r="R17">
        <v>3265842</v>
      </c>
      <c r="S17" t="s">
        <v>3714</v>
      </c>
      <c r="T17" t="s">
        <v>3715</v>
      </c>
      <c r="U17" t="s">
        <v>3552</v>
      </c>
      <c r="V17" t="s">
        <v>3548</v>
      </c>
      <c r="W17" t="s">
        <v>3675</v>
      </c>
      <c r="X17" t="s">
        <v>3531</v>
      </c>
      <c r="Y17">
        <v>18186.000668225861</v>
      </c>
    </row>
    <row r="18" spans="1:25">
      <c r="A18" t="s">
        <v>3524</v>
      </c>
      <c r="B18" t="s">
        <v>3576</v>
      </c>
      <c r="C18" s="3468">
        <v>43177</v>
      </c>
      <c r="D18">
        <v>156.68</v>
      </c>
      <c r="E18">
        <v>2993371</v>
      </c>
      <c r="F18" t="s">
        <v>3577</v>
      </c>
      <c r="G18" t="s">
        <v>3544</v>
      </c>
      <c r="H18" t="s">
        <v>3528</v>
      </c>
      <c r="I18" t="s">
        <v>3529</v>
      </c>
      <c r="J18" t="s">
        <v>3530</v>
      </c>
      <c r="K18" t="s">
        <v>3531</v>
      </c>
      <c r="L18">
        <v>19104.997447025784</v>
      </c>
      <c r="N18" t="s">
        <v>3524</v>
      </c>
      <c r="O18" t="s">
        <v>3716</v>
      </c>
      <c r="P18" s="3468">
        <v>43185</v>
      </c>
      <c r="Q18">
        <v>234.61</v>
      </c>
      <c r="R18">
        <v>4572080</v>
      </c>
      <c r="S18" t="s">
        <v>3717</v>
      </c>
      <c r="T18" t="s">
        <v>3690</v>
      </c>
      <c r="U18" t="s">
        <v>3552</v>
      </c>
      <c r="V18" t="s">
        <v>3529</v>
      </c>
      <c r="W18" t="s">
        <v>3675</v>
      </c>
      <c r="X18" t="s">
        <v>3531</v>
      </c>
      <c r="Y18">
        <v>19488.00136396573</v>
      </c>
    </row>
    <row r="19" spans="1:25">
      <c r="A19" t="s">
        <v>3524</v>
      </c>
      <c r="B19" t="s">
        <v>3578</v>
      </c>
      <c r="C19" s="3468">
        <v>43175</v>
      </c>
      <c r="D19">
        <v>141.6</v>
      </c>
      <c r="E19">
        <v>2080387</v>
      </c>
      <c r="F19" t="s">
        <v>3579</v>
      </c>
      <c r="G19" t="s">
        <v>3580</v>
      </c>
      <c r="H19" t="s">
        <v>3545</v>
      </c>
      <c r="I19" t="s">
        <v>3535</v>
      </c>
      <c r="J19" t="s">
        <v>3530</v>
      </c>
      <c r="K19" t="s">
        <v>3531</v>
      </c>
      <c r="L19">
        <v>14691.998587570622</v>
      </c>
      <c r="N19" t="s">
        <v>3524</v>
      </c>
      <c r="O19" t="s">
        <v>3718</v>
      </c>
      <c r="P19" s="3468">
        <v>43185</v>
      </c>
      <c r="Q19">
        <v>178.51</v>
      </c>
      <c r="R19">
        <v>3164268</v>
      </c>
      <c r="S19" t="s">
        <v>3719</v>
      </c>
      <c r="T19" t="s">
        <v>3673</v>
      </c>
      <c r="U19" t="s">
        <v>3552</v>
      </c>
      <c r="V19" t="s">
        <v>3706</v>
      </c>
      <c r="W19" t="s">
        <v>3675</v>
      </c>
      <c r="X19" t="s">
        <v>3531</v>
      </c>
      <c r="Y19">
        <v>17725.998543498965</v>
      </c>
    </row>
    <row r="20" spans="1:25">
      <c r="A20" t="s">
        <v>3524</v>
      </c>
      <c r="B20" t="s">
        <v>3581</v>
      </c>
      <c r="C20" s="3468">
        <v>43160</v>
      </c>
      <c r="D20">
        <v>141.6</v>
      </c>
      <c r="E20">
        <v>2080387</v>
      </c>
      <c r="F20" t="s">
        <v>3582</v>
      </c>
      <c r="G20" t="s">
        <v>3570</v>
      </c>
      <c r="H20" t="s">
        <v>3545</v>
      </c>
      <c r="I20" t="s">
        <v>3535</v>
      </c>
      <c r="J20" t="s">
        <v>3530</v>
      </c>
      <c r="K20" t="s">
        <v>3531</v>
      </c>
      <c r="L20">
        <v>14691.998587570622</v>
      </c>
      <c r="N20" t="s">
        <v>3524</v>
      </c>
      <c r="O20" t="s">
        <v>3720</v>
      </c>
      <c r="P20" s="3468">
        <v>43186</v>
      </c>
      <c r="Q20">
        <v>178.51</v>
      </c>
      <c r="R20">
        <v>3467735</v>
      </c>
      <c r="S20" t="s">
        <v>3721</v>
      </c>
      <c r="T20" t="s">
        <v>3681</v>
      </c>
      <c r="U20" t="s">
        <v>3552</v>
      </c>
      <c r="V20" t="s">
        <v>3706</v>
      </c>
      <c r="W20" t="s">
        <v>3675</v>
      </c>
      <c r="X20" t="s">
        <v>3531</v>
      </c>
      <c r="Y20">
        <v>19425.998543498965</v>
      </c>
    </row>
    <row r="21" spans="1:25">
      <c r="A21" t="s">
        <v>3524</v>
      </c>
      <c r="B21" t="s">
        <v>3583</v>
      </c>
      <c r="C21" s="3468">
        <v>43160</v>
      </c>
      <c r="D21">
        <v>156.68</v>
      </c>
      <c r="E21">
        <v>2993371</v>
      </c>
      <c r="F21" t="s">
        <v>3584</v>
      </c>
      <c r="G21" t="s">
        <v>3585</v>
      </c>
      <c r="H21" t="s">
        <v>3528</v>
      </c>
      <c r="I21" t="s">
        <v>3529</v>
      </c>
      <c r="J21" t="s">
        <v>3530</v>
      </c>
      <c r="K21" t="s">
        <v>3531</v>
      </c>
      <c r="L21">
        <v>19104.997447025784</v>
      </c>
      <c r="N21" t="s">
        <v>3524</v>
      </c>
      <c r="O21" t="s">
        <v>3722</v>
      </c>
      <c r="P21" s="3468">
        <v>43185</v>
      </c>
      <c r="Q21">
        <v>234.94</v>
      </c>
      <c r="R21">
        <v>4799472</v>
      </c>
      <c r="S21" t="s">
        <v>3723</v>
      </c>
      <c r="T21" t="s">
        <v>3712</v>
      </c>
      <c r="U21" t="s">
        <v>3552</v>
      </c>
      <c r="V21" t="s">
        <v>3696</v>
      </c>
      <c r="W21" t="s">
        <v>3675</v>
      </c>
      <c r="X21" t="s">
        <v>3531</v>
      </c>
      <c r="Y21">
        <v>20428.500893845237</v>
      </c>
    </row>
    <row r="22" spans="1:25">
      <c r="A22" t="s">
        <v>3524</v>
      </c>
      <c r="B22" t="s">
        <v>3586</v>
      </c>
      <c r="C22" s="3468">
        <v>43160</v>
      </c>
      <c r="D22">
        <v>168.89</v>
      </c>
      <c r="E22">
        <v>2211108</v>
      </c>
      <c r="F22" t="s">
        <v>3587</v>
      </c>
      <c r="G22" t="s">
        <v>3588</v>
      </c>
      <c r="H22" t="s">
        <v>3545</v>
      </c>
      <c r="I22" t="s">
        <v>3541</v>
      </c>
      <c r="J22" t="s">
        <v>3530</v>
      </c>
      <c r="K22" t="s">
        <v>3531</v>
      </c>
      <c r="L22">
        <v>13092.000710521643</v>
      </c>
      <c r="N22" t="s">
        <v>3524</v>
      </c>
      <c r="O22" t="s">
        <v>3724</v>
      </c>
      <c r="P22" s="3468">
        <v>43185</v>
      </c>
      <c r="Q22">
        <v>234.96</v>
      </c>
      <c r="R22">
        <v>4470544</v>
      </c>
      <c r="S22" t="s">
        <v>3725</v>
      </c>
      <c r="T22" t="s">
        <v>3684</v>
      </c>
      <c r="U22" t="s">
        <v>3552</v>
      </c>
      <c r="V22" t="s">
        <v>3696</v>
      </c>
      <c r="W22" t="s">
        <v>3675</v>
      </c>
      <c r="X22" t="s">
        <v>3531</v>
      </c>
      <c r="Y22">
        <v>19026.830098740211</v>
      </c>
    </row>
    <row r="23" spans="1:25">
      <c r="A23" t="s">
        <v>3524</v>
      </c>
      <c r="B23" t="s">
        <v>3589</v>
      </c>
      <c r="C23" s="3468">
        <v>43160</v>
      </c>
      <c r="D23">
        <v>168.89</v>
      </c>
      <c r="E23">
        <v>2531999</v>
      </c>
      <c r="F23" t="s">
        <v>3590</v>
      </c>
      <c r="G23" t="s">
        <v>3580</v>
      </c>
      <c r="H23" t="s">
        <v>3528</v>
      </c>
      <c r="I23" t="s">
        <v>3535</v>
      </c>
      <c r="J23" t="s">
        <v>3530</v>
      </c>
      <c r="K23" t="s">
        <v>3531</v>
      </c>
      <c r="L23">
        <v>14992.000710521643</v>
      </c>
      <c r="N23" t="s">
        <v>3524</v>
      </c>
      <c r="O23" t="s">
        <v>3726</v>
      </c>
      <c r="P23" s="3468">
        <v>43185</v>
      </c>
      <c r="Q23">
        <v>234.61</v>
      </c>
      <c r="R23">
        <v>4278937</v>
      </c>
      <c r="S23" t="s">
        <v>3727</v>
      </c>
      <c r="T23" t="s">
        <v>3673</v>
      </c>
      <c r="U23" t="s">
        <v>3552</v>
      </c>
      <c r="V23" t="s">
        <v>3696</v>
      </c>
      <c r="W23" t="s">
        <v>3675</v>
      </c>
      <c r="X23" t="s">
        <v>3531</v>
      </c>
      <c r="Y23">
        <v>18238.510719918162</v>
      </c>
    </row>
    <row r="24" spans="1:25">
      <c r="A24" t="s">
        <v>3524</v>
      </c>
      <c r="B24" t="s">
        <v>3591</v>
      </c>
      <c r="C24" s="3468">
        <v>43160</v>
      </c>
      <c r="D24">
        <v>135.5</v>
      </c>
      <c r="E24">
        <v>2263392</v>
      </c>
      <c r="F24" t="s">
        <v>3592</v>
      </c>
      <c r="G24" t="s">
        <v>3570</v>
      </c>
      <c r="H24" t="s">
        <v>3528</v>
      </c>
      <c r="I24" t="s">
        <v>3548</v>
      </c>
      <c r="J24" t="s">
        <v>3530</v>
      </c>
      <c r="K24" t="s">
        <v>3531</v>
      </c>
      <c r="L24">
        <v>16704</v>
      </c>
      <c r="N24" t="s">
        <v>3524</v>
      </c>
      <c r="O24" t="s">
        <v>3728</v>
      </c>
      <c r="P24" s="3468">
        <v>43185</v>
      </c>
      <c r="Q24">
        <v>178.77</v>
      </c>
      <c r="R24">
        <v>3470998</v>
      </c>
      <c r="S24" t="s">
        <v>3729</v>
      </c>
      <c r="T24" t="s">
        <v>3712</v>
      </c>
      <c r="U24" t="s">
        <v>3552</v>
      </c>
      <c r="V24" t="s">
        <v>3674</v>
      </c>
      <c r="W24" t="s">
        <v>3675</v>
      </c>
      <c r="X24" t="s">
        <v>3531</v>
      </c>
      <c r="Y24">
        <v>19415.998209990488</v>
      </c>
    </row>
    <row r="25" spans="1:25">
      <c r="A25" t="s">
        <v>3524</v>
      </c>
      <c r="B25" t="s">
        <v>3593</v>
      </c>
      <c r="C25" s="3468">
        <v>43160</v>
      </c>
      <c r="D25">
        <v>156.68</v>
      </c>
      <c r="E25">
        <v>2915100</v>
      </c>
      <c r="F25" t="s">
        <v>3594</v>
      </c>
      <c r="G25" t="s">
        <v>3585</v>
      </c>
      <c r="H25" t="s">
        <v>3555</v>
      </c>
      <c r="I25" t="s">
        <v>3548</v>
      </c>
      <c r="J25" t="s">
        <v>3530</v>
      </c>
      <c r="K25" t="s">
        <v>3531</v>
      </c>
      <c r="L25">
        <v>18605.437835077864</v>
      </c>
      <c r="N25" t="s">
        <v>3524</v>
      </c>
      <c r="O25" t="s">
        <v>3730</v>
      </c>
      <c r="P25" s="3468">
        <v>43185</v>
      </c>
      <c r="Q25">
        <v>179.58</v>
      </c>
      <c r="R25">
        <v>3481338</v>
      </c>
      <c r="S25" t="s">
        <v>3731</v>
      </c>
      <c r="T25" t="s">
        <v>3712</v>
      </c>
      <c r="U25" t="s">
        <v>3552</v>
      </c>
      <c r="V25" t="s">
        <v>3548</v>
      </c>
      <c r="W25" t="s">
        <v>3675</v>
      </c>
      <c r="X25" t="s">
        <v>3531</v>
      </c>
      <c r="Y25">
        <v>19386.000668225857</v>
      </c>
    </row>
    <row r="26" spans="1:25">
      <c r="A26" t="s">
        <v>3524</v>
      </c>
      <c r="B26" t="s">
        <v>3595</v>
      </c>
      <c r="C26" s="3468">
        <v>43161</v>
      </c>
      <c r="D26">
        <v>168.89</v>
      </c>
      <c r="E26">
        <v>2363109</v>
      </c>
      <c r="F26" t="s">
        <v>3596</v>
      </c>
      <c r="G26" t="s">
        <v>3538</v>
      </c>
      <c r="H26" t="s">
        <v>3528</v>
      </c>
      <c r="I26" t="s">
        <v>3535</v>
      </c>
      <c r="J26" t="s">
        <v>3530</v>
      </c>
      <c r="K26" t="s">
        <v>3531</v>
      </c>
      <c r="L26">
        <v>13992.000710521643</v>
      </c>
      <c r="N26" t="s">
        <v>3524</v>
      </c>
      <c r="O26" t="s">
        <v>3732</v>
      </c>
      <c r="P26" s="3468">
        <v>43185</v>
      </c>
      <c r="Q26">
        <v>178.77</v>
      </c>
      <c r="R26">
        <v>3470998</v>
      </c>
      <c r="S26" t="s">
        <v>3733</v>
      </c>
      <c r="T26" t="s">
        <v>3712</v>
      </c>
      <c r="U26" t="s">
        <v>3552</v>
      </c>
      <c r="V26" t="s">
        <v>3706</v>
      </c>
      <c r="W26" t="s">
        <v>3675</v>
      </c>
      <c r="X26" t="s">
        <v>3531</v>
      </c>
      <c r="Y26">
        <v>19415.998209990488</v>
      </c>
    </row>
    <row r="27" spans="1:25">
      <c r="A27" t="s">
        <v>3524</v>
      </c>
      <c r="B27" t="s">
        <v>3597</v>
      </c>
      <c r="C27" s="3468">
        <v>43160</v>
      </c>
      <c r="D27">
        <v>168.89</v>
      </c>
      <c r="E27">
        <v>2396887</v>
      </c>
      <c r="F27" t="s">
        <v>3598</v>
      </c>
      <c r="G27" t="s">
        <v>3580</v>
      </c>
      <c r="H27" t="s">
        <v>3545</v>
      </c>
      <c r="I27" t="s">
        <v>3541</v>
      </c>
      <c r="J27" t="s">
        <v>3530</v>
      </c>
      <c r="K27" t="s">
        <v>3531</v>
      </c>
      <c r="L27">
        <v>14192.000710521643</v>
      </c>
      <c r="N27" t="s">
        <v>3524</v>
      </c>
      <c r="O27" t="s">
        <v>3734</v>
      </c>
      <c r="P27" s="3468">
        <v>43185</v>
      </c>
      <c r="Q27">
        <v>235.52</v>
      </c>
      <c r="R27">
        <v>4583219</v>
      </c>
      <c r="S27" t="s">
        <v>3735</v>
      </c>
      <c r="T27" t="s">
        <v>3705</v>
      </c>
      <c r="U27" t="s">
        <v>3552</v>
      </c>
      <c r="V27" t="s">
        <v>3529</v>
      </c>
      <c r="W27" t="s">
        <v>3675</v>
      </c>
      <c r="X27" t="s">
        <v>3531</v>
      </c>
      <c r="Y27">
        <v>19459.999150815216</v>
      </c>
    </row>
    <row r="28" spans="1:25">
      <c r="A28" t="s">
        <v>3524</v>
      </c>
      <c r="B28" t="s">
        <v>3599</v>
      </c>
      <c r="C28" s="3468">
        <v>43160</v>
      </c>
      <c r="D28">
        <v>168.89</v>
      </c>
      <c r="E28">
        <v>2531999</v>
      </c>
      <c r="F28" t="s">
        <v>3600</v>
      </c>
      <c r="G28" t="s">
        <v>3527</v>
      </c>
      <c r="H28" t="s">
        <v>3528</v>
      </c>
      <c r="I28" t="s">
        <v>3535</v>
      </c>
      <c r="J28" t="s">
        <v>3530</v>
      </c>
      <c r="K28" t="s">
        <v>3531</v>
      </c>
      <c r="L28">
        <v>14992.000710521643</v>
      </c>
      <c r="N28" t="s">
        <v>3524</v>
      </c>
      <c r="O28" t="s">
        <v>3736</v>
      </c>
      <c r="P28" s="3468">
        <v>43185</v>
      </c>
      <c r="Q28">
        <v>235.52</v>
      </c>
      <c r="R28">
        <v>4512563</v>
      </c>
      <c r="S28" t="s">
        <v>3737</v>
      </c>
      <c r="T28" t="s">
        <v>3738</v>
      </c>
      <c r="U28" t="s">
        <v>3552</v>
      </c>
      <c r="V28" t="s">
        <v>3529</v>
      </c>
      <c r="W28" t="s">
        <v>3675</v>
      </c>
      <c r="X28" t="s">
        <v>3531</v>
      </c>
      <c r="Y28">
        <v>19159.999150815216</v>
      </c>
    </row>
    <row r="29" spans="1:25">
      <c r="A29" t="s">
        <v>3524</v>
      </c>
      <c r="B29" t="s">
        <v>3601</v>
      </c>
      <c r="C29" s="3468">
        <v>43166</v>
      </c>
      <c r="D29">
        <v>156.97</v>
      </c>
      <c r="E29">
        <v>3012366</v>
      </c>
      <c r="F29" t="s">
        <v>3602</v>
      </c>
      <c r="G29" t="s">
        <v>3580</v>
      </c>
      <c r="H29" t="s">
        <v>3545</v>
      </c>
      <c r="I29" t="s">
        <v>3548</v>
      </c>
      <c r="J29" t="s">
        <v>3530</v>
      </c>
      <c r="K29" t="s">
        <v>3531</v>
      </c>
      <c r="L29">
        <v>19190.711600942854</v>
      </c>
      <c r="N29" t="s">
        <v>3524</v>
      </c>
      <c r="O29" t="s">
        <v>3739</v>
      </c>
      <c r="P29" s="3468">
        <v>43185</v>
      </c>
      <c r="Q29">
        <v>235.52</v>
      </c>
      <c r="R29">
        <v>4912947</v>
      </c>
      <c r="S29" t="s">
        <v>3740</v>
      </c>
      <c r="T29" t="s">
        <v>3741</v>
      </c>
      <c r="U29" t="s">
        <v>3552</v>
      </c>
      <c r="V29" t="s">
        <v>3529</v>
      </c>
      <c r="W29" t="s">
        <v>3675</v>
      </c>
      <c r="X29" t="s">
        <v>3531</v>
      </c>
      <c r="Y29">
        <v>20859.999150815216</v>
      </c>
    </row>
    <row r="30" spans="1:25">
      <c r="A30" t="s">
        <v>3524</v>
      </c>
      <c r="B30" t="s">
        <v>3603</v>
      </c>
      <c r="C30" s="3468">
        <v>43166</v>
      </c>
      <c r="D30">
        <v>168.57</v>
      </c>
      <c r="E30">
        <v>2291203</v>
      </c>
      <c r="F30" t="s">
        <v>3604</v>
      </c>
      <c r="G30" t="s">
        <v>3585</v>
      </c>
      <c r="H30" t="s">
        <v>3555</v>
      </c>
      <c r="I30" t="s">
        <v>3541</v>
      </c>
      <c r="J30" t="s">
        <v>3530</v>
      </c>
      <c r="K30" t="s">
        <v>3531</v>
      </c>
      <c r="L30">
        <v>13591.997389808388</v>
      </c>
      <c r="N30" t="s">
        <v>3524</v>
      </c>
      <c r="O30" t="s">
        <v>3742</v>
      </c>
      <c r="P30" s="3468">
        <v>43185</v>
      </c>
      <c r="Q30">
        <v>179.59</v>
      </c>
      <c r="R30">
        <v>3229926</v>
      </c>
      <c r="S30" t="s">
        <v>3743</v>
      </c>
      <c r="T30" t="s">
        <v>3684</v>
      </c>
      <c r="U30" t="s">
        <v>3552</v>
      </c>
      <c r="V30" t="s">
        <v>3548</v>
      </c>
      <c r="W30" t="s">
        <v>3675</v>
      </c>
      <c r="X30" t="s">
        <v>3531</v>
      </c>
      <c r="Y30">
        <v>17984.999164764184</v>
      </c>
    </row>
    <row r="31" spans="1:25">
      <c r="A31" t="s">
        <v>3524</v>
      </c>
      <c r="B31" t="s">
        <v>3605</v>
      </c>
      <c r="C31" s="3468">
        <v>43164</v>
      </c>
      <c r="D31">
        <v>141.33000000000001</v>
      </c>
      <c r="E31">
        <v>1920957</v>
      </c>
      <c r="F31" t="s">
        <v>3606</v>
      </c>
      <c r="G31" t="s">
        <v>3544</v>
      </c>
      <c r="H31" t="s">
        <v>3528</v>
      </c>
      <c r="I31" t="s">
        <v>3541</v>
      </c>
      <c r="J31" t="s">
        <v>3530</v>
      </c>
      <c r="K31" t="s">
        <v>3531</v>
      </c>
      <c r="L31">
        <v>13591.997452770111</v>
      </c>
      <c r="N31" t="s">
        <v>3524</v>
      </c>
      <c r="O31" t="s">
        <v>3744</v>
      </c>
      <c r="P31" s="3468">
        <v>43185</v>
      </c>
      <c r="Q31">
        <v>179.29</v>
      </c>
      <c r="R31">
        <v>3172895</v>
      </c>
      <c r="S31" t="s">
        <v>3745</v>
      </c>
      <c r="T31" t="s">
        <v>3738</v>
      </c>
      <c r="U31" t="s">
        <v>3552</v>
      </c>
      <c r="V31" t="s">
        <v>3548</v>
      </c>
      <c r="W31" t="s">
        <v>3675</v>
      </c>
      <c r="X31" t="s">
        <v>3531</v>
      </c>
      <c r="Y31">
        <v>17696.999274917733</v>
      </c>
    </row>
    <row r="32" spans="1:25">
      <c r="A32" t="s">
        <v>3524</v>
      </c>
      <c r="B32" t="s">
        <v>3607</v>
      </c>
      <c r="C32" s="3468">
        <v>43164</v>
      </c>
      <c r="D32">
        <v>135.5</v>
      </c>
      <c r="E32">
        <v>2263392</v>
      </c>
      <c r="F32" t="s">
        <v>3608</v>
      </c>
      <c r="G32" t="s">
        <v>3609</v>
      </c>
      <c r="H32" t="s">
        <v>3528</v>
      </c>
      <c r="I32" t="s">
        <v>3548</v>
      </c>
      <c r="J32" t="s">
        <v>3530</v>
      </c>
      <c r="K32" t="s">
        <v>3531</v>
      </c>
      <c r="L32">
        <v>16704</v>
      </c>
      <c r="N32" t="s">
        <v>3524</v>
      </c>
      <c r="O32" t="s">
        <v>3746</v>
      </c>
      <c r="P32" s="3468">
        <v>43185</v>
      </c>
      <c r="Q32">
        <v>235.52</v>
      </c>
      <c r="R32">
        <v>4630323</v>
      </c>
      <c r="S32" t="s">
        <v>3747</v>
      </c>
      <c r="T32" t="s">
        <v>3687</v>
      </c>
      <c r="U32" t="s">
        <v>3552</v>
      </c>
      <c r="V32" t="s">
        <v>3529</v>
      </c>
      <c r="W32" t="s">
        <v>3675</v>
      </c>
      <c r="X32" t="s">
        <v>3531</v>
      </c>
      <c r="Y32">
        <v>19659.999150815216</v>
      </c>
    </row>
    <row r="33" spans="1:25">
      <c r="A33" t="s">
        <v>3524</v>
      </c>
      <c r="B33" t="s">
        <v>3610</v>
      </c>
      <c r="C33" s="3468">
        <v>43164</v>
      </c>
      <c r="D33">
        <v>156.97</v>
      </c>
      <c r="E33">
        <v>3169381</v>
      </c>
      <c r="F33" t="s">
        <v>3611</v>
      </c>
      <c r="G33" t="s">
        <v>3565</v>
      </c>
      <c r="H33" t="s">
        <v>3528</v>
      </c>
      <c r="I33" t="s">
        <v>3529</v>
      </c>
      <c r="J33" t="s">
        <v>3530</v>
      </c>
      <c r="K33" t="s">
        <v>3531</v>
      </c>
      <c r="L33">
        <v>20190.998279926102</v>
      </c>
      <c r="N33" t="s">
        <v>3524</v>
      </c>
      <c r="O33" t="s">
        <v>3748</v>
      </c>
      <c r="P33" s="3468">
        <v>43185</v>
      </c>
      <c r="Q33">
        <v>178.87</v>
      </c>
      <c r="R33">
        <v>3221985</v>
      </c>
      <c r="S33" t="s">
        <v>3749</v>
      </c>
      <c r="T33" t="s">
        <v>3684</v>
      </c>
      <c r="U33" t="s">
        <v>3552</v>
      </c>
      <c r="V33" t="s">
        <v>3678</v>
      </c>
      <c r="W33" t="s">
        <v>3675</v>
      </c>
      <c r="X33" t="s">
        <v>3531</v>
      </c>
      <c r="Y33">
        <v>18012.998266897746</v>
      </c>
    </row>
    <row r="34" spans="1:25">
      <c r="A34" t="s">
        <v>3524</v>
      </c>
      <c r="B34" t="s">
        <v>3612</v>
      </c>
      <c r="C34" s="3468">
        <v>43164</v>
      </c>
      <c r="D34">
        <v>135.5</v>
      </c>
      <c r="E34">
        <v>2263392</v>
      </c>
      <c r="F34" t="s">
        <v>3613</v>
      </c>
      <c r="G34" t="s">
        <v>3527</v>
      </c>
      <c r="H34" t="s">
        <v>3528</v>
      </c>
      <c r="I34" t="s">
        <v>3548</v>
      </c>
      <c r="J34" t="s">
        <v>3530</v>
      </c>
      <c r="K34" t="s">
        <v>3531</v>
      </c>
      <c r="L34">
        <v>16704</v>
      </c>
      <c r="N34" t="s">
        <v>3524</v>
      </c>
      <c r="O34" t="s">
        <v>3750</v>
      </c>
      <c r="P34" s="3468">
        <v>43185</v>
      </c>
      <c r="Q34">
        <v>234.94</v>
      </c>
      <c r="R34">
        <v>4517544</v>
      </c>
      <c r="S34" t="s">
        <v>3751</v>
      </c>
      <c r="T34" t="s">
        <v>3715</v>
      </c>
      <c r="U34" t="s">
        <v>3552</v>
      </c>
      <c r="V34" t="s">
        <v>3696</v>
      </c>
      <c r="W34" t="s">
        <v>3675</v>
      </c>
      <c r="X34" t="s">
        <v>3531</v>
      </c>
      <c r="Y34">
        <v>19228.500893845237</v>
      </c>
    </row>
    <row r="35" spans="1:25">
      <c r="A35" t="s">
        <v>3524</v>
      </c>
      <c r="B35" t="s">
        <v>3614</v>
      </c>
      <c r="C35" s="3468">
        <v>43164</v>
      </c>
      <c r="D35">
        <v>168.89</v>
      </c>
      <c r="E35">
        <v>2531999</v>
      </c>
      <c r="F35" t="s">
        <v>3615</v>
      </c>
      <c r="G35" t="s">
        <v>3616</v>
      </c>
      <c r="H35" t="s">
        <v>3528</v>
      </c>
      <c r="I35" t="s">
        <v>3535</v>
      </c>
      <c r="J35" t="s">
        <v>3530</v>
      </c>
      <c r="K35" t="s">
        <v>3531</v>
      </c>
      <c r="L35">
        <v>14992.000710521643</v>
      </c>
      <c r="N35" t="s">
        <v>3524</v>
      </c>
      <c r="O35" t="s">
        <v>3752</v>
      </c>
      <c r="P35" s="3468">
        <v>43185</v>
      </c>
      <c r="Q35">
        <v>178.78</v>
      </c>
      <c r="R35">
        <v>3220900</v>
      </c>
      <c r="S35" t="s">
        <v>3753</v>
      </c>
      <c r="T35" t="s">
        <v>3684</v>
      </c>
      <c r="U35" t="s">
        <v>3552</v>
      </c>
      <c r="V35" t="s">
        <v>3674</v>
      </c>
      <c r="W35" t="s">
        <v>3675</v>
      </c>
      <c r="X35" t="s">
        <v>3531</v>
      </c>
      <c r="Y35">
        <v>18015.997315135923</v>
      </c>
    </row>
    <row r="36" spans="1:25">
      <c r="A36" t="s">
        <v>3524</v>
      </c>
      <c r="B36" t="s">
        <v>3617</v>
      </c>
      <c r="C36" s="3468">
        <v>43164</v>
      </c>
      <c r="D36">
        <v>141.33000000000001</v>
      </c>
      <c r="E36">
        <v>1920957</v>
      </c>
      <c r="F36" t="s">
        <v>3618</v>
      </c>
      <c r="G36" t="s">
        <v>3585</v>
      </c>
      <c r="H36" t="s">
        <v>3545</v>
      </c>
      <c r="I36" t="s">
        <v>3535</v>
      </c>
      <c r="J36" t="s">
        <v>3530</v>
      </c>
      <c r="K36" t="s">
        <v>3531</v>
      </c>
      <c r="L36">
        <v>13591.997452770111</v>
      </c>
      <c r="N36" t="s">
        <v>3524</v>
      </c>
      <c r="O36" t="s">
        <v>3754</v>
      </c>
      <c r="P36" s="3468">
        <v>43185</v>
      </c>
      <c r="Q36">
        <v>234.96</v>
      </c>
      <c r="R36">
        <v>4400056</v>
      </c>
      <c r="S36" t="s">
        <v>3755</v>
      </c>
      <c r="T36" t="s">
        <v>3709</v>
      </c>
      <c r="U36" t="s">
        <v>3552</v>
      </c>
      <c r="V36" t="s">
        <v>3696</v>
      </c>
      <c r="W36" t="s">
        <v>3675</v>
      </c>
      <c r="X36" t="s">
        <v>3531</v>
      </c>
      <c r="Y36">
        <v>18726.830098740211</v>
      </c>
    </row>
    <row r="37" spans="1:25">
      <c r="A37" t="s">
        <v>3524</v>
      </c>
      <c r="B37" t="s">
        <v>3619</v>
      </c>
      <c r="C37" s="3468">
        <v>43164</v>
      </c>
      <c r="D37">
        <v>135.5</v>
      </c>
      <c r="E37">
        <v>2114342</v>
      </c>
      <c r="F37" t="s">
        <v>3620</v>
      </c>
      <c r="G37" t="s">
        <v>3573</v>
      </c>
      <c r="H37" t="s">
        <v>3545</v>
      </c>
      <c r="I37" t="s">
        <v>3529</v>
      </c>
      <c r="J37" t="s">
        <v>3530</v>
      </c>
      <c r="K37" t="s">
        <v>3531</v>
      </c>
      <c r="L37">
        <v>15604</v>
      </c>
      <c r="N37" t="s">
        <v>3524</v>
      </c>
      <c r="O37" t="s">
        <v>3756</v>
      </c>
      <c r="P37" s="3468">
        <v>43185</v>
      </c>
      <c r="Q37">
        <v>178.51</v>
      </c>
      <c r="R37">
        <v>3467735</v>
      </c>
      <c r="S37" t="s">
        <v>3757</v>
      </c>
      <c r="T37" t="s">
        <v>3681</v>
      </c>
      <c r="U37" t="s">
        <v>3552</v>
      </c>
      <c r="V37" t="s">
        <v>3674</v>
      </c>
      <c r="W37" t="s">
        <v>3675</v>
      </c>
      <c r="X37" t="s">
        <v>3531</v>
      </c>
      <c r="Y37">
        <v>19425.998543498965</v>
      </c>
    </row>
    <row r="38" spans="1:25">
      <c r="A38" t="s">
        <v>3524</v>
      </c>
      <c r="B38" t="s">
        <v>3621</v>
      </c>
      <c r="C38" s="3468">
        <v>43164</v>
      </c>
      <c r="D38">
        <v>168.89</v>
      </c>
      <c r="E38">
        <v>2295553</v>
      </c>
      <c r="F38" t="s">
        <v>3622</v>
      </c>
      <c r="G38" t="s">
        <v>3573</v>
      </c>
      <c r="H38" t="s">
        <v>3545</v>
      </c>
      <c r="I38" t="s">
        <v>3541</v>
      </c>
      <c r="J38" t="s">
        <v>3530</v>
      </c>
      <c r="K38" t="s">
        <v>3531</v>
      </c>
      <c r="L38">
        <v>13592.000710521643</v>
      </c>
      <c r="N38" t="s">
        <v>3524</v>
      </c>
      <c r="O38" t="s">
        <v>3758</v>
      </c>
      <c r="P38" s="3468">
        <v>43185</v>
      </c>
      <c r="Q38">
        <v>178.51</v>
      </c>
      <c r="R38">
        <v>3217821</v>
      </c>
      <c r="S38" t="s">
        <v>3759</v>
      </c>
      <c r="T38" t="s">
        <v>3690</v>
      </c>
      <c r="U38" t="s">
        <v>3552</v>
      </c>
      <c r="V38" t="s">
        <v>3706</v>
      </c>
      <c r="W38" t="s">
        <v>3675</v>
      </c>
      <c r="X38" t="s">
        <v>3531</v>
      </c>
      <c r="Y38">
        <v>18025.998543498965</v>
      </c>
    </row>
    <row r="39" spans="1:25">
      <c r="A39" t="s">
        <v>3524</v>
      </c>
      <c r="B39" t="s">
        <v>3623</v>
      </c>
      <c r="C39" s="3468">
        <v>43164</v>
      </c>
      <c r="D39">
        <v>156.97</v>
      </c>
      <c r="E39">
        <v>3090852</v>
      </c>
      <c r="F39" t="s">
        <v>3624</v>
      </c>
      <c r="G39" t="s">
        <v>3565</v>
      </c>
      <c r="H39" t="s">
        <v>3545</v>
      </c>
      <c r="I39" t="s">
        <v>3548</v>
      </c>
      <c r="J39" t="s">
        <v>3530</v>
      </c>
      <c r="K39" t="s">
        <v>3531</v>
      </c>
      <c r="L39">
        <v>19690.717971586928</v>
      </c>
      <c r="N39" t="s">
        <v>3524</v>
      </c>
      <c r="O39" t="s">
        <v>3760</v>
      </c>
      <c r="P39" s="3468">
        <v>43185</v>
      </c>
      <c r="Q39">
        <v>179.29</v>
      </c>
      <c r="R39">
        <v>3172895</v>
      </c>
      <c r="S39" t="s">
        <v>3761</v>
      </c>
      <c r="T39" t="s">
        <v>3738</v>
      </c>
      <c r="U39" t="s">
        <v>3552</v>
      </c>
      <c r="V39" t="s">
        <v>3674</v>
      </c>
      <c r="W39" t="s">
        <v>3675</v>
      </c>
      <c r="X39" t="s">
        <v>3531</v>
      </c>
      <c r="Y39">
        <v>17696.999274917733</v>
      </c>
    </row>
    <row r="40" spans="1:25">
      <c r="A40" t="s">
        <v>3524</v>
      </c>
      <c r="B40" t="s">
        <v>3625</v>
      </c>
      <c r="C40" s="3468">
        <v>43164</v>
      </c>
      <c r="D40">
        <v>156.97</v>
      </c>
      <c r="E40">
        <v>3169381</v>
      </c>
      <c r="F40" t="s">
        <v>3626</v>
      </c>
      <c r="G40" t="s">
        <v>3560</v>
      </c>
      <c r="H40" t="s">
        <v>3528</v>
      </c>
      <c r="I40" t="s">
        <v>3529</v>
      </c>
      <c r="J40" t="s">
        <v>3530</v>
      </c>
      <c r="K40" t="s">
        <v>3531</v>
      </c>
      <c r="L40">
        <v>20190.998279926102</v>
      </c>
      <c r="N40" t="s">
        <v>3524</v>
      </c>
      <c r="O40" t="s">
        <v>3762</v>
      </c>
      <c r="P40" s="3468">
        <v>43185</v>
      </c>
      <c r="Q40">
        <v>234.61</v>
      </c>
      <c r="R40">
        <v>4396242</v>
      </c>
      <c r="S40" t="s">
        <v>3763</v>
      </c>
      <c r="T40" t="s">
        <v>3692</v>
      </c>
      <c r="U40" t="s">
        <v>3552</v>
      </c>
      <c r="V40" t="s">
        <v>3696</v>
      </c>
      <c r="W40" t="s">
        <v>3675</v>
      </c>
      <c r="X40" t="s">
        <v>3531</v>
      </c>
      <c r="Y40">
        <v>18738.510719918162</v>
      </c>
    </row>
    <row r="41" spans="1:25">
      <c r="A41" t="s">
        <v>3524</v>
      </c>
      <c r="B41" t="s">
        <v>3627</v>
      </c>
      <c r="C41" s="3468">
        <v>43162</v>
      </c>
      <c r="D41">
        <v>135.5</v>
      </c>
      <c r="E41">
        <v>2263392</v>
      </c>
      <c r="F41" t="s">
        <v>3628</v>
      </c>
      <c r="G41" t="s">
        <v>3616</v>
      </c>
      <c r="H41" t="s">
        <v>3528</v>
      </c>
      <c r="I41" t="s">
        <v>3548</v>
      </c>
      <c r="J41" t="s">
        <v>3530</v>
      </c>
      <c r="K41" t="s">
        <v>3531</v>
      </c>
      <c r="L41">
        <v>16704</v>
      </c>
      <c r="N41" t="s">
        <v>3524</v>
      </c>
      <c r="O41" t="s">
        <v>3764</v>
      </c>
      <c r="P41" s="3468">
        <v>43185</v>
      </c>
      <c r="Q41">
        <v>235.52</v>
      </c>
      <c r="R41">
        <v>4524231</v>
      </c>
      <c r="S41" t="s">
        <v>3765</v>
      </c>
      <c r="T41" t="s">
        <v>3687</v>
      </c>
      <c r="U41" t="s">
        <v>3552</v>
      </c>
      <c r="V41" t="s">
        <v>3706</v>
      </c>
      <c r="W41" t="s">
        <v>3675</v>
      </c>
      <c r="X41" t="s">
        <v>3531</v>
      </c>
      <c r="Y41">
        <v>19209.540591032608</v>
      </c>
    </row>
    <row r="42" spans="1:25">
      <c r="A42" t="s">
        <v>3524</v>
      </c>
      <c r="B42" t="s">
        <v>3629</v>
      </c>
      <c r="C42" s="3468">
        <v>43162</v>
      </c>
      <c r="D42">
        <v>156.97</v>
      </c>
      <c r="E42">
        <v>2933879</v>
      </c>
      <c r="F42" t="s">
        <v>3630</v>
      </c>
      <c r="G42" t="s">
        <v>3560</v>
      </c>
      <c r="H42" t="s">
        <v>3545</v>
      </c>
      <c r="I42" t="s">
        <v>3548</v>
      </c>
      <c r="J42" t="s">
        <v>3530</v>
      </c>
      <c r="K42" t="s">
        <v>3531</v>
      </c>
      <c r="L42">
        <v>18690.698859654713</v>
      </c>
      <c r="N42" t="s">
        <v>3524</v>
      </c>
      <c r="O42" t="s">
        <v>3766</v>
      </c>
      <c r="P42" s="3468">
        <v>43185</v>
      </c>
      <c r="Q42">
        <v>179.29</v>
      </c>
      <c r="R42">
        <v>3226682</v>
      </c>
      <c r="S42" t="s">
        <v>3767</v>
      </c>
      <c r="T42" t="s">
        <v>3705</v>
      </c>
      <c r="U42" t="s">
        <v>3552</v>
      </c>
      <c r="V42" t="s">
        <v>3548</v>
      </c>
      <c r="W42" t="s">
        <v>3675</v>
      </c>
      <c r="X42" t="s">
        <v>3531</v>
      </c>
      <c r="Y42">
        <v>17996.999274917733</v>
      </c>
    </row>
    <row r="43" spans="1:25">
      <c r="A43" t="s">
        <v>3524</v>
      </c>
      <c r="B43" t="s">
        <v>3631</v>
      </c>
      <c r="C43" s="3468">
        <v>43162</v>
      </c>
      <c r="D43">
        <v>168.89</v>
      </c>
      <c r="E43">
        <v>2396887</v>
      </c>
      <c r="F43" t="s">
        <v>3632</v>
      </c>
      <c r="G43" t="s">
        <v>3609</v>
      </c>
      <c r="H43" t="s">
        <v>3545</v>
      </c>
      <c r="I43" t="s">
        <v>3541</v>
      </c>
      <c r="J43" t="s">
        <v>3530</v>
      </c>
      <c r="K43" t="s">
        <v>3531</v>
      </c>
      <c r="L43">
        <v>14192.000710521643</v>
      </c>
      <c r="N43" t="s">
        <v>3524</v>
      </c>
      <c r="O43" t="s">
        <v>3768</v>
      </c>
      <c r="P43" s="3468">
        <v>43185</v>
      </c>
      <c r="Q43">
        <v>178.86</v>
      </c>
      <c r="R43">
        <v>3257577</v>
      </c>
      <c r="S43" t="s">
        <v>3769</v>
      </c>
      <c r="T43" t="s">
        <v>3715</v>
      </c>
      <c r="U43" t="s">
        <v>3552</v>
      </c>
      <c r="V43" t="s">
        <v>3678</v>
      </c>
      <c r="W43" t="s">
        <v>3675</v>
      </c>
      <c r="X43" t="s">
        <v>3531</v>
      </c>
      <c r="Y43">
        <v>18212.998993626297</v>
      </c>
    </row>
    <row r="44" spans="1:25">
      <c r="A44" t="s">
        <v>3524</v>
      </c>
      <c r="B44" t="s">
        <v>3633</v>
      </c>
      <c r="C44" s="3468">
        <v>43160</v>
      </c>
      <c r="D44">
        <v>168.89</v>
      </c>
      <c r="E44">
        <v>2481332</v>
      </c>
      <c r="F44" t="s">
        <v>3634</v>
      </c>
      <c r="G44" t="s">
        <v>3538</v>
      </c>
      <c r="H44" t="s">
        <v>3545</v>
      </c>
      <c r="I44" t="s">
        <v>3541</v>
      </c>
      <c r="J44" t="s">
        <v>3530</v>
      </c>
      <c r="K44" t="s">
        <v>3531</v>
      </c>
      <c r="L44">
        <v>14692.000710521643</v>
      </c>
      <c r="N44" t="s">
        <v>3524</v>
      </c>
      <c r="O44" t="s">
        <v>3770</v>
      </c>
      <c r="P44" s="3468">
        <v>43185</v>
      </c>
      <c r="Q44">
        <v>178.77</v>
      </c>
      <c r="R44">
        <v>3256474</v>
      </c>
      <c r="S44" t="s">
        <v>3771</v>
      </c>
      <c r="T44" t="s">
        <v>3715</v>
      </c>
      <c r="U44" t="s">
        <v>3552</v>
      </c>
      <c r="V44" t="s">
        <v>3706</v>
      </c>
      <c r="W44" t="s">
        <v>3675</v>
      </c>
      <c r="X44" t="s">
        <v>3531</v>
      </c>
      <c r="Y44">
        <v>18215.998209990488</v>
      </c>
    </row>
    <row r="45" spans="1:25">
      <c r="A45" t="s">
        <v>3524</v>
      </c>
      <c r="B45" t="s">
        <v>3635</v>
      </c>
      <c r="C45" s="3468">
        <v>43160</v>
      </c>
      <c r="D45">
        <v>135.25</v>
      </c>
      <c r="E45">
        <v>2112605</v>
      </c>
      <c r="F45" t="s">
        <v>3636</v>
      </c>
      <c r="G45" t="s">
        <v>3585</v>
      </c>
      <c r="H45" t="s">
        <v>3555</v>
      </c>
      <c r="I45" t="s">
        <v>3529</v>
      </c>
      <c r="J45" t="s">
        <v>3530</v>
      </c>
      <c r="K45" t="s">
        <v>3531</v>
      </c>
      <c r="L45">
        <v>15620</v>
      </c>
      <c r="N45" t="s">
        <v>3524</v>
      </c>
      <c r="O45" t="s">
        <v>3772</v>
      </c>
      <c r="P45" s="3468">
        <v>43185</v>
      </c>
      <c r="Q45">
        <v>179.29</v>
      </c>
      <c r="R45">
        <v>3226682</v>
      </c>
      <c r="S45" t="s">
        <v>3773</v>
      </c>
      <c r="T45" t="s">
        <v>3705</v>
      </c>
      <c r="U45" t="s">
        <v>3552</v>
      </c>
      <c r="V45" t="s">
        <v>3674</v>
      </c>
      <c r="W45" t="s">
        <v>3675</v>
      </c>
      <c r="X45" t="s">
        <v>3531</v>
      </c>
      <c r="Y45">
        <v>17996.999274917733</v>
      </c>
    </row>
    <row r="46" spans="1:25">
      <c r="A46" t="s">
        <v>3524</v>
      </c>
      <c r="B46" t="s">
        <v>3637</v>
      </c>
      <c r="C46" s="3468">
        <v>43160</v>
      </c>
      <c r="D46">
        <v>135.5</v>
      </c>
      <c r="E46">
        <v>2114342</v>
      </c>
      <c r="F46" t="s">
        <v>3638</v>
      </c>
      <c r="G46" t="s">
        <v>3588</v>
      </c>
      <c r="H46" t="s">
        <v>3545</v>
      </c>
      <c r="I46" t="s">
        <v>3529</v>
      </c>
      <c r="J46" t="s">
        <v>3530</v>
      </c>
      <c r="K46" t="s">
        <v>3531</v>
      </c>
      <c r="L46">
        <v>15604</v>
      </c>
      <c r="N46" t="s">
        <v>3524</v>
      </c>
      <c r="O46" t="s">
        <v>3774</v>
      </c>
      <c r="P46" s="3468">
        <v>43185</v>
      </c>
      <c r="Q46">
        <v>178.77</v>
      </c>
      <c r="R46">
        <v>3256474</v>
      </c>
      <c r="S46" t="s">
        <v>3775</v>
      </c>
      <c r="T46" t="s">
        <v>3715</v>
      </c>
      <c r="U46" t="s">
        <v>3552</v>
      </c>
      <c r="V46" t="s">
        <v>3674</v>
      </c>
      <c r="W46" t="s">
        <v>3675</v>
      </c>
      <c r="X46" t="s">
        <v>3531</v>
      </c>
      <c r="Y46">
        <v>18215.998209990488</v>
      </c>
    </row>
    <row r="47" spans="1:25">
      <c r="A47" t="s">
        <v>3524</v>
      </c>
      <c r="B47" t="s">
        <v>3639</v>
      </c>
      <c r="C47" s="3468">
        <v>43160</v>
      </c>
      <c r="D47">
        <v>141.33000000000001</v>
      </c>
      <c r="E47">
        <v>1920957</v>
      </c>
      <c r="F47" t="s">
        <v>3640</v>
      </c>
      <c r="G47" t="s">
        <v>3585</v>
      </c>
      <c r="H47" t="s">
        <v>3545</v>
      </c>
      <c r="I47" t="s">
        <v>3541</v>
      </c>
      <c r="J47" t="s">
        <v>3530</v>
      </c>
      <c r="K47" t="s">
        <v>3531</v>
      </c>
      <c r="L47">
        <v>13591.997452770111</v>
      </c>
      <c r="N47" t="s">
        <v>3524</v>
      </c>
      <c r="O47" t="s">
        <v>3776</v>
      </c>
      <c r="P47" s="3468">
        <v>43185</v>
      </c>
      <c r="Q47">
        <v>178.78</v>
      </c>
      <c r="R47">
        <v>3220900</v>
      </c>
      <c r="S47" t="s">
        <v>3777</v>
      </c>
      <c r="T47" t="s">
        <v>3684</v>
      </c>
      <c r="U47" t="s">
        <v>3552</v>
      </c>
      <c r="V47" t="s">
        <v>3706</v>
      </c>
      <c r="W47" t="s">
        <v>3675</v>
      </c>
      <c r="X47" t="s">
        <v>3531</v>
      </c>
      <c r="Y47">
        <v>18015.997315135923</v>
      </c>
    </row>
    <row r="48" spans="1:25">
      <c r="A48" t="s">
        <v>3524</v>
      </c>
      <c r="B48" t="s">
        <v>3641</v>
      </c>
      <c r="C48" s="3468">
        <v>43160</v>
      </c>
      <c r="D48">
        <v>141.6</v>
      </c>
      <c r="E48">
        <v>2080387</v>
      </c>
      <c r="F48" t="s">
        <v>3642</v>
      </c>
      <c r="G48" t="s">
        <v>3565</v>
      </c>
      <c r="H48" t="s">
        <v>3528</v>
      </c>
      <c r="I48" t="s">
        <v>3541</v>
      </c>
      <c r="J48" t="s">
        <v>3530</v>
      </c>
      <c r="K48" t="s">
        <v>3531</v>
      </c>
      <c r="L48">
        <v>14691.998587570622</v>
      </c>
      <c r="N48" t="s">
        <v>3524</v>
      </c>
      <c r="O48" t="s">
        <v>3778</v>
      </c>
      <c r="P48" s="3468">
        <v>43185</v>
      </c>
      <c r="Q48">
        <v>178.6</v>
      </c>
      <c r="R48">
        <v>3218908</v>
      </c>
      <c r="S48" t="s">
        <v>3779</v>
      </c>
      <c r="T48" t="s">
        <v>3690</v>
      </c>
      <c r="U48" t="s">
        <v>3552</v>
      </c>
      <c r="V48" t="s">
        <v>3548</v>
      </c>
      <c r="W48" t="s">
        <v>3675</v>
      </c>
      <c r="X48" t="s">
        <v>3531</v>
      </c>
      <c r="Y48">
        <v>18023.00111982083</v>
      </c>
    </row>
    <row r="49" spans="1:25">
      <c r="A49" t="s">
        <v>3524</v>
      </c>
      <c r="B49" t="s">
        <v>3643</v>
      </c>
      <c r="C49" s="3468">
        <v>43248</v>
      </c>
      <c r="D49">
        <v>141.33000000000001</v>
      </c>
      <c r="E49">
        <v>1920957</v>
      </c>
      <c r="F49" t="s">
        <v>3644</v>
      </c>
      <c r="G49" t="s">
        <v>3544</v>
      </c>
      <c r="H49" t="s">
        <v>3545</v>
      </c>
      <c r="I49" t="s">
        <v>3535</v>
      </c>
      <c r="J49" t="s">
        <v>3530</v>
      </c>
      <c r="K49" t="s">
        <v>3531</v>
      </c>
      <c r="L49">
        <v>13591.997452770111</v>
      </c>
      <c r="N49" t="s">
        <v>3524</v>
      </c>
      <c r="O49" t="s">
        <v>3780</v>
      </c>
      <c r="P49" s="3468">
        <v>43185</v>
      </c>
      <c r="Q49">
        <v>178.6</v>
      </c>
      <c r="R49">
        <v>3254628</v>
      </c>
      <c r="S49" t="s">
        <v>3781</v>
      </c>
      <c r="T49" t="s">
        <v>3692</v>
      </c>
      <c r="U49" t="s">
        <v>3552</v>
      </c>
      <c r="V49" t="s">
        <v>3678</v>
      </c>
      <c r="W49" t="s">
        <v>3675</v>
      </c>
      <c r="X49" t="s">
        <v>3531</v>
      </c>
      <c r="Y49">
        <v>18223.00111982083</v>
      </c>
    </row>
    <row r="50" spans="1:25">
      <c r="A50" t="s">
        <v>3524</v>
      </c>
      <c r="B50" t="s">
        <v>3645</v>
      </c>
      <c r="C50" s="3468">
        <v>43242</v>
      </c>
      <c r="D50">
        <v>168.89</v>
      </c>
      <c r="E50">
        <v>2531999</v>
      </c>
      <c r="F50" t="s">
        <v>3646</v>
      </c>
      <c r="G50" t="s">
        <v>3565</v>
      </c>
      <c r="H50" t="s">
        <v>3528</v>
      </c>
      <c r="I50" t="s">
        <v>3535</v>
      </c>
      <c r="J50" t="s">
        <v>3530</v>
      </c>
      <c r="K50" t="s">
        <v>3531</v>
      </c>
      <c r="L50">
        <v>14992.000710521643</v>
      </c>
      <c r="N50" t="s">
        <v>3524</v>
      </c>
      <c r="O50" t="s">
        <v>3782</v>
      </c>
      <c r="P50" s="3468">
        <v>43185</v>
      </c>
      <c r="Q50">
        <v>179.29</v>
      </c>
      <c r="R50">
        <v>3477688</v>
      </c>
      <c r="S50" t="s">
        <v>3783</v>
      </c>
      <c r="T50" t="s">
        <v>3741</v>
      </c>
      <c r="U50" t="s">
        <v>3552</v>
      </c>
      <c r="V50" t="s">
        <v>3548</v>
      </c>
      <c r="W50" t="s">
        <v>3675</v>
      </c>
      <c r="X50" t="s">
        <v>3531</v>
      </c>
      <c r="Y50">
        <v>19396.999274917733</v>
      </c>
    </row>
    <row r="51" spans="1:25">
      <c r="A51" t="s">
        <v>3524</v>
      </c>
      <c r="B51" t="s">
        <v>3647</v>
      </c>
      <c r="C51" s="3468">
        <v>43251</v>
      </c>
      <c r="D51">
        <v>135.25</v>
      </c>
      <c r="E51">
        <v>2112605</v>
      </c>
      <c r="F51" t="s">
        <v>3648</v>
      </c>
      <c r="G51" t="s">
        <v>3544</v>
      </c>
      <c r="H51" t="s">
        <v>3545</v>
      </c>
      <c r="I51" t="s">
        <v>3548</v>
      </c>
      <c r="J51" t="s">
        <v>3530</v>
      </c>
      <c r="K51" t="s">
        <v>3531</v>
      </c>
      <c r="L51">
        <v>15620</v>
      </c>
      <c r="N51" t="s">
        <v>3524</v>
      </c>
      <c r="O51" t="s">
        <v>3784</v>
      </c>
      <c r="P51" s="3468">
        <v>43185</v>
      </c>
      <c r="Q51">
        <v>179.29</v>
      </c>
      <c r="R51">
        <v>3262540</v>
      </c>
      <c r="S51" t="s">
        <v>3785</v>
      </c>
      <c r="T51" t="s">
        <v>3687</v>
      </c>
      <c r="U51" t="s">
        <v>3552</v>
      </c>
      <c r="V51" t="s">
        <v>3548</v>
      </c>
      <c r="W51" t="s">
        <v>3675</v>
      </c>
      <c r="X51" t="s">
        <v>3531</v>
      </c>
      <c r="Y51">
        <v>18196.999274917733</v>
      </c>
    </row>
    <row r="52" spans="1:25">
      <c r="A52" t="s">
        <v>3524</v>
      </c>
      <c r="B52" t="s">
        <v>3649</v>
      </c>
      <c r="C52" s="3468">
        <v>43234</v>
      </c>
      <c r="D52">
        <v>135.5</v>
      </c>
      <c r="E52">
        <v>2263392</v>
      </c>
      <c r="F52" t="s">
        <v>3650</v>
      </c>
      <c r="G52" t="s">
        <v>3527</v>
      </c>
      <c r="H52" t="s">
        <v>3545</v>
      </c>
      <c r="I52" t="s">
        <v>3529</v>
      </c>
      <c r="J52" t="s">
        <v>3530</v>
      </c>
      <c r="K52" t="s">
        <v>3531</v>
      </c>
      <c r="L52">
        <v>16704</v>
      </c>
      <c r="N52" t="s">
        <v>3524</v>
      </c>
      <c r="O52" t="s">
        <v>3786</v>
      </c>
      <c r="P52" s="3468">
        <v>43185</v>
      </c>
      <c r="Q52">
        <v>179.29</v>
      </c>
      <c r="R52">
        <v>3477688</v>
      </c>
      <c r="S52" t="s">
        <v>3787</v>
      </c>
      <c r="T52" t="s">
        <v>3741</v>
      </c>
      <c r="U52" t="s">
        <v>3552</v>
      </c>
      <c r="V52" t="s">
        <v>3674</v>
      </c>
      <c r="W52" t="s">
        <v>3675</v>
      </c>
      <c r="X52" t="s">
        <v>3531</v>
      </c>
      <c r="Y52">
        <v>19396.999274917733</v>
      </c>
    </row>
    <row r="53" spans="1:25">
      <c r="A53" t="s">
        <v>3524</v>
      </c>
      <c r="B53" t="s">
        <v>3651</v>
      </c>
      <c r="C53" s="3468">
        <v>43220</v>
      </c>
      <c r="D53">
        <v>156.68</v>
      </c>
      <c r="E53">
        <v>2915100</v>
      </c>
      <c r="F53" t="s">
        <v>3652</v>
      </c>
      <c r="G53" t="s">
        <v>3544</v>
      </c>
      <c r="H53" t="s">
        <v>3555</v>
      </c>
      <c r="I53" t="s">
        <v>3548</v>
      </c>
      <c r="J53" t="s">
        <v>3530</v>
      </c>
      <c r="K53" t="s">
        <v>3531</v>
      </c>
      <c r="L53">
        <v>18605.437835077864</v>
      </c>
      <c r="N53" t="s">
        <v>3524</v>
      </c>
      <c r="O53" t="s">
        <v>3788</v>
      </c>
      <c r="P53" s="3468">
        <v>43185</v>
      </c>
      <c r="Q53">
        <v>178.51</v>
      </c>
      <c r="R53">
        <v>3253523</v>
      </c>
      <c r="S53" t="s">
        <v>3789</v>
      </c>
      <c r="T53" t="s">
        <v>3692</v>
      </c>
      <c r="U53" t="s">
        <v>3552</v>
      </c>
      <c r="V53" t="s">
        <v>3706</v>
      </c>
      <c r="W53" t="s">
        <v>3675</v>
      </c>
      <c r="X53" t="s">
        <v>3531</v>
      </c>
      <c r="Y53">
        <v>18225.998543498965</v>
      </c>
    </row>
    <row r="54" spans="1:25">
      <c r="A54" t="s">
        <v>3524</v>
      </c>
      <c r="B54" t="s">
        <v>3653</v>
      </c>
      <c r="C54" s="3468">
        <v>43220</v>
      </c>
      <c r="D54">
        <v>168.89</v>
      </c>
      <c r="E54">
        <v>2531999</v>
      </c>
      <c r="F54" t="s">
        <v>3654</v>
      </c>
      <c r="G54" t="s">
        <v>3609</v>
      </c>
      <c r="H54" t="s">
        <v>3528</v>
      </c>
      <c r="I54" t="s">
        <v>3535</v>
      </c>
      <c r="J54" t="s">
        <v>3530</v>
      </c>
      <c r="K54" t="s">
        <v>3531</v>
      </c>
      <c r="L54">
        <v>14992.000710521643</v>
      </c>
      <c r="N54" t="s">
        <v>3524</v>
      </c>
      <c r="O54" t="s">
        <v>3790</v>
      </c>
      <c r="P54" s="3468">
        <v>43185</v>
      </c>
      <c r="Q54">
        <v>178.6</v>
      </c>
      <c r="R54">
        <v>3218908</v>
      </c>
      <c r="S54" t="s">
        <v>3791</v>
      </c>
      <c r="T54" t="s">
        <v>3690</v>
      </c>
      <c r="U54" t="s">
        <v>3552</v>
      </c>
      <c r="V54" t="s">
        <v>3678</v>
      </c>
      <c r="W54" t="s">
        <v>3675</v>
      </c>
      <c r="X54" t="s">
        <v>3531</v>
      </c>
      <c r="Y54">
        <v>18023.00111982083</v>
      </c>
    </row>
    <row r="55" spans="1:25">
      <c r="A55" t="s">
        <v>3524</v>
      </c>
      <c r="B55" t="s">
        <v>3655</v>
      </c>
      <c r="C55" s="3468">
        <v>43311</v>
      </c>
      <c r="D55">
        <v>142.55000000000001</v>
      </c>
      <c r="E55">
        <v>2470526</v>
      </c>
      <c r="F55" t="s">
        <v>3656</v>
      </c>
      <c r="G55" t="s">
        <v>3534</v>
      </c>
      <c r="H55" t="s">
        <v>3528</v>
      </c>
      <c r="I55" t="s">
        <v>3541</v>
      </c>
      <c r="J55" t="s">
        <v>3530</v>
      </c>
      <c r="K55" t="s">
        <v>3531</v>
      </c>
      <c r="L55">
        <v>17330.94352858646</v>
      </c>
      <c r="N55" t="s">
        <v>3524</v>
      </c>
      <c r="O55" t="s">
        <v>3792</v>
      </c>
      <c r="P55" s="3468">
        <v>43185</v>
      </c>
      <c r="Q55">
        <v>178.78</v>
      </c>
      <c r="R55">
        <v>3167266</v>
      </c>
      <c r="S55" t="s">
        <v>3793</v>
      </c>
      <c r="T55" t="s">
        <v>3709</v>
      </c>
      <c r="U55" t="s">
        <v>3552</v>
      </c>
      <c r="V55" t="s">
        <v>3706</v>
      </c>
      <c r="W55" t="s">
        <v>3675</v>
      </c>
      <c r="X55" t="s">
        <v>3531</v>
      </c>
      <c r="Y55">
        <v>17715.997315135923</v>
      </c>
    </row>
    <row r="56" spans="1:25">
      <c r="A56" t="s">
        <v>3524</v>
      </c>
      <c r="B56" t="s">
        <v>3657</v>
      </c>
      <c r="C56" s="3468">
        <v>43307</v>
      </c>
      <c r="D56">
        <v>156.97</v>
      </c>
      <c r="E56">
        <v>3169381</v>
      </c>
      <c r="F56" t="s">
        <v>3658</v>
      </c>
      <c r="G56" t="s">
        <v>3570</v>
      </c>
      <c r="H56" t="s">
        <v>3528</v>
      </c>
      <c r="I56" t="s">
        <v>3529</v>
      </c>
      <c r="J56" t="s">
        <v>3530</v>
      </c>
      <c r="K56" t="s">
        <v>3531</v>
      </c>
      <c r="L56">
        <v>20190.998279926102</v>
      </c>
      <c r="N56" t="s">
        <v>3524</v>
      </c>
      <c r="O56" t="s">
        <v>3794</v>
      </c>
      <c r="P56" s="3468">
        <v>43185</v>
      </c>
      <c r="Q56">
        <v>179.59</v>
      </c>
      <c r="R56">
        <v>3176049</v>
      </c>
      <c r="S56" t="s">
        <v>3795</v>
      </c>
      <c r="T56" t="s">
        <v>3709</v>
      </c>
      <c r="U56" t="s">
        <v>3552</v>
      </c>
      <c r="V56" t="s">
        <v>3548</v>
      </c>
      <c r="W56" t="s">
        <v>3675</v>
      </c>
      <c r="X56" t="s">
        <v>3531</v>
      </c>
      <c r="Y56">
        <v>17684.999164764184</v>
      </c>
    </row>
    <row r="57" spans="1:25">
      <c r="A57" t="s">
        <v>3524</v>
      </c>
      <c r="B57" t="s">
        <v>3659</v>
      </c>
      <c r="C57" s="3468">
        <v>43340</v>
      </c>
      <c r="D57">
        <v>141.6</v>
      </c>
      <c r="E57">
        <v>2080387</v>
      </c>
      <c r="F57" t="s">
        <v>3660</v>
      </c>
      <c r="G57" t="s">
        <v>3560</v>
      </c>
      <c r="H57" t="s">
        <v>3545</v>
      </c>
      <c r="I57" t="s">
        <v>3535</v>
      </c>
      <c r="J57" t="s">
        <v>3530</v>
      </c>
      <c r="K57" t="s">
        <v>3531</v>
      </c>
      <c r="L57">
        <v>14691.998587570622</v>
      </c>
      <c r="N57" t="s">
        <v>3524</v>
      </c>
      <c r="O57" t="s">
        <v>3796</v>
      </c>
      <c r="P57" s="3468">
        <v>43185</v>
      </c>
      <c r="Q57">
        <v>178.87</v>
      </c>
      <c r="R57">
        <v>3168324</v>
      </c>
      <c r="S57" t="s">
        <v>3797</v>
      </c>
      <c r="T57" t="s">
        <v>3709</v>
      </c>
      <c r="U57" t="s">
        <v>3552</v>
      </c>
      <c r="V57" t="s">
        <v>3678</v>
      </c>
      <c r="W57" t="s">
        <v>3675</v>
      </c>
      <c r="X57" t="s">
        <v>3531</v>
      </c>
      <c r="Y57">
        <v>17712.998266897746</v>
      </c>
    </row>
    <row r="58" spans="1:25">
      <c r="A58" t="s">
        <v>3524</v>
      </c>
      <c r="B58" t="s">
        <v>3661</v>
      </c>
      <c r="C58" s="3468">
        <v>43216</v>
      </c>
      <c r="D58">
        <v>135.25</v>
      </c>
      <c r="E58">
        <v>2112605</v>
      </c>
      <c r="F58" t="s">
        <v>3662</v>
      </c>
      <c r="G58" t="s">
        <v>3544</v>
      </c>
      <c r="H58" t="s">
        <v>3545</v>
      </c>
      <c r="I58" t="s">
        <v>3529</v>
      </c>
      <c r="J58" t="s">
        <v>3530</v>
      </c>
      <c r="K58" t="s">
        <v>3531</v>
      </c>
      <c r="L58">
        <v>15620</v>
      </c>
      <c r="N58" t="s">
        <v>3524</v>
      </c>
      <c r="O58" t="s">
        <v>3798</v>
      </c>
      <c r="P58" s="3468">
        <v>43185</v>
      </c>
      <c r="Q58">
        <v>178.6</v>
      </c>
      <c r="R58">
        <v>3468948</v>
      </c>
      <c r="S58" t="s">
        <v>3799</v>
      </c>
      <c r="T58" t="s">
        <v>3681</v>
      </c>
      <c r="U58" t="s">
        <v>3552</v>
      </c>
      <c r="V58" t="s">
        <v>3678</v>
      </c>
      <c r="W58" t="s">
        <v>3675</v>
      </c>
      <c r="X58" t="s">
        <v>3531</v>
      </c>
      <c r="Y58">
        <v>19423.00111982083</v>
      </c>
    </row>
    <row r="59" spans="1:25">
      <c r="A59" t="s">
        <v>3524</v>
      </c>
      <c r="B59" t="s">
        <v>3663</v>
      </c>
      <c r="C59" s="3468">
        <v>43216</v>
      </c>
      <c r="D59">
        <v>168.89</v>
      </c>
      <c r="E59">
        <v>2346220</v>
      </c>
      <c r="F59" t="s">
        <v>3664</v>
      </c>
      <c r="G59" t="s">
        <v>3573</v>
      </c>
      <c r="H59" t="s">
        <v>3528</v>
      </c>
      <c r="I59" t="s">
        <v>3535</v>
      </c>
      <c r="J59" t="s">
        <v>3530</v>
      </c>
      <c r="K59" t="s">
        <v>3531</v>
      </c>
      <c r="L59">
        <v>13892.000710521643</v>
      </c>
      <c r="N59" t="s">
        <v>3524</v>
      </c>
      <c r="O59" t="s">
        <v>3800</v>
      </c>
      <c r="P59" s="3468">
        <v>43185</v>
      </c>
      <c r="Q59">
        <v>178.51</v>
      </c>
      <c r="R59">
        <v>3253523</v>
      </c>
      <c r="S59" t="s">
        <v>3801</v>
      </c>
      <c r="T59" t="s">
        <v>3692</v>
      </c>
      <c r="U59" t="s">
        <v>3552</v>
      </c>
      <c r="V59" t="s">
        <v>3674</v>
      </c>
      <c r="W59" t="s">
        <v>3675</v>
      </c>
      <c r="X59" t="s">
        <v>3531</v>
      </c>
      <c r="Y59">
        <v>18225.998543498965</v>
      </c>
    </row>
    <row r="60" spans="1:25">
      <c r="A60" t="s">
        <v>3524</v>
      </c>
      <c r="B60" t="s">
        <v>3665</v>
      </c>
      <c r="C60" s="3468">
        <v>43276</v>
      </c>
      <c r="D60">
        <v>130.16</v>
      </c>
      <c r="E60">
        <v>2682674</v>
      </c>
      <c r="F60" t="s">
        <v>3666</v>
      </c>
      <c r="G60" t="s">
        <v>3534</v>
      </c>
      <c r="H60" t="s">
        <v>3528</v>
      </c>
      <c r="I60" t="s">
        <v>3548</v>
      </c>
      <c r="J60" t="s">
        <v>3530</v>
      </c>
      <c r="K60" t="s">
        <v>3531</v>
      </c>
      <c r="L60">
        <v>20610.586969883221</v>
      </c>
      <c r="N60" t="s">
        <v>3524</v>
      </c>
      <c r="O60" t="s">
        <v>3802</v>
      </c>
      <c r="P60" s="3468">
        <v>43243</v>
      </c>
      <c r="Q60">
        <v>234.61</v>
      </c>
      <c r="R60">
        <v>4222980</v>
      </c>
      <c r="S60" t="s">
        <v>3803</v>
      </c>
      <c r="T60" t="s">
        <v>3673</v>
      </c>
      <c r="U60" t="s">
        <v>3552</v>
      </c>
      <c r="V60" t="s">
        <v>3529</v>
      </c>
      <c r="W60" t="s">
        <v>3675</v>
      </c>
      <c r="X60" t="s">
        <v>3531</v>
      </c>
      <c r="Y60">
        <v>18000</v>
      </c>
    </row>
    <row r="61" spans="1:25">
      <c r="A61" t="s">
        <v>3524</v>
      </c>
      <c r="B61" t="s">
        <v>3667</v>
      </c>
      <c r="C61" s="3468">
        <v>43258</v>
      </c>
      <c r="D61">
        <v>168.89</v>
      </c>
      <c r="E61">
        <v>2531999</v>
      </c>
      <c r="F61" t="s">
        <v>3668</v>
      </c>
      <c r="G61" t="s">
        <v>3570</v>
      </c>
      <c r="H61" t="s">
        <v>3528</v>
      </c>
      <c r="I61" t="s">
        <v>3535</v>
      </c>
      <c r="J61" t="s">
        <v>3530</v>
      </c>
      <c r="K61" t="s">
        <v>3531</v>
      </c>
      <c r="L61">
        <v>14992.000710521643</v>
      </c>
      <c r="N61" t="s">
        <v>3524</v>
      </c>
      <c r="O61" t="s">
        <v>3804</v>
      </c>
      <c r="P61" s="3468">
        <v>43251</v>
      </c>
      <c r="Q61">
        <v>235.52</v>
      </c>
      <c r="R61">
        <v>4546471</v>
      </c>
      <c r="S61" t="s">
        <v>3805</v>
      </c>
      <c r="T61" t="s">
        <v>3738</v>
      </c>
      <c r="U61" t="s">
        <v>3552</v>
      </c>
      <c r="V61" t="s">
        <v>3706</v>
      </c>
      <c r="W61" t="s">
        <v>3675</v>
      </c>
      <c r="X61" t="s">
        <v>3531</v>
      </c>
      <c r="Y61">
        <v>19303.969938858696</v>
      </c>
    </row>
    <row r="62" spans="1:25">
      <c r="A62" t="s">
        <v>3524</v>
      </c>
      <c r="B62" t="s">
        <v>3669</v>
      </c>
      <c r="C62" s="3468">
        <v>43220</v>
      </c>
      <c r="D62">
        <v>168.89</v>
      </c>
      <c r="E62">
        <v>2481332</v>
      </c>
      <c r="F62" t="s">
        <v>3670</v>
      </c>
      <c r="G62" t="s">
        <v>3616</v>
      </c>
      <c r="H62" t="s">
        <v>3545</v>
      </c>
      <c r="I62" t="s">
        <v>3541</v>
      </c>
      <c r="J62" t="s">
        <v>3530</v>
      </c>
      <c r="K62" t="s">
        <v>3531</v>
      </c>
      <c r="L62">
        <v>14692.000710521643</v>
      </c>
      <c r="N62" t="s">
        <v>3524</v>
      </c>
      <c r="O62" t="s">
        <v>3806</v>
      </c>
      <c r="P62" s="3468">
        <v>43249</v>
      </c>
      <c r="Q62">
        <v>235.52</v>
      </c>
      <c r="R62">
        <v>4946855</v>
      </c>
      <c r="S62" t="s">
        <v>3807</v>
      </c>
      <c r="T62" t="s">
        <v>3741</v>
      </c>
      <c r="U62" t="s">
        <v>3552</v>
      </c>
      <c r="V62" t="s">
        <v>3706</v>
      </c>
      <c r="W62" t="s">
        <v>3675</v>
      </c>
      <c r="X62" t="s">
        <v>3531</v>
      </c>
      <c r="Y62">
        <v>21003.969938858696</v>
      </c>
    </row>
    <row r="63" spans="1:25">
      <c r="N63" t="s">
        <v>3524</v>
      </c>
      <c r="O63" t="s">
        <v>3808</v>
      </c>
      <c r="P63" s="3468">
        <v>43189</v>
      </c>
      <c r="Q63">
        <v>304.58</v>
      </c>
      <c r="R63">
        <v>6341965</v>
      </c>
      <c r="S63" t="s">
        <v>3809</v>
      </c>
      <c r="T63" t="s">
        <v>3709</v>
      </c>
      <c r="U63" t="s">
        <v>3552</v>
      </c>
      <c r="V63" t="s">
        <v>3529</v>
      </c>
      <c r="W63" t="s">
        <v>3675</v>
      </c>
      <c r="X63" t="s">
        <v>3531</v>
      </c>
      <c r="Y63">
        <v>20822.000787970323</v>
      </c>
    </row>
    <row r="64" spans="1:25">
      <c r="A64" s="3469"/>
      <c r="B64" s="3469"/>
      <c r="C64" s="3470"/>
      <c r="D64" s="3469">
        <f>SUM(D2:D63)</f>
        <v>9271.5299999999988</v>
      </c>
      <c r="E64" s="3469">
        <f>SUM(E2:E63)</f>
        <v>148697961</v>
      </c>
      <c r="F64" s="3469"/>
      <c r="G64" s="3469"/>
      <c r="H64" s="3469"/>
      <c r="I64" s="3469"/>
      <c r="J64" s="3469"/>
      <c r="K64" s="3469"/>
      <c r="L64" s="3471">
        <f>ROUND(E64/D64,0)</f>
        <v>16038</v>
      </c>
      <c r="N64" t="s">
        <v>3524</v>
      </c>
      <c r="O64" t="s">
        <v>3810</v>
      </c>
      <c r="P64" s="3468">
        <v>43218</v>
      </c>
      <c r="Q64">
        <v>304.56</v>
      </c>
      <c r="R64">
        <v>6859300</v>
      </c>
      <c r="S64" t="s">
        <v>3811</v>
      </c>
      <c r="T64" t="s">
        <v>3712</v>
      </c>
      <c r="U64" t="s">
        <v>3552</v>
      </c>
      <c r="V64" t="s">
        <v>3529</v>
      </c>
      <c r="W64" t="s">
        <v>3675</v>
      </c>
      <c r="X64" t="s">
        <v>3531</v>
      </c>
      <c r="Y64">
        <v>22521.998949303914</v>
      </c>
    </row>
    <row r="65" spans="14:25">
      <c r="N65" t="s">
        <v>3524</v>
      </c>
      <c r="O65" t="s">
        <v>3812</v>
      </c>
      <c r="P65" s="3468">
        <v>43218</v>
      </c>
      <c r="Q65">
        <v>304.56</v>
      </c>
      <c r="R65">
        <v>6493828</v>
      </c>
      <c r="S65" t="s">
        <v>3811</v>
      </c>
      <c r="T65" t="s">
        <v>3715</v>
      </c>
      <c r="U65" t="s">
        <v>3552</v>
      </c>
      <c r="V65" t="s">
        <v>3529</v>
      </c>
      <c r="W65" t="s">
        <v>3675</v>
      </c>
      <c r="X65" t="s">
        <v>3531</v>
      </c>
      <c r="Y65">
        <v>21321.998949303914</v>
      </c>
    </row>
    <row r="67" spans="14:25">
      <c r="N67" s="3469"/>
      <c r="O67" s="3469"/>
      <c r="P67" s="3470"/>
      <c r="Q67" s="3469">
        <f>SUM(Q2:Q66)</f>
        <v>13074.320000000012</v>
      </c>
      <c r="R67" s="3469">
        <f>SUM(R2:R66)</f>
        <v>248673107</v>
      </c>
      <c r="S67" s="3469"/>
      <c r="T67" s="3469"/>
      <c r="U67" s="3469"/>
      <c r="V67" s="3469"/>
      <c r="W67" s="3469"/>
      <c r="X67" s="3469"/>
      <c r="Y67" s="3471">
        <f>ROUND(R67/Q67,0)</f>
        <v>19020</v>
      </c>
    </row>
  </sheetData>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9" sqref="E2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2994</v>
      </c>
      <c r="D1" s="3124" t="s">
        <v>3189</v>
      </c>
      <c r="E1" s="2385" t="s">
        <v>2374</v>
      </c>
      <c r="F1" s="2386">
        <f ca="1">J53</f>
        <v>38.47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5374</v>
      </c>
      <c r="C2" s="2055"/>
      <c r="D2" s="2053"/>
      <c r="E2" s="2054"/>
      <c r="F2" s="2054"/>
      <c r="G2" s="1587"/>
      <c r="H2" s="2055"/>
      <c r="I2" s="2055"/>
      <c r="J2" s="2055"/>
      <c r="K2" s="2056"/>
      <c r="L2" s="2055"/>
      <c r="M2" s="2055"/>
    </row>
    <row r="3" spans="1:33" ht="18" customHeight="1" thickBot="1">
      <c r="A3" s="832" t="s">
        <v>1728</v>
      </c>
      <c r="B3" s="833">
        <f ca="1">IF(ISERROR(B2*10000/F43),0,ROUND(B2*10000/F43,0))</f>
        <v>14377</v>
      </c>
      <c r="C3" s="2055"/>
      <c r="D3" s="2053"/>
      <c r="E3" s="2054"/>
      <c r="F3" s="2054"/>
      <c r="G3" s="1587"/>
      <c r="H3" s="775" t="s">
        <v>695</v>
      </c>
      <c r="I3" s="1361"/>
      <c r="J3" s="1361"/>
      <c r="K3" s="1588"/>
      <c r="L3" s="1361"/>
      <c r="M3" s="1361"/>
    </row>
    <row r="4" spans="1:33" ht="18" customHeight="1">
      <c r="A4" s="776" t="s">
        <v>1729</v>
      </c>
      <c r="B4" s="777" t="s">
        <v>1730</v>
      </c>
      <c r="C4" s="777" t="s">
        <v>1731</v>
      </c>
      <c r="D4" s="777" t="s">
        <v>633</v>
      </c>
      <c r="E4" s="778" t="s">
        <v>1732</v>
      </c>
      <c r="F4" s="779"/>
      <c r="G4" s="1589"/>
      <c r="H4" s="776" t="s">
        <v>1733</v>
      </c>
      <c r="I4" s="777" t="s">
        <v>1734</v>
      </c>
      <c r="J4" s="777" t="s">
        <v>1735</v>
      </c>
      <c r="K4" s="777" t="s">
        <v>1736</v>
      </c>
      <c r="L4" s="778" t="s">
        <v>1737</v>
      </c>
      <c r="M4" s="779"/>
    </row>
    <row r="5" spans="1:33" ht="18" customHeight="1">
      <c r="A5" s="780">
        <v>1</v>
      </c>
      <c r="B5" s="781" t="s">
        <v>2458</v>
      </c>
      <c r="C5" s="55">
        <f ca="1">C6+C10+C12</f>
        <v>307</v>
      </c>
      <c r="D5" s="2494" t="s">
        <v>2461</v>
      </c>
      <c r="E5" s="2488"/>
      <c r="F5" s="2489"/>
      <c r="G5" s="1589"/>
      <c r="H5" s="780">
        <v>1</v>
      </c>
      <c r="I5" s="781" t="s">
        <v>2458</v>
      </c>
      <c r="J5" s="55">
        <f ca="1">J6+J10+J12</f>
        <v>0</v>
      </c>
      <c r="K5" s="2494" t="s">
        <v>2461</v>
      </c>
      <c r="L5" s="2488"/>
      <c r="M5" s="2489"/>
    </row>
    <row r="6" spans="1:33" ht="18" customHeight="1">
      <c r="A6" s="1828" t="s">
        <v>1825</v>
      </c>
      <c r="B6" s="3732" t="s">
        <v>2463</v>
      </c>
      <c r="C6" s="782">
        <f ca="1">ROUND(F6*F8*F7*(1-F9)/10000,0)</f>
        <v>307</v>
      </c>
      <c r="D6" s="2495" t="s">
        <v>2462</v>
      </c>
      <c r="E6" s="783" t="s">
        <v>1739</v>
      </c>
      <c r="F6" s="784">
        <f ca="1">INDIRECT("'数据-取费表'!u"&amp;$G$1)</f>
        <v>2.5</v>
      </c>
      <c r="G6" s="1589"/>
      <c r="H6" s="2502" t="s">
        <v>2468</v>
      </c>
      <c r="I6" s="3732" t="s">
        <v>2463</v>
      </c>
      <c r="J6" s="782">
        <f ca="1">ROUND(M6*M8*M7*(1-M9)/10000,0)</f>
        <v>0</v>
      </c>
      <c r="K6" s="340" t="s">
        <v>1738</v>
      </c>
      <c r="L6" s="783" t="s">
        <v>1739</v>
      </c>
      <c r="M6" s="784">
        <f ca="1">INDIRECT("'数据-取费表'!z"&amp;$G$1)</f>
        <v>0</v>
      </c>
    </row>
    <row r="7" spans="1:33" ht="18" customHeight="1">
      <c r="A7" s="2498"/>
      <c r="B7" s="3733"/>
      <c r="C7" s="787"/>
      <c r="D7" s="788"/>
      <c r="E7" s="783" t="s">
        <v>1740</v>
      </c>
      <c r="F7" s="784">
        <f ca="1">IF(INDIRECT("'数据-取费表'!ah"&amp;$G$1)="",INDIRECT("'数据-取费表'!k"&amp;$G$1),INDIRECT("'数据-取费表'!ah"&amp;$G$1))</f>
        <v>3738</v>
      </c>
      <c r="G7" s="1589"/>
      <c r="H7" s="2487"/>
      <c r="I7" s="3733"/>
      <c r="J7" s="787"/>
      <c r="K7" s="788"/>
      <c r="L7" s="783" t="s">
        <v>1740</v>
      </c>
      <c r="M7" s="784">
        <f ca="1">F7</f>
        <v>3738</v>
      </c>
    </row>
    <row r="8" spans="1:33" ht="18" customHeight="1">
      <c r="A8" s="2491"/>
      <c r="B8" s="3734"/>
      <c r="C8" s="787"/>
      <c r="D8" s="788"/>
      <c r="E8" s="783" t="s">
        <v>1741</v>
      </c>
      <c r="F8" s="784">
        <f ca="1">INDIRECT("'数据-取费表'!ai"&amp;$G$1)</f>
        <v>365</v>
      </c>
      <c r="G8" s="1589"/>
      <c r="H8" s="2487"/>
      <c r="I8" s="3734"/>
      <c r="J8" s="787"/>
      <c r="K8" s="788"/>
      <c r="L8" s="783" t="s">
        <v>1741</v>
      </c>
      <c r="M8" s="784">
        <f ca="1">INDIRECT("'数据-取费表'!ai"&amp;$G$1)</f>
        <v>365</v>
      </c>
    </row>
    <row r="9" spans="1:33" ht="18" customHeight="1">
      <c r="A9" s="785"/>
      <c r="B9" s="3735"/>
      <c r="C9" s="787"/>
      <c r="D9" s="788"/>
      <c r="E9" s="783" t="s">
        <v>1742</v>
      </c>
      <c r="F9" s="793">
        <f ca="1">INDIRECT("'数据-取费表'!w"&amp;$G$1)</f>
        <v>0.1</v>
      </c>
      <c r="G9" s="1589"/>
      <c r="H9" s="2503"/>
      <c r="I9" s="3734"/>
      <c r="J9" s="787"/>
      <c r="K9" s="788"/>
      <c r="L9" s="794" t="s">
        <v>1742</v>
      </c>
      <c r="M9" s="795">
        <f ca="1">INDIRECT("'数据-取费表'!ab"&amp;$G$1)</f>
        <v>0</v>
      </c>
    </row>
    <row r="10" spans="1:33" ht="18" customHeight="1">
      <c r="A10" s="1828" t="s">
        <v>2466</v>
      </c>
      <c r="B10" s="2492" t="s">
        <v>2459</v>
      </c>
      <c r="C10" s="798">
        <f ca="1">ROUND(IF(F10="押一",C6/12*F11,IF(F10="押二",C6/12*2*F11,IF(F10="押三",C6/12*3*F11,C11*F11))),0)</f>
        <v>0</v>
      </c>
      <c r="D10" s="2499" t="s">
        <v>2975</v>
      </c>
      <c r="E10" s="2496" t="s">
        <v>2464</v>
      </c>
      <c r="F10" s="2619"/>
      <c r="G10" s="1589"/>
      <c r="H10" s="2559" t="s">
        <v>2469</v>
      </c>
      <c r="I10" s="2564" t="s">
        <v>2459</v>
      </c>
      <c r="J10" s="782">
        <f ca="1">ROUND(IF(M10="押一",J6/12*M11,IF(M10="押二",J6/12*2*M11,IF(M10="押三",J6/12*3*M11,J11*M11))),0)</f>
        <v>0</v>
      </c>
      <c r="K10" s="2499" t="s">
        <v>2975</v>
      </c>
      <c r="L10" s="2496" t="s">
        <v>2464</v>
      </c>
      <c r="M10" s="2619"/>
    </row>
    <row r="11" spans="1:33" ht="18" customHeight="1">
      <c r="A11" s="789"/>
      <c r="B11" s="2493" t="s">
        <v>2573</v>
      </c>
      <c r="C11" s="2497"/>
      <c r="D11" s="788"/>
      <c r="E11" s="2496" t="s">
        <v>2465</v>
      </c>
      <c r="F11" s="795">
        <f ca="1">'数据-取费表'!B39</f>
        <v>1.4999999999999999E-2</v>
      </c>
      <c r="G11" s="1589"/>
      <c r="H11" s="2560"/>
      <c r="I11" s="2493" t="s">
        <v>2573</v>
      </c>
      <c r="J11" s="2497"/>
      <c r="K11" s="2561"/>
      <c r="L11" s="2496" t="s">
        <v>2465</v>
      </c>
      <c r="M11" s="2490">
        <f ca="1">'数据-取费表'!B39</f>
        <v>1.4999999999999999E-2</v>
      </c>
    </row>
    <row r="12" spans="1:33" ht="18" customHeight="1" thickBot="1">
      <c r="A12" s="2535" t="s">
        <v>2467</v>
      </c>
      <c r="B12" s="2536" t="s">
        <v>2460</v>
      </c>
      <c r="C12" s="2537"/>
      <c r="D12" s="2538"/>
      <c r="E12" s="2539"/>
      <c r="F12" s="2540"/>
      <c r="G12" s="1589"/>
      <c r="H12" s="2549" t="s">
        <v>2470</v>
      </c>
      <c r="I12" s="2562" t="s">
        <v>2460</v>
      </c>
      <c r="J12" s="2563"/>
      <c r="K12" s="2538"/>
      <c r="L12" s="2539"/>
      <c r="M12" s="2552"/>
    </row>
    <row r="13" spans="1:33" ht="18" customHeight="1" thickTop="1">
      <c r="A13" s="1827">
        <v>2</v>
      </c>
      <c r="B13" s="1825" t="s">
        <v>1743</v>
      </c>
      <c r="C13" s="791">
        <f ca="1">ROUND(C29*F13,0)</f>
        <v>1598</v>
      </c>
      <c r="D13" s="1832" t="s">
        <v>2297</v>
      </c>
      <c r="E13" s="1832" t="s">
        <v>1745</v>
      </c>
      <c r="F13" s="2534">
        <f ca="1">INDIRECT("'数据-取费表'!y"&amp;$G$1)</f>
        <v>1</v>
      </c>
      <c r="G13" s="1589"/>
      <c r="H13" s="1827">
        <v>2</v>
      </c>
      <c r="I13" s="1825" t="s">
        <v>1743</v>
      </c>
      <c r="J13" s="1817">
        <f ca="1">ROUND(J14*J15,0)</f>
        <v>0</v>
      </c>
      <c r="K13" s="1819" t="s">
        <v>1744</v>
      </c>
      <c r="L13" s="2550"/>
      <c r="M13" s="2551"/>
    </row>
    <row r="14" spans="1:33" ht="18" customHeight="1">
      <c r="A14" s="1645" t="s">
        <v>1885</v>
      </c>
      <c r="B14" s="783" t="s">
        <v>645</v>
      </c>
      <c r="C14" s="803">
        <f ca="1">INDIRECT("'数据-取费表'!m"&amp;$G$1)+INDIRECT("'数据-取费表'!t"&amp;$G$1)</f>
        <v>1051</v>
      </c>
      <c r="D14" s="1977" t="s">
        <v>1746</v>
      </c>
      <c r="E14" s="1978"/>
      <c r="F14" s="804"/>
      <c r="G14" s="1589"/>
      <c r="H14" s="1646" t="s">
        <v>1831</v>
      </c>
      <c r="I14" s="2229" t="s">
        <v>2825</v>
      </c>
      <c r="J14" s="53">
        <f ca="1">C29</f>
        <v>1598</v>
      </c>
      <c r="K14" s="26"/>
      <c r="L14" s="800"/>
      <c r="M14" s="801"/>
    </row>
    <row r="15" spans="1:33" s="2062" customFormat="1" ht="18" customHeight="1" thickBot="1">
      <c r="A15" s="1645" t="s">
        <v>1886</v>
      </c>
      <c r="B15" s="783" t="s">
        <v>647</v>
      </c>
      <c r="C15" s="53">
        <f ca="1">ROUND(C14*F15,0)</f>
        <v>32</v>
      </c>
      <c r="D15" s="805" t="s">
        <v>1747</v>
      </c>
      <c r="E15" s="805" t="s">
        <v>1748</v>
      </c>
      <c r="F15" s="806">
        <f>'数据-取费表'!B33</f>
        <v>0.03</v>
      </c>
      <c r="G15" s="1590"/>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3" t="s">
        <v>650</v>
      </c>
      <c r="C16" s="53">
        <f ca="1">ROUND(INDIRECT("'数据-取费表'!m"&amp;$G$1)*F16,0)</f>
        <v>0</v>
      </c>
      <c r="D16" s="783" t="s">
        <v>1747</v>
      </c>
      <c r="E16" s="783" t="s">
        <v>1748</v>
      </c>
      <c r="F16" s="808">
        <f ca="1">IF(INDIRECT("'数据-取费表'!c"&amp;$G$1)="住宅",'数据-取费表'!B34,0)</f>
        <v>0</v>
      </c>
      <c r="G16" s="1589"/>
      <c r="H16" s="1827" t="s">
        <v>1749</v>
      </c>
      <c r="I16" s="1825" t="s">
        <v>1750</v>
      </c>
      <c r="J16" s="791">
        <f ca="1">ROUND(J17+J22+J23+J24,0)</f>
        <v>159</v>
      </c>
      <c r="K16" s="1819" t="s">
        <v>1751</v>
      </c>
      <c r="L16" s="2484"/>
      <c r="M16" s="2489"/>
    </row>
    <row r="17" spans="1:33" s="2062" customFormat="1" ht="18" customHeight="1">
      <c r="A17" s="1645" t="s">
        <v>1888</v>
      </c>
      <c r="B17" s="783" t="s">
        <v>653</v>
      </c>
      <c r="C17" s="53">
        <f ca="1">ROUND(F17*(F43+INDIRECT("'数据-取费表'!S"&amp;$G$1))/10000,0)</f>
        <v>85</v>
      </c>
      <c r="D17" s="783" t="s">
        <v>1752</v>
      </c>
      <c r="E17" s="783" t="s">
        <v>1753</v>
      </c>
      <c r="F17" s="56">
        <f>'数据-取费表'!B35</f>
        <v>200</v>
      </c>
      <c r="G17" s="1590"/>
      <c r="H17" s="1646" t="s">
        <v>1831</v>
      </c>
      <c r="I17" s="783" t="s">
        <v>656</v>
      </c>
      <c r="J17" s="53">
        <f ca="1">ROUND(IF(项目基本情况!B11="自然人",J5*M17,J18+J19+J20),0)</f>
        <v>135</v>
      </c>
      <c r="K17" s="2483" t="s">
        <v>1754</v>
      </c>
      <c r="L17" s="2482"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3" t="s">
        <v>659</v>
      </c>
      <c r="C18" s="53">
        <f ca="1">ROUND(C14*F18,0)</f>
        <v>16</v>
      </c>
      <c r="D18" s="783" t="s">
        <v>1747</v>
      </c>
      <c r="E18" s="783" t="s">
        <v>1748</v>
      </c>
      <c r="F18" s="808">
        <f>'数据-取费表'!B36</f>
        <v>1.4999999999999999E-2</v>
      </c>
      <c r="G18" s="1590"/>
      <c r="H18" s="1645" t="s">
        <v>1885</v>
      </c>
      <c r="I18" s="783" t="s">
        <v>1756</v>
      </c>
      <c r="J18" s="53">
        <f ca="1">ROUND(J5*M18/1.05,1)</f>
        <v>0</v>
      </c>
      <c r="K18" s="2482" t="s">
        <v>1757</v>
      </c>
      <c r="L18" s="783" t="s">
        <v>1748</v>
      </c>
      <c r="M18" s="808">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3" t="s">
        <v>662</v>
      </c>
      <c r="C19" s="53">
        <f ca="1">SUM(C14:C18)</f>
        <v>1184</v>
      </c>
      <c r="D19" s="260" t="s">
        <v>1758</v>
      </c>
      <c r="E19" s="1980"/>
      <c r="F19" s="56"/>
      <c r="G19" s="1589"/>
      <c r="H19" s="1645" t="s">
        <v>1886</v>
      </c>
      <c r="I19" s="783" t="s">
        <v>1759</v>
      </c>
      <c r="J19" s="53">
        <f ca="1">IF(K19="按租金收入计税",ROUND(J5*M19,1),ROUND(C29*F33*0.7,1))</f>
        <v>134.19999999999999</v>
      </c>
      <c r="K19" s="810" t="s">
        <v>665</v>
      </c>
      <c r="L19" s="783" t="s">
        <v>1748</v>
      </c>
      <c r="M19" s="808">
        <f>IF(K19="按租金收入计税",'数据-取费表'!B51,'数据-取费表'!B50)</f>
        <v>1.2E-2</v>
      </c>
    </row>
    <row r="20" spans="1:33" s="2062" customFormat="1" ht="18" customHeight="1">
      <c r="A20" s="1646" t="s">
        <v>1890</v>
      </c>
      <c r="B20" s="783" t="s">
        <v>666</v>
      </c>
      <c r="C20" s="53">
        <f ca="1">ROUND(C19*F20,0)</f>
        <v>24</v>
      </c>
      <c r="D20" s="811" t="s">
        <v>1760</v>
      </c>
      <c r="E20" s="783" t="s">
        <v>1748</v>
      </c>
      <c r="F20" s="808">
        <f>'数据-取费表'!B37</f>
        <v>0.02</v>
      </c>
      <c r="G20" s="1590"/>
      <c r="H20" s="1648" t="s">
        <v>1881</v>
      </c>
      <c r="I20" s="340" t="s">
        <v>1761</v>
      </c>
      <c r="J20" s="54">
        <f ca="1">ROUND(M20*M21/10000,0)</f>
        <v>1</v>
      </c>
      <c r="K20" s="813" t="s">
        <v>1762</v>
      </c>
      <c r="L20" s="783" t="s">
        <v>1763</v>
      </c>
      <c r="M20" s="639">
        <f>'数据-取费表'!B52</f>
        <v>7</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3" t="s">
        <v>1764</v>
      </c>
      <c r="C21" s="53" t="s">
        <v>1765</v>
      </c>
      <c r="D21" s="811" t="s">
        <v>2298</v>
      </c>
      <c r="E21" s="783" t="s">
        <v>1766</v>
      </c>
      <c r="F21" s="808">
        <f>'数据-取费表'!B38</f>
        <v>0.01</v>
      </c>
      <c r="G21" s="1590"/>
      <c r="H21" s="2504"/>
      <c r="I21" s="792"/>
      <c r="J21" s="69"/>
      <c r="K21" s="815"/>
      <c r="L21" s="783" t="s">
        <v>1767</v>
      </c>
      <c r="M21" s="784">
        <f ca="1">INDIRECT("'数据-取费表'!r"&amp;$G$1)</f>
        <v>1712.8100000000002</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3" t="s">
        <v>1768</v>
      </c>
      <c r="C22" s="53"/>
      <c r="D22" s="2570" t="str">
        <f>IF(F23&lt;=1,"单利计息。","复利计息。")&amp;"建造成本、管理费用、销售费用产生的利息。"</f>
        <v>复利计息。建造成本、管理费用、销售费用产生的利息。</v>
      </c>
      <c r="E22" s="1980"/>
      <c r="F22" s="56"/>
      <c r="G22" s="1589"/>
      <c r="H22" s="1646" t="s">
        <v>1890</v>
      </c>
      <c r="I22" s="783" t="s">
        <v>1769</v>
      </c>
      <c r="J22" s="53">
        <f ca="1">ROUND(J14*M22,0)</f>
        <v>24</v>
      </c>
      <c r="K22" s="2482" t="s">
        <v>1770</v>
      </c>
      <c r="L22" s="783" t="s">
        <v>1748</v>
      </c>
      <c r="M22" s="816">
        <f ca="1">INDIRECT("'数据-取费表'!Ak"&amp;$G$1)</f>
        <v>1.4999999999999999E-2</v>
      </c>
    </row>
    <row r="23" spans="1:33" s="2062" customFormat="1" ht="18" customHeight="1">
      <c r="A23" s="1645" t="s">
        <v>1832</v>
      </c>
      <c r="B23" s="783" t="s">
        <v>2535</v>
      </c>
      <c r="C23" s="53">
        <f ca="1">ROUND(IF('数据-取费表'!B22&lt;=1,(C19+C20)*F24*F23/2,(C19+C20)*(POWER((1+F24),F23/2)-1)),0)</f>
        <v>43</v>
      </c>
      <c r="D23" s="2569"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2482"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3" t="s">
        <v>1773</v>
      </c>
      <c r="C24" s="53">
        <f ca="1">ROUND(IF('数据-取费表'!B22&lt;=1,F21*F24*F23/2,F21*(POWER((1+F24),F23/2)-1)),4)</f>
        <v>4.0000000000000002E-4</v>
      </c>
      <c r="D24" s="2569" t="str">
        <f>IF(F23&lt;=1,"销售费用×利率×(建设周期÷2)","销售费用×((1+利率)^(建设周期÷2)-1)")</f>
        <v>销售费用×((1+利率)^(建设周期÷2)-1)</v>
      </c>
      <c r="E24" s="783" t="s">
        <v>1774</v>
      </c>
      <c r="F24" s="818">
        <f ca="1">'数据-取费表'!B40</f>
        <v>4.7500000000000001E-2</v>
      </c>
      <c r="G24" s="1590"/>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3" t="s">
        <v>684</v>
      </c>
      <c r="C25" s="53"/>
      <c r="D25" s="260" t="s">
        <v>1776</v>
      </c>
      <c r="E25" s="1980"/>
      <c r="F25" s="56"/>
      <c r="G25" s="1589"/>
      <c r="H25" s="1827" t="s">
        <v>1777</v>
      </c>
      <c r="I25" s="3008" t="s">
        <v>2821</v>
      </c>
      <c r="J25" s="791">
        <f ca="1">J5-J16</f>
        <v>-159</v>
      </c>
      <c r="K25" s="2546" t="s">
        <v>1778</v>
      </c>
      <c r="L25" s="2547"/>
      <c r="M25" s="2548"/>
    </row>
    <row r="26" spans="1:33" ht="18" customHeight="1">
      <c r="A26" s="1645" t="s">
        <v>1832</v>
      </c>
      <c r="B26" s="783" t="s">
        <v>2438</v>
      </c>
      <c r="C26" s="53">
        <f ca="1">ROUND((C19+C20)*F26,0)</f>
        <v>242</v>
      </c>
      <c r="D26" s="811" t="s">
        <v>1779</v>
      </c>
      <c r="E26" s="794" t="s">
        <v>1780</v>
      </c>
      <c r="F26" s="793">
        <f ca="1">INDIRECT("'数据-取费表'!q"&amp;$G$1)</f>
        <v>0.2</v>
      </c>
      <c r="G26" s="1589"/>
      <c r="H26" s="2500" t="s">
        <v>1781</v>
      </c>
      <c r="I26" s="2230" t="s">
        <v>2826</v>
      </c>
      <c r="J26" s="782">
        <f ca="1">IF(J5&lt;&gt;0,ROUND(J25*(1-((1+M28)/(1+M26))^M27)/(M26-M28),0),0)</f>
        <v>0</v>
      </c>
      <c r="K26" s="813" t="s">
        <v>1782</v>
      </c>
      <c r="L26" s="783" t="s">
        <v>2419</v>
      </c>
      <c r="M26" s="793">
        <f ca="1">INDIRECT("'数据-取费表'!I"&amp;$G$1)</f>
        <v>5.5E-2</v>
      </c>
    </row>
    <row r="27" spans="1:33" ht="18" customHeight="1">
      <c r="A27" s="1645" t="s">
        <v>1833</v>
      </c>
      <c r="B27" s="783" t="s">
        <v>686</v>
      </c>
      <c r="C27" s="53">
        <f ca="1">ROUND(F21*F26,4)</f>
        <v>2E-3</v>
      </c>
      <c r="D27" s="811" t="s">
        <v>1783</v>
      </c>
      <c r="E27" s="805"/>
      <c r="F27" s="806"/>
      <c r="G27" s="1589"/>
      <c r="H27" s="2501"/>
      <c r="I27" s="786"/>
      <c r="J27" s="787"/>
      <c r="K27" s="820" t="s">
        <v>1784</v>
      </c>
      <c r="L27" s="783" t="s">
        <v>1785</v>
      </c>
      <c r="M27" s="821">
        <f ca="1">INDIRECT("'数据-取费表'!ag"&amp;$G$1)</f>
        <v>0</v>
      </c>
    </row>
    <row r="28" spans="1:33" s="2062" customFormat="1" ht="18" customHeight="1">
      <c r="A28" s="1647" t="s">
        <v>1842</v>
      </c>
      <c r="B28" s="783" t="s">
        <v>687</v>
      </c>
      <c r="C28" s="53">
        <f>ROUND(F28/(1+'数据-取费表'!C42),4)</f>
        <v>5.33E-2</v>
      </c>
      <c r="D28" s="811" t="s">
        <v>2299</v>
      </c>
      <c r="E28" s="783" t="s">
        <v>1786</v>
      </c>
      <c r="F28" s="808">
        <f>'数据-取费表'!B41</f>
        <v>5.6000000000000001E-2</v>
      </c>
      <c r="G28" s="1590"/>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1598</v>
      </c>
      <c r="D29" s="2543"/>
      <c r="E29" s="2544"/>
      <c r="F29" s="2545"/>
      <c r="G29" s="1590"/>
      <c r="H29" s="822" t="s">
        <v>1788</v>
      </c>
      <c r="I29" s="823" t="s">
        <v>1789</v>
      </c>
      <c r="J29" s="824">
        <f ca="1">ROUND(J26/(1+F40)^F41,0)</f>
        <v>0</v>
      </c>
      <c r="K29" s="825" t="s">
        <v>1790</v>
      </c>
      <c r="L29" s="826"/>
      <c r="M29" s="827">
        <f ca="1">INDIRECT("'数据-取费表'!k"&amp;$G$1)</f>
        <v>3738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84</v>
      </c>
      <c r="D30" s="1819" t="s">
        <v>1792</v>
      </c>
      <c r="E30" s="2484"/>
      <c r="F30" s="2489"/>
      <c r="G30" s="2060"/>
      <c r="H30" s="2063"/>
      <c r="I30" s="2064"/>
      <c r="J30" s="2065"/>
      <c r="K30" s="2066"/>
      <c r="L30" s="2067"/>
      <c r="M30" s="2068"/>
    </row>
    <row r="31" spans="1:33" ht="18" customHeight="1">
      <c r="A31" s="1646" t="s">
        <v>1831</v>
      </c>
      <c r="B31" s="783" t="s">
        <v>656</v>
      </c>
      <c r="C31" s="53">
        <f ca="1">ROUND(IF(项目基本情况!B11="自然人",C5*F31,C32+C33+C34),1)</f>
        <v>54.4</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3" t="s">
        <v>1795</v>
      </c>
      <c r="C32" s="53">
        <f ca="1">ROUND(C5*F32/1.05,1)</f>
        <v>16.399999999999999</v>
      </c>
      <c r="D32" s="1975" t="s">
        <v>1796</v>
      </c>
      <c r="E32" s="783" t="s">
        <v>1797</v>
      </c>
      <c r="F32" s="808">
        <f>'数据-取费表'!B41</f>
        <v>5.6000000000000001E-2</v>
      </c>
      <c r="G32" s="2060"/>
      <c r="H32" s="2069"/>
      <c r="I32" s="2070"/>
      <c r="J32" s="2071"/>
      <c r="K32" s="2072"/>
      <c r="L32" s="2073"/>
      <c r="M32" s="2074"/>
    </row>
    <row r="33" spans="1:18" ht="18" customHeight="1">
      <c r="A33" s="1645" t="s">
        <v>1833</v>
      </c>
      <c r="B33" s="783" t="s">
        <v>1798</v>
      </c>
      <c r="C33" s="53">
        <f ca="1">IF(D33="按租金收入计税",ROUND(C5*F33,1),IF(D33="按房产原值计税",ROUND(C29*F33*0.7,1),INDIRECT("'数据-取费表'!Aj"&amp;$G$1)))</f>
        <v>36.799999999999997</v>
      </c>
      <c r="D33" s="810" t="s">
        <v>3188</v>
      </c>
      <c r="E33" s="783" t="s">
        <v>1797</v>
      </c>
      <c r="F33" s="808">
        <f>IF(D33="按租金收入计税",'数据-取费表'!B51,'数据-取费表'!B50)</f>
        <v>0.12</v>
      </c>
      <c r="G33" s="2060"/>
      <c r="H33" s="2075"/>
      <c r="I33" s="2075"/>
      <c r="J33" s="2075"/>
      <c r="K33" s="2076"/>
      <c r="L33" s="2075"/>
      <c r="M33" s="2075"/>
    </row>
    <row r="34" spans="1:18" ht="18" customHeight="1">
      <c r="A34" s="1648" t="s">
        <v>1834</v>
      </c>
      <c r="B34" s="340" t="s">
        <v>1799</v>
      </c>
      <c r="C34" s="54">
        <f ca="1">ROUND(F34*F35/10000,1)</f>
        <v>1.2</v>
      </c>
      <c r="D34" s="813" t="s">
        <v>1800</v>
      </c>
      <c r="E34" s="783" t="s">
        <v>1801</v>
      </c>
      <c r="F34" s="639">
        <f>'数据-取费表'!B52</f>
        <v>7</v>
      </c>
      <c r="G34" s="2060"/>
      <c r="H34" s="2063"/>
      <c r="I34" s="834" t="s">
        <v>1814</v>
      </c>
      <c r="J34" s="835"/>
      <c r="K34" s="2078"/>
      <c r="L34" s="2077"/>
      <c r="M34" s="2077"/>
    </row>
    <row r="35" spans="1:18" ht="18" customHeight="1">
      <c r="A35" s="814"/>
      <c r="B35" s="792"/>
      <c r="C35" s="69"/>
      <c r="D35" s="815"/>
      <c r="E35" s="783" t="s">
        <v>1802</v>
      </c>
      <c r="F35" s="784">
        <f ca="1">INDIRECT("'数据-取费表'!r"&amp;$G$1)</f>
        <v>1712.8100000000002</v>
      </c>
      <c r="G35" s="2060"/>
      <c r="H35" s="2063"/>
      <c r="I35" s="836" t="s">
        <v>1815</v>
      </c>
      <c r="J35" s="837">
        <f ca="1">ROUND(C13*J36,0)</f>
        <v>136</v>
      </c>
      <c r="K35" s="2076"/>
      <c r="L35" s="2075"/>
      <c r="M35" s="2075"/>
    </row>
    <row r="36" spans="1:18" ht="18" customHeight="1">
      <c r="A36" s="1646" t="s">
        <v>1890</v>
      </c>
      <c r="B36" s="783" t="s">
        <v>1803</v>
      </c>
      <c r="C36" s="53">
        <f ca="1">ROUND(C29*F36,1)</f>
        <v>24</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6" t="s">
        <v>1891</v>
      </c>
      <c r="B37" s="783" t="s">
        <v>679</v>
      </c>
      <c r="C37" s="53">
        <f ca="1">ROUND(C13*F37,1)</f>
        <v>2.4</v>
      </c>
      <c r="D37" s="1975"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3.1</v>
      </c>
      <c r="D38" s="2543" t="s">
        <v>1806</v>
      </c>
      <c r="E38" s="2544" t="s">
        <v>1797</v>
      </c>
      <c r="F38" s="2540">
        <f ca="1">INDIRECT("'数据-取费表'!Am"&amp;$G$1)</f>
        <v>0.01</v>
      </c>
      <c r="G38" s="2060"/>
      <c r="H38" s="2075"/>
      <c r="I38" s="842" t="s">
        <v>1818</v>
      </c>
      <c r="J38" s="843"/>
      <c r="K38" s="2081"/>
      <c r="L38" s="2075"/>
      <c r="M38" s="2075"/>
    </row>
    <row r="39" spans="1:18" ht="24.6" customHeight="1" thickTop="1">
      <c r="A39" s="1827" t="s">
        <v>1895</v>
      </c>
      <c r="B39" s="3008" t="s">
        <v>2821</v>
      </c>
      <c r="C39" s="791">
        <f ca="1">C5-C30</f>
        <v>223</v>
      </c>
      <c r="D39" s="2546" t="s">
        <v>1807</v>
      </c>
      <c r="E39" s="2547"/>
      <c r="F39" s="2548"/>
      <c r="G39" s="2060"/>
      <c r="H39" s="2075"/>
      <c r="I39" s="836" t="s">
        <v>1819</v>
      </c>
      <c r="J39" s="844">
        <f ca="1">ROUND(J35/C39,3)</f>
        <v>0.61</v>
      </c>
      <c r="K39" s="2081"/>
      <c r="L39" s="2075"/>
      <c r="M39" s="2075"/>
    </row>
    <row r="40" spans="1:18" ht="18" customHeight="1">
      <c r="A40" s="780" t="s">
        <v>1896</v>
      </c>
      <c r="B40" s="2230" t="s">
        <v>2301</v>
      </c>
      <c r="C40" s="782">
        <f ca="1">ROUND(C39*(1-((1+F42)/(1+F40))^F41)/(F40-F42),0)</f>
        <v>5374</v>
      </c>
      <c r="D40" s="813" t="s">
        <v>1808</v>
      </c>
      <c r="E40" s="783" t="s">
        <v>2419</v>
      </c>
      <c r="F40" s="793">
        <f ca="1">INDIRECT("'数据-取费表'!I"&amp;$G$1)</f>
        <v>5.5E-2</v>
      </c>
      <c r="G40" s="2060"/>
      <c r="H40" s="2060"/>
      <c r="I40" s="836" t="s">
        <v>1820</v>
      </c>
      <c r="J40" s="844">
        <f ca="1">1-J39</f>
        <v>0.39</v>
      </c>
      <c r="K40" s="2081"/>
      <c r="L40" s="2060"/>
      <c r="M40" s="2060"/>
    </row>
    <row r="41" spans="1:18" ht="18" customHeight="1">
      <c r="A41" s="785"/>
      <c r="B41" s="786"/>
      <c r="C41" s="787"/>
      <c r="D41" s="820" t="s">
        <v>1809</v>
      </c>
      <c r="E41" s="783" t="s">
        <v>2965</v>
      </c>
      <c r="F41" s="821">
        <f ca="1">IF(INDIRECT("'数据-取费表'!af"&amp;$G$1)=0,INDIRECT("'数据-取费表'!ae"&amp;$G$1),INDIRECT("'数据-取费表'!af"&amp;$G$1))</f>
        <v>38.47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0.29699999999999999</v>
      </c>
      <c r="K42" s="2080"/>
      <c r="L42" s="1986"/>
      <c r="M42" s="1986"/>
    </row>
    <row r="43" spans="1:18" ht="18" customHeight="1" thickBot="1">
      <c r="A43" s="822" t="s">
        <v>1788</v>
      </c>
      <c r="B43" s="823" t="s">
        <v>1811</v>
      </c>
      <c r="C43" s="824">
        <f ca="1">ROUND(C40*10000/F43,0)</f>
        <v>14377</v>
      </c>
      <c r="D43" s="825" t="s">
        <v>1812</v>
      </c>
      <c r="E43" s="826" t="s">
        <v>1813</v>
      </c>
      <c r="F43" s="827">
        <f ca="1">INDIRECT("'数据-取费表'!k"&amp;$G$1)</f>
        <v>3738</v>
      </c>
      <c r="G43" s="2060"/>
      <c r="H43" s="1986"/>
      <c r="I43" s="846" t="s">
        <v>1823</v>
      </c>
      <c r="J43" s="847">
        <f ca="1">1-J42</f>
        <v>0.70300000000000007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-5818</v>
      </c>
      <c r="D46" s="2083"/>
      <c r="E46" s="2083"/>
      <c r="F46" s="2083"/>
      <c r="I46" s="2376" t="s">
        <v>2343</v>
      </c>
      <c r="J46" s="2377"/>
      <c r="K46" s="2378"/>
      <c r="L46" s="3159">
        <f>IF(OR(M47="住宅",D1="土地（套用方法）"),0,IF(L48&gt;J51,L60,J60))</f>
        <v>0</v>
      </c>
      <c r="O46" s="2392" t="s">
        <v>2410</v>
      </c>
      <c r="P46" s="1589"/>
      <c r="Q46" s="1601"/>
      <c r="R46" s="1589"/>
    </row>
    <row r="47" spans="1:18" s="2057" customFormat="1" ht="18" customHeight="1" thickBot="1">
      <c r="A47" s="2370">
        <v>1</v>
      </c>
      <c r="B47" s="2371" t="s">
        <v>635</v>
      </c>
      <c r="C47" s="2572">
        <f ca="1">C48+C52+C54</f>
        <v>0</v>
      </c>
      <c r="D47" s="2083"/>
      <c r="E47" s="2083"/>
      <c r="F47" s="2083"/>
      <c r="I47" s="3149" t="s">
        <v>2344</v>
      </c>
      <c r="J47" s="2379" t="s">
        <v>3187</v>
      </c>
      <c r="K47" s="3156" t="s">
        <v>2349</v>
      </c>
      <c r="L47" s="3160">
        <f ca="1">INDIRECT("'数据-取费表'!d"&amp;$G$1)</f>
        <v>40</v>
      </c>
      <c r="M47" s="1601" t="str">
        <f>IF(ISNUMBER(FIND("住宅",C1)),"住宅","非住宅")</f>
        <v>非住宅</v>
      </c>
      <c r="O47" s="2393" t="s">
        <v>2375</v>
      </c>
      <c r="P47" s="2394" t="s">
        <v>2376</v>
      </c>
      <c r="Q47" s="2395" t="s">
        <v>2377</v>
      </c>
      <c r="R47" s="2394" t="s">
        <v>2378</v>
      </c>
    </row>
    <row r="48" spans="1:18" s="2057" customFormat="1" ht="18" customHeight="1" thickBot="1">
      <c r="A48" s="2640" t="s">
        <v>2537</v>
      </c>
      <c r="B48" s="2641" t="s">
        <v>2538</v>
      </c>
      <c r="C48" s="2372">
        <f ca="1">ROUND(F48*F50*F49*(1-F51)/10000,0)</f>
        <v>0</v>
      </c>
      <c r="D48" s="2373" t="s">
        <v>636</v>
      </c>
      <c r="E48" s="2374" t="s">
        <v>2296</v>
      </c>
      <c r="F48" s="2375"/>
      <c r="G48" s="2088"/>
      <c r="I48" s="3125" t="s">
        <v>2345</v>
      </c>
      <c r="J48" s="2380" t="s">
        <v>2350</v>
      </c>
      <c r="K48" s="3157" t="s">
        <v>2351</v>
      </c>
      <c r="L48" s="1906">
        <f ca="1">INDIRECT("'数据-取费表'!f"&amp;$G$1)</f>
        <v>39.97</v>
      </c>
      <c r="O48" s="2396" t="s">
        <v>2379</v>
      </c>
      <c r="P48" s="2397" t="s">
        <v>2405</v>
      </c>
      <c r="Q48" s="2398">
        <f ca="1">C40+J29</f>
        <v>5374</v>
      </c>
      <c r="R48" s="2397" t="s">
        <v>2380</v>
      </c>
    </row>
    <row r="49" spans="1:18" s="2057" customFormat="1" ht="18" customHeight="1" thickBot="1">
      <c r="A49" s="785"/>
      <c r="B49" s="786"/>
      <c r="C49" s="787"/>
      <c r="D49" s="788"/>
      <c r="E49" s="783" t="s">
        <v>1740</v>
      </c>
      <c r="F49" s="784">
        <f ca="1">F7</f>
        <v>3738</v>
      </c>
      <c r="G49" s="2088"/>
      <c r="H49" s="2091"/>
      <c r="I49" s="3125" t="s">
        <v>2346</v>
      </c>
      <c r="J49" s="2381"/>
      <c r="K49" s="3158" t="s">
        <v>2352</v>
      </c>
      <c r="L49" s="2382"/>
      <c r="O49" s="2396" t="s">
        <v>2381</v>
      </c>
      <c r="P49" s="2397" t="s">
        <v>2406</v>
      </c>
      <c r="Q49" s="2398">
        <f ca="1">J60</f>
        <v>639</v>
      </c>
      <c r="R49" s="2397" t="s">
        <v>2382</v>
      </c>
    </row>
    <row r="50" spans="1:18" s="2057" customFormat="1" ht="18" customHeight="1" thickBot="1">
      <c r="A50" s="785"/>
      <c r="B50" s="786"/>
      <c r="C50" s="787"/>
      <c r="D50" s="788"/>
      <c r="E50" s="783" t="s">
        <v>1741</v>
      </c>
      <c r="F50" s="784">
        <f ca="1">F8</f>
        <v>365</v>
      </c>
      <c r="G50" s="2093"/>
      <c r="H50" s="2091"/>
      <c r="I50" s="3125" t="s">
        <v>2347</v>
      </c>
      <c r="J50" s="3153">
        <f>SUMPRODUCT((I63:I65=J47)*(J62:L62=J48)*(J63:L65))</f>
        <v>60</v>
      </c>
      <c r="K50" s="3158" t="s">
        <v>2353</v>
      </c>
      <c r="L50" s="2382"/>
      <c r="O50" s="2399" t="s">
        <v>2383</v>
      </c>
      <c r="P50" s="2397" t="s">
        <v>2407</v>
      </c>
      <c r="Q50" s="2398">
        <f ca="1">C29</f>
        <v>1598</v>
      </c>
      <c r="R50" s="2397" t="s">
        <v>2380</v>
      </c>
    </row>
    <row r="51" spans="1:18" s="2057" customFormat="1" ht="18" customHeight="1" thickBot="1">
      <c r="A51" s="785"/>
      <c r="B51" s="786"/>
      <c r="C51" s="787"/>
      <c r="D51" s="788"/>
      <c r="E51" s="783" t="s">
        <v>640</v>
      </c>
      <c r="F51" s="2369"/>
      <c r="H51" s="2091"/>
      <c r="I51" s="3150" t="s">
        <v>2348</v>
      </c>
      <c r="J51" s="3154">
        <f>IF(J49="",J50,J49+J50-YEAR('数据-取费表'!B2))</f>
        <v>60</v>
      </c>
      <c r="K51" s="3125" t="s">
        <v>2354</v>
      </c>
      <c r="L51" s="3161">
        <f ca="1">ROUND(-PV(INDIRECT("'数据-取费表'!h"&amp;$G$1),L48,(C39-C13*J36),0),0)</f>
        <v>1495</v>
      </c>
      <c r="O51" s="2399" t="s">
        <v>2384</v>
      </c>
      <c r="P51" s="2397" t="s">
        <v>2385</v>
      </c>
      <c r="Q51" s="2400">
        <f ca="1">J58</f>
        <v>0.4</v>
      </c>
      <c r="R51" s="2401"/>
    </row>
    <row r="52" spans="1:18" s="2057" customFormat="1" ht="18" customHeight="1" thickBot="1">
      <c r="A52" s="780" t="s">
        <v>2536</v>
      </c>
      <c r="B52" s="2492" t="s">
        <v>2459</v>
      </c>
      <c r="C52" s="798">
        <f ca="1">ROUND(IF(F52="押一",C48/12*F11,IF(F52="押二",C48/12*2*F11,IF(F52="押三",C48/12*3*F11,C53*F11))),0)</f>
        <v>0</v>
      </c>
      <c r="D52" s="2499" t="s">
        <v>2976</v>
      </c>
      <c r="E52" s="2496" t="s">
        <v>2464</v>
      </c>
      <c r="F52" s="2619"/>
      <c r="I52" s="3151" t="s">
        <v>2421</v>
      </c>
      <c r="J52" s="2383"/>
      <c r="K52" s="3151" t="s">
        <v>2420</v>
      </c>
      <c r="L52" s="2383"/>
      <c r="O52" s="2399" t="s">
        <v>2386</v>
      </c>
      <c r="P52" s="2397" t="s">
        <v>2387</v>
      </c>
      <c r="Q52" s="2400">
        <f>J52</f>
        <v>0</v>
      </c>
      <c r="R52" s="2401"/>
    </row>
    <row r="53" spans="1:18" s="2057" customFormat="1" ht="39.75" customHeight="1" thickBot="1">
      <c r="A53" s="785"/>
      <c r="B53" s="2493" t="s">
        <v>2573</v>
      </c>
      <c r="C53" s="2497"/>
      <c r="D53" s="2499"/>
      <c r="E53" s="2496"/>
      <c r="F53" s="799"/>
      <c r="I53" s="3152" t="s">
        <v>2980</v>
      </c>
      <c r="J53" s="3155">
        <f ca="1">IF(M47="住宅",IF(D1="——",MAX(J51,L48),MAX(J51,L48-'数据-取费表'!B20)),IF(D1="——",MIN(J51,L48),MIN(J51,L48-'数据-取费表'!B20)))</f>
        <v>38.47</v>
      </c>
      <c r="K53" s="3766" t="s">
        <v>2967</v>
      </c>
      <c r="L53" s="3767"/>
      <c r="O53" s="2399" t="s">
        <v>2388</v>
      </c>
      <c r="P53" s="2397" t="s">
        <v>2389</v>
      </c>
      <c r="Q53" s="2398">
        <f ca="1">J53</f>
        <v>38.47</v>
      </c>
      <c r="R53" s="2397" t="s">
        <v>2390</v>
      </c>
    </row>
    <row r="54" spans="1:18" s="2057" customFormat="1" ht="18" customHeight="1" thickBot="1">
      <c r="A54" s="2535" t="s">
        <v>2467</v>
      </c>
      <c r="B54" s="2536" t="s">
        <v>2460</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6013</v>
      </c>
      <c r="R54" s="2401" t="s">
        <v>2392</v>
      </c>
    </row>
    <row r="55" spans="1:18" s="2057" customFormat="1" ht="18" customHeight="1" thickTop="1" thickBot="1">
      <c r="A55" s="796">
        <v>2</v>
      </c>
      <c r="B55" s="797" t="s">
        <v>644</v>
      </c>
      <c r="C55" s="798">
        <f ca="1">C13</f>
        <v>1598</v>
      </c>
      <c r="D55" s="794"/>
      <c r="E55" s="794"/>
      <c r="F55" s="799"/>
      <c r="I55" s="3164" t="s">
        <v>2355</v>
      </c>
      <c r="J55" s="3100">
        <f ca="1">ROUND(IF(J47="钢混",J57/J50,1-(1-2%)*(J50-J57)/J50),3)</f>
        <v>0.33400000000000002</v>
      </c>
      <c r="K55" s="3165" t="s">
        <v>2356</v>
      </c>
      <c r="L55" s="2384"/>
      <c r="O55" s="2402" t="s">
        <v>2411</v>
      </c>
      <c r="P55" s="1589"/>
      <c r="Q55" s="1601"/>
      <c r="R55" s="1589"/>
    </row>
    <row r="56" spans="1:18" s="2057" customFormat="1" ht="42.75" customHeight="1" thickBot="1">
      <c r="A56" s="1647"/>
      <c r="B56" s="2229" t="s">
        <v>2302</v>
      </c>
      <c r="C56" s="53">
        <f ca="1">C29</f>
        <v>1598</v>
      </c>
      <c r="D56" s="2637"/>
      <c r="E56" s="783"/>
      <c r="F56" s="808"/>
      <c r="I56" s="3166" t="s">
        <v>2357</v>
      </c>
      <c r="J56" s="3176" t="s">
        <v>2998</v>
      </c>
      <c r="K56" s="3125" t="s">
        <v>2362</v>
      </c>
      <c r="L56" s="1906" t="str">
        <f ca="1">IF(L48&lt;J51,"——",L48-J51)</f>
        <v>——</v>
      </c>
      <c r="O56" s="2393" t="s">
        <v>2375</v>
      </c>
      <c r="P56" s="2394" t="s">
        <v>2376</v>
      </c>
      <c r="Q56" s="2395" t="s">
        <v>2377</v>
      </c>
      <c r="R56" s="2394" t="s">
        <v>2378</v>
      </c>
    </row>
    <row r="57" spans="1:18" s="2057" customFormat="1" ht="28.5" customHeight="1" thickBot="1">
      <c r="A57" s="796" t="s">
        <v>1749</v>
      </c>
      <c r="B57" s="797" t="s">
        <v>651</v>
      </c>
      <c r="C57" s="798">
        <f ca="1">ROUND(C58+C63+C64+C65,0)</f>
        <v>28</v>
      </c>
      <c r="D57" s="26" t="s">
        <v>1751</v>
      </c>
      <c r="E57" s="2638"/>
      <c r="F57" s="56"/>
      <c r="I57" s="3167" t="s">
        <v>2358</v>
      </c>
      <c r="J57" s="3168">
        <f ca="1">IF(OR(M47="住宅",J51&lt;L48,J56="是"),"——",J51-L48)</f>
        <v>20.03</v>
      </c>
      <c r="K57" s="3125" t="s">
        <v>2363</v>
      </c>
      <c r="L57" s="1906" t="str">
        <f ca="1">IF(L48&lt;J51,"——",IF(L55="比较法",L49,IF(L55="基准地价",L50,L51)))</f>
        <v>——</v>
      </c>
      <c r="O57" s="2396" t="s">
        <v>2379</v>
      </c>
      <c r="P57" s="2397" t="s">
        <v>2409</v>
      </c>
      <c r="Q57" s="2398">
        <f ca="1">C40+J29</f>
        <v>5374</v>
      </c>
      <c r="R57" s="2397" t="s">
        <v>2380</v>
      </c>
    </row>
    <row r="58" spans="1:18" s="2057" customFormat="1" ht="28.5" customHeight="1" thickBot="1">
      <c r="A58" s="1646" t="s">
        <v>1825</v>
      </c>
      <c r="B58" s="783" t="s">
        <v>656</v>
      </c>
      <c r="C58" s="53">
        <f ca="1">ROUND(IF(项目基本情况!B11="自然人",C47*F58,C59+C60+C61),1)</f>
        <v>1.2</v>
      </c>
      <c r="D58" s="2636" t="s">
        <v>657</v>
      </c>
      <c r="E58" s="2637" t="s">
        <v>690</v>
      </c>
      <c r="F58" s="809" t="str">
        <f ca="1">IF(项目基本情况!B11="企业","",IF(INDIRECT("'数据-取费表'!c"&amp;$G$1)="住宅",5%,IF(F48*F49*F50/12/(1+'数据-取费表'!C42)&gt;20000,12%,7%)))</f>
        <v/>
      </c>
      <c r="I58" s="3167" t="s">
        <v>2359</v>
      </c>
      <c r="J58" s="3101">
        <f ca="1">IF(J55&lt;0.4,0.4,J55)</f>
        <v>0.4</v>
      </c>
      <c r="K58" s="3125" t="s">
        <v>2364</v>
      </c>
      <c r="L58" s="1906" t="e">
        <f ca="1">ROUND(POWER(1+L52,L47-L48)*(POWER(1+L52,L48)-1)/(POWER(1+L52,L47)-1),4)</f>
        <v>#DIV/0!</v>
      </c>
      <c r="O58" s="2396" t="s">
        <v>2381</v>
      </c>
      <c r="P58" s="2397" t="s">
        <v>2412</v>
      </c>
      <c r="Q58" s="2398">
        <f ca="1">L60</f>
        <v>0</v>
      </c>
      <c r="R58" s="2401" t="s">
        <v>2414</v>
      </c>
    </row>
    <row r="59" spans="1:18" s="2057" customFormat="1" ht="28.5" customHeight="1" thickBot="1">
      <c r="A59" s="1645" t="s">
        <v>1832</v>
      </c>
      <c r="B59" s="783" t="s">
        <v>660</v>
      </c>
      <c r="C59" s="53">
        <f ca="1">ROUND(C47*F59/1.05,1)</f>
        <v>0</v>
      </c>
      <c r="D59" s="2637" t="s">
        <v>1757</v>
      </c>
      <c r="E59" s="783" t="s">
        <v>1748</v>
      </c>
      <c r="F59" s="808">
        <f t="shared" ref="F59:F65" si="0">F32</f>
        <v>5.6000000000000001E-2</v>
      </c>
      <c r="I59" s="3167" t="s">
        <v>2360</v>
      </c>
      <c r="J59" s="3168">
        <f ca="1">IF(OR(M47="住宅",J51&lt;L48,J56="是"),"——",ROUND(C29*J58,0))</f>
        <v>639</v>
      </c>
      <c r="K59" s="3125"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5" t="s">
        <v>1833</v>
      </c>
      <c r="B60" s="783" t="s">
        <v>1759</v>
      </c>
      <c r="C60" s="53">
        <f ca="1">IF(D60="按租金收入计税",ROUND(C47*F60,1),IF(D60="按房产原值计税",ROUND(C56*F60*0.7,1),INDIRECT("'数据-取费表'!Aj"&amp;$G$1)))</f>
        <v>0</v>
      </c>
      <c r="D60" s="2637" t="str">
        <f>D33</f>
        <v>按租金收入计税</v>
      </c>
      <c r="E60" s="783" t="s">
        <v>1748</v>
      </c>
      <c r="F60" s="808">
        <f t="shared" si="0"/>
        <v>0.12</v>
      </c>
      <c r="I60" s="3169" t="s">
        <v>2361</v>
      </c>
      <c r="J60" s="3170">
        <f ca="1">IF(OR(M47="住宅",J51&lt;L48,J56="是"),"0",ROUND(J59/(1+J52)^J53,0))</f>
        <v>639</v>
      </c>
      <c r="K60" s="3171" t="s">
        <v>2366</v>
      </c>
      <c r="L60" s="3170">
        <f ca="1">IF(OR(M47="住宅",L48&lt;J51),0,ROUND(L57*(L58/L59-1),0))</f>
        <v>0</v>
      </c>
      <c r="O60" s="2399" t="s">
        <v>2384</v>
      </c>
      <c r="P60" s="2397" t="s">
        <v>2393</v>
      </c>
      <c r="Q60" s="2400">
        <f>L52</f>
        <v>0</v>
      </c>
      <c r="R60" s="2401"/>
    </row>
    <row r="61" spans="1:18" s="2057" customFormat="1" ht="18" customHeight="1" thickBot="1">
      <c r="A61" s="1648" t="s">
        <v>1834</v>
      </c>
      <c r="B61" s="340" t="s">
        <v>668</v>
      </c>
      <c r="C61" s="54">
        <f ca="1">ROUND(F61*F62/10000,1)</f>
        <v>1.2</v>
      </c>
      <c r="D61" s="813" t="s">
        <v>669</v>
      </c>
      <c r="E61" s="783" t="s">
        <v>670</v>
      </c>
      <c r="F61" s="639">
        <f t="shared" si="0"/>
        <v>7</v>
      </c>
      <c r="K61" s="2084"/>
      <c r="O61" s="2399" t="s">
        <v>2386</v>
      </c>
      <c r="P61" s="2397" t="s">
        <v>2394</v>
      </c>
      <c r="Q61" s="2398" t="e">
        <f ca="1">L58</f>
        <v>#DIV/0!</v>
      </c>
      <c r="R61" s="2401" t="s">
        <v>2395</v>
      </c>
    </row>
    <row r="62" spans="1:18" s="2057" customFormat="1" ht="15.75" thickBot="1">
      <c r="A62" s="814"/>
      <c r="B62" s="792"/>
      <c r="C62" s="69"/>
      <c r="D62" s="815"/>
      <c r="E62" s="783" t="s">
        <v>674</v>
      </c>
      <c r="F62" s="784">
        <f t="shared" ca="1" si="0"/>
        <v>1712.8100000000002</v>
      </c>
      <c r="I62" s="3172" t="s">
        <v>2367</v>
      </c>
      <c r="J62" s="3173" t="s">
        <v>2368</v>
      </c>
      <c r="K62" s="3173" t="s">
        <v>2369</v>
      </c>
      <c r="L62" s="3173" t="s">
        <v>2350</v>
      </c>
      <c r="M62" s="3174" t="s">
        <v>2943</v>
      </c>
      <c r="O62" s="2399" t="s">
        <v>2388</v>
      </c>
      <c r="P62" s="2397" t="str">
        <f>K59</f>
        <v>建设期及建筑物耐用年限下的土地年期修正系数Kn</v>
      </c>
      <c r="Q62" s="2398" t="e">
        <f ca="1">L59</f>
        <v>#DIV/0!</v>
      </c>
      <c r="R62" s="2401" t="s">
        <v>2397</v>
      </c>
    </row>
    <row r="63" spans="1:18" s="2057" customFormat="1" ht="15.75" thickBot="1">
      <c r="A63" s="1646" t="s">
        <v>1890</v>
      </c>
      <c r="B63" s="783" t="s">
        <v>676</v>
      </c>
      <c r="C63" s="53">
        <f ca="1">ROUND(C56*F63,1)</f>
        <v>24</v>
      </c>
      <c r="D63" s="2637" t="s">
        <v>1804</v>
      </c>
      <c r="E63" s="783" t="s">
        <v>1748</v>
      </c>
      <c r="F63" s="816">
        <f t="shared" ca="1" si="0"/>
        <v>1.4999999999999999E-2</v>
      </c>
      <c r="I63" s="3172" t="s">
        <v>2370</v>
      </c>
      <c r="J63" s="3173">
        <v>70</v>
      </c>
      <c r="K63" s="3173">
        <v>50</v>
      </c>
      <c r="L63" s="3173">
        <v>80</v>
      </c>
      <c r="M63" s="3175">
        <v>0.02</v>
      </c>
      <c r="O63" s="2396" t="s">
        <v>2391</v>
      </c>
      <c r="P63" s="2397" t="s">
        <v>2408</v>
      </c>
      <c r="Q63" s="2398">
        <f ca="1">Q57+Q58</f>
        <v>5374</v>
      </c>
      <c r="R63" s="2401" t="s">
        <v>2392</v>
      </c>
    </row>
    <row r="64" spans="1:18" s="2057" customFormat="1" ht="16.5" thickBot="1">
      <c r="A64" s="1646" t="s">
        <v>1891</v>
      </c>
      <c r="B64" s="783" t="s">
        <v>679</v>
      </c>
      <c r="C64" s="53">
        <f ca="1">ROUND(C55*F64,1)</f>
        <v>2.4</v>
      </c>
      <c r="D64" s="2637" t="s">
        <v>680</v>
      </c>
      <c r="E64" s="783" t="s">
        <v>1748</v>
      </c>
      <c r="F64" s="817">
        <f t="shared" ca="1" si="0"/>
        <v>1.5E-3</v>
      </c>
      <c r="I64" s="3172" t="s">
        <v>2371</v>
      </c>
      <c r="J64" s="3173">
        <v>50</v>
      </c>
      <c r="K64" s="3173">
        <v>35</v>
      </c>
      <c r="L64" s="3173">
        <v>60</v>
      </c>
      <c r="M64" s="845">
        <v>0</v>
      </c>
      <c r="O64" s="2402" t="s">
        <v>2415</v>
      </c>
      <c r="P64" s="1589"/>
      <c r="Q64" s="1601"/>
      <c r="R64" s="1589"/>
    </row>
    <row r="65" spans="1:18" s="2057" customFormat="1" ht="15.75" thickBot="1">
      <c r="A65" s="1646" t="s">
        <v>1892</v>
      </c>
      <c r="B65" s="783" t="s">
        <v>666</v>
      </c>
      <c r="C65" s="53">
        <f ca="1">ROUND(C47*F65,1)</f>
        <v>0</v>
      </c>
      <c r="D65" s="2637" t="s">
        <v>683</v>
      </c>
      <c r="E65" s="783" t="s">
        <v>1748</v>
      </c>
      <c r="F65" s="793">
        <f t="shared" ca="1" si="0"/>
        <v>0.01</v>
      </c>
      <c r="I65" s="3172" t="s">
        <v>2372</v>
      </c>
      <c r="J65" s="3173">
        <v>40</v>
      </c>
      <c r="K65" s="3173">
        <v>30</v>
      </c>
      <c r="L65" s="3173">
        <v>50</v>
      </c>
      <c r="M65" s="3175">
        <v>0.02</v>
      </c>
      <c r="O65" s="2393" t="s">
        <v>2375</v>
      </c>
      <c r="P65" s="2394" t="s">
        <v>2376</v>
      </c>
      <c r="Q65" s="2395" t="s">
        <v>2377</v>
      </c>
      <c r="R65" s="2394" t="s">
        <v>2378</v>
      </c>
    </row>
    <row r="66" spans="1:18" s="2057" customFormat="1" ht="24.75" thickBot="1">
      <c r="A66" s="796" t="s">
        <v>1777</v>
      </c>
      <c r="B66" s="3009" t="s">
        <v>2821</v>
      </c>
      <c r="C66" s="798">
        <f ca="1">C47-C57</f>
        <v>-28</v>
      </c>
      <c r="D66" s="2636" t="s">
        <v>700</v>
      </c>
      <c r="E66" s="2635"/>
      <c r="F66" s="819"/>
      <c r="K66" s="2084"/>
      <c r="O66" s="2396" t="s">
        <v>2379</v>
      </c>
      <c r="P66" s="2397" t="s">
        <v>2409</v>
      </c>
      <c r="Q66" s="2398">
        <f ca="1">C40+J29</f>
        <v>5374</v>
      </c>
      <c r="R66" s="2397" t="s">
        <v>2380</v>
      </c>
    </row>
    <row r="67" spans="1:18" s="2057" customFormat="1" ht="20.25" thickBot="1">
      <c r="A67" s="780" t="s">
        <v>1781</v>
      </c>
      <c r="B67" s="2230" t="s">
        <v>2301</v>
      </c>
      <c r="C67" s="782">
        <f ca="1">ROUND(C66*(1-((1+F69)/(1+F67))^F68)/(F67-F69),0)</f>
        <v>-444</v>
      </c>
      <c r="D67" s="813" t="s">
        <v>704</v>
      </c>
      <c r="E67" s="783" t="s">
        <v>705</v>
      </c>
      <c r="F67" s="793">
        <f ca="1">F40</f>
        <v>5.5E-2</v>
      </c>
      <c r="K67" s="2084"/>
      <c r="O67" s="2396" t="s">
        <v>2381</v>
      </c>
      <c r="P67" s="2397" t="s">
        <v>2412</v>
      </c>
      <c r="Q67" s="2398">
        <f ca="1">L60</f>
        <v>0</v>
      </c>
      <c r="R67" s="2401" t="s">
        <v>2414</v>
      </c>
    </row>
    <row r="68" spans="1:18" ht="21.75" thickBot="1">
      <c r="A68" s="785"/>
      <c r="B68" s="786"/>
      <c r="C68" s="787"/>
      <c r="D68" s="820" t="s">
        <v>1809</v>
      </c>
      <c r="E68" s="783" t="s">
        <v>1785</v>
      </c>
      <c r="F68" s="821">
        <f ca="1">F41</f>
        <v>38.47</v>
      </c>
      <c r="O68" s="2399" t="s">
        <v>2383</v>
      </c>
      <c r="P68" s="2397" t="s">
        <v>2413</v>
      </c>
      <c r="Q68" s="2403">
        <f ca="1">L51</f>
        <v>1495</v>
      </c>
      <c r="R68" s="2404" t="s">
        <v>2416</v>
      </c>
    </row>
    <row r="69" spans="1:18" ht="20.25" thickBot="1">
      <c r="A69" s="789"/>
      <c r="B69" s="790"/>
      <c r="C69" s="791"/>
      <c r="D69" s="815"/>
      <c r="E69" s="783" t="s">
        <v>710</v>
      </c>
      <c r="F69" s="2369"/>
      <c r="O69" s="2399" t="s">
        <v>2384</v>
      </c>
      <c r="P69" s="2405" t="s">
        <v>2398</v>
      </c>
      <c r="Q69" s="2398">
        <f ca="1">ROUND(Q70-Q71*Q72,0)</f>
        <v>87</v>
      </c>
      <c r="R69" s="2401"/>
    </row>
    <row r="70" spans="1:18" ht="15.75" thickBot="1">
      <c r="A70" s="822" t="s">
        <v>1788</v>
      </c>
      <c r="B70" s="823" t="s">
        <v>1811</v>
      </c>
      <c r="C70" s="824">
        <f ca="1">ROUND(C67*10000/F70,0)</f>
        <v>-1188</v>
      </c>
      <c r="D70" s="825" t="s">
        <v>1812</v>
      </c>
      <c r="E70" s="826" t="s">
        <v>1813</v>
      </c>
      <c r="F70" s="827">
        <f ca="1">F43</f>
        <v>3738</v>
      </c>
      <c r="O70" s="2399" t="s">
        <v>2399</v>
      </c>
      <c r="P70" s="2405" t="s">
        <v>2400</v>
      </c>
      <c r="Q70" s="2398">
        <f ca="1">C39</f>
        <v>223</v>
      </c>
      <c r="R70" s="2397" t="s">
        <v>2380</v>
      </c>
    </row>
    <row r="71" spans="1:18" ht="15.75" thickBot="1">
      <c r="O71" s="2399" t="s">
        <v>2401</v>
      </c>
      <c r="P71" s="2405" t="s">
        <v>2402</v>
      </c>
      <c r="Q71" s="2398">
        <f ca="1">C13</f>
        <v>1598</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5374</v>
      </c>
      <c r="R76" s="240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大业信托有限责任公司：</v>
      </c>
    </row>
    <row r="4" spans="1:4" ht="56.25">
      <c r="A4" s="1789"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92" t="s">
        <v>1906</v>
      </c>
    </row>
    <row r="6" spans="1:4" ht="150">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93.75">
      <c r="A7" s="2871" t="s">
        <v>2747</v>
      </c>
    </row>
    <row r="8" spans="1:4" ht="18.75">
      <c r="A8" s="1792" t="s">
        <v>1907</v>
      </c>
    </row>
    <row r="9" spans="1:4" ht="112.5">
      <c r="A9" s="1794"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2018年9月3日（评估专业人员勘察现场之日）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根据《国有土地使用证》[]，本次评估估价对象证载（地类）用途为其他普通商品住房、批发零售。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11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73" t="s">
        <v>2748</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784" t="s">
        <v>2471</v>
      </c>
      <c r="B1" s="3785"/>
      <c r="C1" s="3786"/>
      <c r="D1" s="3787">
        <f>SUM(I10,I15,I20,I21,I23)</f>
        <v>0</v>
      </c>
      <c r="E1" s="3787"/>
      <c r="F1" s="3787"/>
      <c r="G1" s="3787"/>
      <c r="H1" s="3787"/>
      <c r="I1" s="3788"/>
    </row>
    <row r="2" spans="1:9">
      <c r="A2" s="3774" t="s">
        <v>2472</v>
      </c>
      <c r="B2" s="3775" t="s">
        <v>2473</v>
      </c>
      <c r="C2" s="3775"/>
      <c r="D2" s="2505" t="s">
        <v>2474</v>
      </c>
      <c r="E2" s="2505" t="s">
        <v>2475</v>
      </c>
      <c r="F2" s="2505" t="s">
        <v>2476</v>
      </c>
      <c r="G2" s="2505" t="s">
        <v>2477</v>
      </c>
      <c r="H2" s="2505" t="s">
        <v>2478</v>
      </c>
      <c r="I2" s="2506" t="s">
        <v>2479</v>
      </c>
    </row>
    <row r="3" spans="1:9">
      <c r="A3" s="3774"/>
      <c r="B3" s="3775" t="s">
        <v>2480</v>
      </c>
      <c r="C3" s="3775"/>
      <c r="D3" s="2507"/>
      <c r="E3" s="2505"/>
      <c r="F3" s="2508"/>
      <c r="G3" s="2508"/>
      <c r="H3" s="2509"/>
      <c r="I3" s="2510">
        <f>ROUND(D3*E3*F3*G3*H3/10000,0)</f>
        <v>0</v>
      </c>
    </row>
    <row r="4" spans="1:9">
      <c r="A4" s="3774"/>
      <c r="B4" s="3775" t="s">
        <v>2481</v>
      </c>
      <c r="C4" s="3775"/>
      <c r="D4" s="2507"/>
      <c r="E4" s="2505"/>
      <c r="F4" s="2508"/>
      <c r="G4" s="2508"/>
      <c r="H4" s="2509"/>
      <c r="I4" s="2510">
        <f t="shared" ref="I4:I9" si="0">ROUND(D4*E4*F4*G4*H4/10000,0)</f>
        <v>0</v>
      </c>
    </row>
    <row r="5" spans="1:9">
      <c r="A5" s="3774"/>
      <c r="B5" s="3775" t="s">
        <v>2482</v>
      </c>
      <c r="C5" s="3775"/>
      <c r="D5" s="2507"/>
      <c r="E5" s="2505"/>
      <c r="F5" s="2508"/>
      <c r="G5" s="2508"/>
      <c r="H5" s="2509"/>
      <c r="I5" s="2510">
        <f t="shared" si="0"/>
        <v>0</v>
      </c>
    </row>
    <row r="6" spans="1:9">
      <c r="A6" s="3774"/>
      <c r="B6" s="3775" t="s">
        <v>2483</v>
      </c>
      <c r="C6" s="3775"/>
      <c r="D6" s="2507"/>
      <c r="E6" s="2505"/>
      <c r="F6" s="2508"/>
      <c r="G6" s="2508"/>
      <c r="H6" s="2509"/>
      <c r="I6" s="2510">
        <f t="shared" si="0"/>
        <v>0</v>
      </c>
    </row>
    <row r="7" spans="1:9">
      <c r="A7" s="3774"/>
      <c r="B7" s="3775" t="s">
        <v>2484</v>
      </c>
      <c r="C7" s="3775"/>
      <c r="D7" s="2507"/>
      <c r="E7" s="2505"/>
      <c r="F7" s="2508"/>
      <c r="G7" s="2508"/>
      <c r="H7" s="2509"/>
      <c r="I7" s="2510">
        <f t="shared" si="0"/>
        <v>0</v>
      </c>
    </row>
    <row r="8" spans="1:9">
      <c r="A8" s="3774"/>
      <c r="B8" s="3775" t="s">
        <v>2485</v>
      </c>
      <c r="C8" s="3775"/>
      <c r="D8" s="2507"/>
      <c r="E8" s="2505"/>
      <c r="F8" s="2508"/>
      <c r="G8" s="2508"/>
      <c r="H8" s="2509"/>
      <c r="I8" s="2510">
        <f t="shared" si="0"/>
        <v>0</v>
      </c>
    </row>
    <row r="9" spans="1:9">
      <c r="A9" s="3774"/>
      <c r="B9" s="3775" t="s">
        <v>2486</v>
      </c>
      <c r="C9" s="3775"/>
      <c r="D9" s="2507"/>
      <c r="E9" s="2505"/>
      <c r="F9" s="2508"/>
      <c r="G9" s="2508"/>
      <c r="H9" s="2509"/>
      <c r="I9" s="2510">
        <f t="shared" si="0"/>
        <v>0</v>
      </c>
    </row>
    <row r="10" spans="1:9">
      <c r="A10" s="3774"/>
      <c r="B10" s="3776" t="s">
        <v>2487</v>
      </c>
      <c r="C10" s="3776"/>
      <c r="D10" s="2511">
        <v>527</v>
      </c>
      <c r="E10" s="2511" t="e">
        <f>ROUND(D1*10000/D10/H9,0)</f>
        <v>#DIV/0!</v>
      </c>
      <c r="F10" s="2512"/>
      <c r="G10" s="2512"/>
      <c r="H10" s="2513"/>
      <c r="I10" s="2514">
        <f>SUM(I3:I9)</f>
        <v>0</v>
      </c>
    </row>
    <row r="11" spans="1:9" ht="14.25">
      <c r="A11" s="3774" t="s">
        <v>2488</v>
      </c>
      <c r="B11" s="3775" t="s">
        <v>2489</v>
      </c>
      <c r="C11" s="3775"/>
      <c r="D11" s="2507" t="s">
        <v>2490</v>
      </c>
      <c r="E11" s="2507" t="s">
        <v>2491</v>
      </c>
      <c r="F11" s="2508" t="s">
        <v>2492</v>
      </c>
      <c r="G11" s="2508" t="s">
        <v>2493</v>
      </c>
      <c r="H11" s="2515" t="s">
        <v>2494</v>
      </c>
      <c r="I11" s="2506" t="s">
        <v>2495</v>
      </c>
    </row>
    <row r="12" spans="1:9">
      <c r="A12" s="3774"/>
      <c r="B12" s="3775" t="s">
        <v>2496</v>
      </c>
      <c r="C12" s="3775"/>
      <c r="D12" s="2507"/>
      <c r="E12" s="2507"/>
      <c r="F12" s="2508"/>
      <c r="G12" s="2509"/>
      <c r="H12" s="2516"/>
      <c r="I12" s="2506">
        <f>ROUND(D12*E12*F12*G12/10000,0)</f>
        <v>0</v>
      </c>
    </row>
    <row r="13" spans="1:9">
      <c r="A13" s="3774"/>
      <c r="B13" s="3775" t="s">
        <v>2497</v>
      </c>
      <c r="C13" s="3775"/>
      <c r="D13" s="2507"/>
      <c r="E13" s="2507"/>
      <c r="F13" s="2508"/>
      <c r="G13" s="2509"/>
      <c r="H13" s="2516"/>
      <c r="I13" s="2506">
        <f>ROUND(D13*E13*F13*G13/10000,0)</f>
        <v>0</v>
      </c>
    </row>
    <row r="14" spans="1:9">
      <c r="A14" s="3774"/>
      <c r="B14" s="3775" t="s">
        <v>2498</v>
      </c>
      <c r="C14" s="3775"/>
      <c r="D14" s="2507"/>
      <c r="E14" s="2507"/>
      <c r="F14" s="2508"/>
      <c r="G14" s="2509"/>
      <c r="H14" s="2516"/>
      <c r="I14" s="2506">
        <f>ROUND(D14*E14*F14*G14/10000,0)</f>
        <v>0</v>
      </c>
    </row>
    <row r="15" spans="1:9">
      <c r="A15" s="3774"/>
      <c r="B15" s="3776" t="s">
        <v>2487</v>
      </c>
      <c r="C15" s="3776"/>
      <c r="D15" s="2511"/>
      <c r="E15" s="2511">
        <f>SUM(E12:E14)</f>
        <v>0</v>
      </c>
      <c r="F15" s="2512"/>
      <c r="G15" s="2509"/>
      <c r="H15" s="2516"/>
      <c r="I15" s="2517">
        <f>SUM(I12:I14)</f>
        <v>0</v>
      </c>
    </row>
    <row r="16" spans="1:9" ht="24">
      <c r="A16" s="3774" t="s">
        <v>2499</v>
      </c>
      <c r="B16" s="3775" t="s">
        <v>2500</v>
      </c>
      <c r="C16" s="3775"/>
      <c r="D16" s="2507" t="s">
        <v>2501</v>
      </c>
      <c r="E16" s="2518" t="s">
        <v>2502</v>
      </c>
      <c r="F16" s="2508" t="s">
        <v>2503</v>
      </c>
      <c r="G16" s="2509" t="s">
        <v>2493</v>
      </c>
      <c r="H16" s="2515" t="s">
        <v>2494</v>
      </c>
      <c r="I16" s="2506" t="s">
        <v>2495</v>
      </c>
    </row>
    <row r="17" spans="1:9" ht="14.25">
      <c r="A17" s="3774"/>
      <c r="B17" s="3775" t="s">
        <v>2504</v>
      </c>
      <c r="C17" s="3775"/>
      <c r="D17" s="2507"/>
      <c r="E17" s="2507"/>
      <c r="F17" s="2508"/>
      <c r="G17" s="2509"/>
      <c r="H17" s="2519"/>
      <c r="I17" s="2520">
        <f>ROUND(D17*E17*F17*G17/10000,0)</f>
        <v>0</v>
      </c>
    </row>
    <row r="18" spans="1:9" ht="14.25">
      <c r="A18" s="3774"/>
      <c r="B18" s="3775" t="s">
        <v>2505</v>
      </c>
      <c r="C18" s="3775"/>
      <c r="D18" s="2507"/>
      <c r="E18" s="2507"/>
      <c r="F18" s="2508"/>
      <c r="G18" s="2509"/>
      <c r="H18" s="2519"/>
      <c r="I18" s="2520">
        <f>ROUND(D18*E18*F18*G18/10000,0)</f>
        <v>0</v>
      </c>
    </row>
    <row r="19" spans="1:9" ht="14.25">
      <c r="A19" s="3774"/>
      <c r="B19" s="3775" t="s">
        <v>2506</v>
      </c>
      <c r="C19" s="3775"/>
      <c r="D19" s="2507"/>
      <c r="E19" s="2507"/>
      <c r="F19" s="2508"/>
      <c r="G19" s="2509"/>
      <c r="H19" s="2519"/>
      <c r="I19" s="2520">
        <f>ROUND(D19*E19*F19*G19/10000,0)</f>
        <v>0</v>
      </c>
    </row>
    <row r="20" spans="1:9">
      <c r="A20" s="3774"/>
      <c r="B20" s="3776" t="s">
        <v>2487</v>
      </c>
      <c r="C20" s="3776"/>
      <c r="D20" s="2511">
        <f>SUM(D17:D19)</f>
        <v>0</v>
      </c>
      <c r="E20" s="2511"/>
      <c r="F20" s="2512"/>
      <c r="G20" s="2509"/>
      <c r="H20" s="2516"/>
      <c r="I20" s="2517">
        <f>SUM(I17:I19)</f>
        <v>0</v>
      </c>
    </row>
    <row r="21" spans="1:9">
      <c r="A21" s="3774" t="s">
        <v>2507</v>
      </c>
      <c r="B21" s="3777"/>
      <c r="C21" s="3777"/>
      <c r="D21" s="3777"/>
      <c r="E21" s="3777"/>
      <c r="F21" s="3777"/>
      <c r="G21" s="3777"/>
      <c r="H21" s="2521">
        <v>0.1</v>
      </c>
      <c r="I21" s="2514">
        <f>ROUND(I10*H21,0)</f>
        <v>0</v>
      </c>
    </row>
    <row r="22" spans="1:9" ht="14.25">
      <c r="A22" s="3778" t="s">
        <v>2508</v>
      </c>
      <c r="B22" s="3779"/>
      <c r="C22" s="3780"/>
      <c r="D22" s="2522" t="s">
        <v>2509</v>
      </c>
      <c r="E22" s="2522" t="s">
        <v>2510</v>
      </c>
      <c r="F22" s="2523" t="s">
        <v>2511</v>
      </c>
      <c r="G22" s="2523" t="s">
        <v>2512</v>
      </c>
      <c r="H22" s="2515" t="s">
        <v>2513</v>
      </c>
      <c r="I22" s="2506" t="s">
        <v>2514</v>
      </c>
    </row>
    <row r="23" spans="1:9" ht="14.25" thickBot="1">
      <c r="A23" s="3781"/>
      <c r="B23" s="3782"/>
      <c r="C23" s="3783"/>
      <c r="D23" s="2524"/>
      <c r="E23" s="2524"/>
      <c r="F23" s="2524"/>
      <c r="G23" s="2525"/>
      <c r="H23" s="2526"/>
      <c r="I23" s="2527">
        <f>ROUND(E23*D23*F23*(1-G23)/10000,0)</f>
        <v>0</v>
      </c>
    </row>
    <row r="26" spans="1:9">
      <c r="A26" s="2528" t="s">
        <v>2515</v>
      </c>
      <c r="B26" s="2528"/>
      <c r="C26" s="2528"/>
      <c r="D26" s="2528"/>
      <c r="E26" s="3771">
        <f>C27-C30-C31-C32</f>
        <v>0</v>
      </c>
      <c r="F26" s="3771"/>
      <c r="G26" s="3771"/>
      <c r="H26" s="3042" t="s">
        <v>2842</v>
      </c>
    </row>
    <row r="27" spans="1:9">
      <c r="A27" s="2529">
        <v>1</v>
      </c>
      <c r="B27" s="2530" t="s">
        <v>2516</v>
      </c>
      <c r="C27" s="2530"/>
      <c r="D27" s="2530"/>
      <c r="E27" s="3772"/>
      <c r="F27" s="3772"/>
      <c r="G27" s="3772"/>
    </row>
    <row r="28" spans="1:9">
      <c r="A28" s="2531" t="s">
        <v>2517</v>
      </c>
      <c r="B28" s="2530" t="s">
        <v>2518</v>
      </c>
      <c r="C28" s="2530"/>
      <c r="D28" s="2530"/>
      <c r="E28" s="3772"/>
      <c r="F28" s="3772"/>
      <c r="G28" s="3772"/>
    </row>
    <row r="29" spans="1:9">
      <c r="A29" s="2531" t="s">
        <v>2519</v>
      </c>
      <c r="B29" s="2530" t="s">
        <v>2460</v>
      </c>
      <c r="C29" s="2530"/>
      <c r="D29" s="2530"/>
      <c r="E29" s="2530" t="s">
        <v>2520</v>
      </c>
      <c r="F29" s="2530"/>
      <c r="G29" s="2530"/>
    </row>
    <row r="30" spans="1:9">
      <c r="A30" s="2529">
        <v>2</v>
      </c>
      <c r="B30" s="2530" t="s">
        <v>2521</v>
      </c>
      <c r="C30" s="2530">
        <f>C27*D30</f>
        <v>0</v>
      </c>
      <c r="D30" s="2532">
        <v>0.2</v>
      </c>
      <c r="E30" s="2530" t="s">
        <v>2522</v>
      </c>
      <c r="F30" s="2530"/>
      <c r="G30" s="2530"/>
    </row>
    <row r="31" spans="1:9">
      <c r="A31" s="2529">
        <v>3</v>
      </c>
      <c r="B31" s="2530" t="s">
        <v>2523</v>
      </c>
      <c r="C31" s="2530">
        <f>C25*D31</f>
        <v>0</v>
      </c>
      <c r="D31" s="2532">
        <v>0.15</v>
      </c>
      <c r="E31" s="2530" t="s">
        <v>2524</v>
      </c>
      <c r="F31" s="2530"/>
      <c r="G31" s="2530"/>
    </row>
    <row r="32" spans="1:9">
      <c r="A32" s="2529">
        <v>4</v>
      </c>
      <c r="B32" s="2530" t="s">
        <v>2525</v>
      </c>
      <c r="C32" s="2530">
        <f>C27*D32</f>
        <v>0</v>
      </c>
      <c r="D32" s="2532">
        <v>0.05</v>
      </c>
      <c r="E32" s="3773"/>
      <c r="F32" s="3773"/>
      <c r="G32" s="3773"/>
    </row>
    <row r="33" spans="1:7" hidden="1">
      <c r="A33" s="3768" t="s">
        <v>2526</v>
      </c>
      <c r="B33" s="3769"/>
      <c r="C33" s="3769"/>
      <c r="D33" s="3770"/>
      <c r="E33" s="3771"/>
      <c r="F33" s="3771"/>
      <c r="G33" s="3771"/>
    </row>
    <row r="34" spans="1:7" hidden="1">
      <c r="A34" s="2533">
        <v>1</v>
      </c>
      <c r="B34" s="2530" t="s">
        <v>2527</v>
      </c>
      <c r="C34" s="2530"/>
      <c r="D34" s="2530"/>
      <c r="E34" s="3772"/>
      <c r="F34" s="3772"/>
      <c r="G34" s="3772"/>
    </row>
    <row r="35" spans="1:7" hidden="1">
      <c r="A35" s="2533">
        <v>2</v>
      </c>
      <c r="B35" s="2530" t="s">
        <v>2528</v>
      </c>
      <c r="C35" s="2530"/>
      <c r="D35" s="2530"/>
      <c r="E35" s="3772"/>
      <c r="F35" s="3772"/>
      <c r="G35" s="3772"/>
    </row>
    <row r="36" spans="1:7" hidden="1">
      <c r="A36" s="2533">
        <v>3</v>
      </c>
      <c r="B36" s="2530" t="s">
        <v>2529</v>
      </c>
      <c r="C36" s="2530"/>
      <c r="D36" s="2530"/>
      <c r="E36" s="3772"/>
      <c r="F36" s="3772"/>
      <c r="G36" s="3772"/>
    </row>
    <row r="37" spans="1:7" hidden="1">
      <c r="A37" s="2533">
        <v>4</v>
      </c>
      <c r="B37" s="2530" t="s">
        <v>2530</v>
      </c>
      <c r="C37" s="2530"/>
      <c r="D37" s="2530"/>
      <c r="E37" s="3772"/>
      <c r="F37" s="3772"/>
      <c r="G37" s="3772"/>
    </row>
    <row r="38" spans="1:7" hidden="1">
      <c r="A38" s="3768" t="s">
        <v>2531</v>
      </c>
      <c r="B38" s="3769"/>
      <c r="C38" s="3769"/>
      <c r="D38" s="3770"/>
      <c r="E38" s="3771"/>
      <c r="F38" s="3771"/>
      <c r="G38" s="37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6"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2440</v>
      </c>
      <c r="B8" s="2470" t="s">
        <v>2442</v>
      </c>
      <c r="C8" s="2471"/>
      <c r="D8" s="748"/>
      <c r="E8" s="749"/>
      <c r="F8" s="749"/>
      <c r="G8" s="750"/>
    </row>
    <row r="9" spans="1:25" s="2181" customFormat="1" ht="13.5" customHeight="1">
      <c r="A9" s="2467" t="s">
        <v>2441</v>
      </c>
      <c r="B9" s="2470" t="s">
        <v>2443</v>
      </c>
      <c r="C9" s="2471"/>
      <c r="D9" s="748"/>
      <c r="E9" s="749"/>
      <c r="F9" s="749"/>
      <c r="G9" s="750"/>
    </row>
    <row r="10" spans="1:25" s="2181" customFormat="1" ht="36">
      <c r="A10" s="2467">
        <v>2</v>
      </c>
      <c r="B10" s="747" t="s">
        <v>613</v>
      </c>
      <c r="C10" s="748">
        <f>C11+C14+C15</f>
        <v>0</v>
      </c>
      <c r="D10" s="759">
        <f>'数据-汇总表'!E3</f>
        <v>180792</v>
      </c>
      <c r="E10" s="748">
        <f>'数据-取费表'!B31</f>
        <v>180</v>
      </c>
      <c r="F10" s="760"/>
      <c r="G10" s="758" t="s">
        <v>614</v>
      </c>
    </row>
    <row r="11" spans="1:25" s="2181" customFormat="1" ht="13.5" customHeight="1">
      <c r="A11" s="2467" t="s">
        <v>2440</v>
      </c>
      <c r="B11" s="751" t="s">
        <v>610</v>
      </c>
      <c r="C11" s="752">
        <f>'数据-取费表'!B29</f>
        <v>0</v>
      </c>
      <c r="D11" s="753"/>
      <c r="E11" s="752"/>
      <c r="F11" s="754"/>
      <c r="G11" s="2476" t="s">
        <v>2451</v>
      </c>
    </row>
    <row r="12" spans="1:25" s="2181" customFormat="1" ht="13.5" customHeight="1">
      <c r="A12" s="2474" t="s">
        <v>2448</v>
      </c>
      <c r="B12" s="755" t="s">
        <v>611</v>
      </c>
      <c r="C12" s="756">
        <f>ROUND(D12*E12/10000,0)</f>
        <v>3672</v>
      </c>
      <c r="D12" s="757">
        <f>'数据-汇总表'!E5</f>
        <v>125323</v>
      </c>
      <c r="E12" s="756">
        <f>'数据-取费表'!B27</f>
        <v>293</v>
      </c>
      <c r="F12" s="754"/>
      <c r="G12" s="758"/>
    </row>
    <row r="13" spans="1:25" s="2181" customFormat="1" ht="13.5" customHeight="1">
      <c r="A13" s="2474" t="s">
        <v>2447</v>
      </c>
      <c r="B13" s="755" t="s">
        <v>612</v>
      </c>
      <c r="C13" s="756">
        <f>ROUND(D13*E13/10000,0)</f>
        <v>1525</v>
      </c>
      <c r="D13" s="757">
        <f>'数据-汇总表'!E6</f>
        <v>55469</v>
      </c>
      <c r="E13" s="756">
        <f>'数据-取费表'!B28</f>
        <v>275</v>
      </c>
      <c r="F13" s="754"/>
      <c r="G13" s="758"/>
    </row>
    <row r="14" spans="1:25" s="2181" customFormat="1" ht="13.5" customHeight="1">
      <c r="A14" s="2467" t="s">
        <v>2441</v>
      </c>
      <c r="B14" s="2473" t="s">
        <v>2444</v>
      </c>
      <c r="C14" s="2471"/>
      <c r="D14" s="757"/>
      <c r="E14" s="756"/>
      <c r="F14" s="2472"/>
      <c r="G14" s="2475" t="s">
        <v>2449</v>
      </c>
    </row>
    <row r="15" spans="1:25" s="2181" customFormat="1" ht="13.5" customHeight="1">
      <c r="A15" s="2467" t="s">
        <v>2446</v>
      </c>
      <c r="B15" s="2473" t="s">
        <v>2445</v>
      </c>
      <c r="C15" s="2471"/>
      <c r="D15" s="757"/>
      <c r="E15" s="756"/>
      <c r="F15" s="2472"/>
      <c r="G15" s="2475" t="s">
        <v>2450</v>
      </c>
    </row>
    <row r="16" spans="1:25" s="2182" customFormat="1" ht="48">
      <c r="A16" s="2467">
        <v>3</v>
      </c>
      <c r="B16" s="747" t="s">
        <v>615</v>
      </c>
      <c r="C16" s="2471"/>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0.94</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3174</v>
      </c>
      <c r="D1" s="3124" t="s">
        <v>3189</v>
      </c>
      <c r="E1" s="2385" t="s">
        <v>870</v>
      </c>
      <c r="F1" s="2386">
        <f ca="1">J53</f>
        <v>48.48</v>
      </c>
      <c r="G1" s="773">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10723</v>
      </c>
      <c r="C2" s="2055"/>
      <c r="D2" s="2053"/>
      <c r="E2" s="2054"/>
      <c r="F2" s="2054"/>
      <c r="G2" s="1587"/>
      <c r="H2" s="2055"/>
      <c r="I2" s="2055"/>
      <c r="J2" s="2055"/>
      <c r="K2" s="2056"/>
      <c r="L2" s="2055"/>
      <c r="M2" s="2055"/>
    </row>
    <row r="3" spans="1:33" ht="18" customHeight="1" thickBot="1">
      <c r="A3" s="832" t="s">
        <v>519</v>
      </c>
      <c r="B3" s="833">
        <f ca="1">IF(ISERROR(B2*10000/F43),0,ROUND(B2*10000/F43,0))</f>
        <v>3815</v>
      </c>
      <c r="C3" s="2055"/>
      <c r="D3" s="2053"/>
      <c r="E3" s="2054"/>
      <c r="F3" s="2054"/>
      <c r="G3" s="1587"/>
      <c r="H3" s="775" t="s">
        <v>695</v>
      </c>
      <c r="I3" s="1361"/>
      <c r="J3" s="1361"/>
      <c r="K3" s="1588"/>
      <c r="L3" s="1361"/>
      <c r="M3" s="1361"/>
    </row>
    <row r="4" spans="1:33" ht="18" customHeight="1">
      <c r="A4" s="776" t="s">
        <v>630</v>
      </c>
      <c r="B4" s="777" t="s">
        <v>631</v>
      </c>
      <c r="C4" s="777" t="s">
        <v>632</v>
      </c>
      <c r="D4" s="777" t="s">
        <v>633</v>
      </c>
      <c r="E4" s="778" t="s">
        <v>634</v>
      </c>
      <c r="F4" s="779"/>
      <c r="G4" s="1589"/>
      <c r="H4" s="776" t="s">
        <v>630</v>
      </c>
      <c r="I4" s="777" t="s">
        <v>631</v>
      </c>
      <c r="J4" s="777" t="s">
        <v>632</v>
      </c>
      <c r="K4" s="777" t="s">
        <v>633</v>
      </c>
      <c r="L4" s="778" t="s">
        <v>634</v>
      </c>
      <c r="M4" s="779"/>
    </row>
    <row r="5" spans="1:33" ht="18" customHeight="1">
      <c r="A5" s="780">
        <v>1</v>
      </c>
      <c r="B5" s="781" t="s">
        <v>2458</v>
      </c>
      <c r="C5" s="55">
        <f ca="1">C6+C10+C12</f>
        <v>739</v>
      </c>
      <c r="D5" s="2494" t="s">
        <v>2461</v>
      </c>
      <c r="E5" s="2488"/>
      <c r="F5" s="2489"/>
      <c r="G5" s="1589"/>
      <c r="H5" s="780">
        <v>1</v>
      </c>
      <c r="I5" s="781" t="s">
        <v>2458</v>
      </c>
      <c r="J5" s="55">
        <f ca="1">J6+J10+J12</f>
        <v>0</v>
      </c>
      <c r="K5" s="2494" t="s">
        <v>2461</v>
      </c>
      <c r="L5" s="2488"/>
      <c r="M5" s="2489"/>
    </row>
    <row r="6" spans="1:33" ht="18" customHeight="1">
      <c r="A6" s="1828" t="s">
        <v>1825</v>
      </c>
      <c r="B6" s="3732" t="s">
        <v>2463</v>
      </c>
      <c r="C6" s="782">
        <f ca="1">ROUND(F6*F8*F7*(1-F9)/10000,0)</f>
        <v>739</v>
      </c>
      <c r="D6" s="2495" t="s">
        <v>2462</v>
      </c>
      <c r="E6" s="783" t="s">
        <v>637</v>
      </c>
      <c r="F6" s="784">
        <f ca="1">INDIRECT("'数据-取费表'!u"&amp;$G$1)</f>
        <v>0.8</v>
      </c>
      <c r="G6" s="1589"/>
      <c r="H6" s="2502" t="s">
        <v>1825</v>
      </c>
      <c r="I6" s="3732" t="s">
        <v>2463</v>
      </c>
      <c r="J6" s="782">
        <f ca="1">ROUND(M6*M8*M7*(1-M9)/10000,0)</f>
        <v>0</v>
      </c>
      <c r="K6" s="340" t="s">
        <v>636</v>
      </c>
      <c r="L6" s="783" t="s">
        <v>637</v>
      </c>
      <c r="M6" s="784">
        <f ca="1">INDIRECT("'数据-取费表'!z"&amp;$G$1)</f>
        <v>0</v>
      </c>
    </row>
    <row r="7" spans="1:33" ht="18" customHeight="1">
      <c r="A7" s="2498"/>
      <c r="B7" s="3733"/>
      <c r="C7" s="787"/>
      <c r="D7" s="788"/>
      <c r="E7" s="783" t="s">
        <v>638</v>
      </c>
      <c r="F7" s="784">
        <f ca="1">IF(INDIRECT("'数据-取费表'!ah"&amp;$G$1)="",INDIRECT("'数据-取费表'!k"&amp;$G$1),INDIRECT("'数据-取费表'!ah"&amp;$G$1))</f>
        <v>28104</v>
      </c>
      <c r="G7" s="1589"/>
      <c r="H7" s="2487"/>
      <c r="I7" s="3733"/>
      <c r="J7" s="787"/>
      <c r="K7" s="788"/>
      <c r="L7" s="783" t="s">
        <v>638</v>
      </c>
      <c r="M7" s="784">
        <f ca="1">F7</f>
        <v>28104</v>
      </c>
    </row>
    <row r="8" spans="1:33" ht="18" customHeight="1">
      <c r="A8" s="2491"/>
      <c r="B8" s="3734"/>
      <c r="C8" s="787"/>
      <c r="D8" s="788"/>
      <c r="E8" s="783" t="s">
        <v>639</v>
      </c>
      <c r="F8" s="784">
        <f ca="1">INDIRECT("'数据-取费表'!ai"&amp;$G$1)</f>
        <v>365</v>
      </c>
      <c r="G8" s="1589"/>
      <c r="H8" s="2487"/>
      <c r="I8" s="3734"/>
      <c r="J8" s="787"/>
      <c r="K8" s="788"/>
      <c r="L8" s="783" t="s">
        <v>639</v>
      </c>
      <c r="M8" s="784">
        <f ca="1">INDIRECT("'数据-取费表'!ai"&amp;$G$1)</f>
        <v>365</v>
      </c>
    </row>
    <row r="9" spans="1:33" ht="18" customHeight="1">
      <c r="A9" s="785"/>
      <c r="B9" s="3735"/>
      <c r="C9" s="787"/>
      <c r="D9" s="788"/>
      <c r="E9" s="783" t="s">
        <v>640</v>
      </c>
      <c r="F9" s="793">
        <f ca="1">INDIRECT("'数据-取费表'!w"&amp;$G$1)</f>
        <v>0.1</v>
      </c>
      <c r="G9" s="1589"/>
      <c r="H9" s="2503"/>
      <c r="I9" s="3734"/>
      <c r="J9" s="787"/>
      <c r="K9" s="788"/>
      <c r="L9" s="794" t="s">
        <v>640</v>
      </c>
      <c r="M9" s="795">
        <f ca="1">INDIRECT("'数据-取费表'!ab"&amp;$G$1)</f>
        <v>0</v>
      </c>
    </row>
    <row r="10" spans="1:33" ht="18" customHeight="1">
      <c r="A10" s="1828" t="s">
        <v>1826</v>
      </c>
      <c r="B10" s="2492" t="s">
        <v>2459</v>
      </c>
      <c r="C10" s="798">
        <f ca="1">ROUND(IF(F10="押一",C6/12*F11,IF(F10="押二",C6/12*2*F11,IF(F10="押三",C6/12*3*F11,C11*F11))),0)</f>
        <v>0</v>
      </c>
      <c r="D10" s="2499" t="s">
        <v>2975</v>
      </c>
      <c r="E10" s="2496" t="s">
        <v>2464</v>
      </c>
      <c r="F10" s="2619"/>
      <c r="G10" s="1589"/>
      <c r="H10" s="2559" t="s">
        <v>1826</v>
      </c>
      <c r="I10" s="2564" t="s">
        <v>2459</v>
      </c>
      <c r="J10" s="782">
        <f ca="1">ROUND(IF(M10="押一",J6/12*M11,IF(M10="押二",J6/12*2*M11,IF(M10="押三",J6/12*3*M11,J11*M11))),0)</f>
        <v>0</v>
      </c>
      <c r="K10" s="2499" t="s">
        <v>2975</v>
      </c>
      <c r="L10" s="2496" t="s">
        <v>2464</v>
      </c>
      <c r="M10" s="2619"/>
    </row>
    <row r="11" spans="1:33" ht="18" customHeight="1">
      <c r="A11" s="789"/>
      <c r="B11" s="2493" t="s">
        <v>2573</v>
      </c>
      <c r="C11" s="2497"/>
      <c r="D11" s="788"/>
      <c r="E11" s="2496" t="s">
        <v>2456</v>
      </c>
      <c r="F11" s="795">
        <f ca="1">'数据-取费表'!B39</f>
        <v>1.4999999999999999E-2</v>
      </c>
      <c r="G11" s="1589"/>
      <c r="H11" s="2560"/>
      <c r="I11" s="2493" t="s">
        <v>2573</v>
      </c>
      <c r="J11" s="2497"/>
      <c r="K11" s="2561"/>
      <c r="L11" s="2496" t="s">
        <v>2456</v>
      </c>
      <c r="M11" s="2490">
        <f ca="1">'数据-取费表'!B39</f>
        <v>1.4999999999999999E-2</v>
      </c>
    </row>
    <row r="12" spans="1:33" ht="18" customHeight="1" thickBot="1">
      <c r="A12" s="2535" t="s">
        <v>2467</v>
      </c>
      <c r="B12" s="2536" t="s">
        <v>2460</v>
      </c>
      <c r="C12" s="2537"/>
      <c r="D12" s="2538"/>
      <c r="E12" s="2539"/>
      <c r="F12" s="2540"/>
      <c r="G12" s="1589"/>
      <c r="H12" s="2549" t="s">
        <v>2467</v>
      </c>
      <c r="I12" s="2562" t="s">
        <v>2460</v>
      </c>
      <c r="J12" s="2563"/>
      <c r="K12" s="2538"/>
      <c r="L12" s="2539"/>
      <c r="M12" s="2552"/>
    </row>
    <row r="13" spans="1:33" ht="18" customHeight="1" thickTop="1">
      <c r="A13" s="1827">
        <v>2</v>
      </c>
      <c r="B13" s="1825" t="s">
        <v>644</v>
      </c>
      <c r="C13" s="791">
        <f ca="1">ROUND(C29*F13,0)</f>
        <v>12375</v>
      </c>
      <c r="D13" s="1832" t="s">
        <v>2297</v>
      </c>
      <c r="E13" s="1832" t="s">
        <v>643</v>
      </c>
      <c r="F13" s="2534">
        <f ca="1">INDIRECT("'数据-取费表'!y"&amp;$G$1)</f>
        <v>1</v>
      </c>
      <c r="G13" s="1589"/>
      <c r="H13" s="1827">
        <v>2</v>
      </c>
      <c r="I13" s="1825" t="s">
        <v>644</v>
      </c>
      <c r="J13" s="1817">
        <f ca="1">ROUND(J14*J15,0)</f>
        <v>0</v>
      </c>
      <c r="K13" s="1819" t="s">
        <v>642</v>
      </c>
      <c r="L13" s="2550"/>
      <c r="M13" s="2551"/>
    </row>
    <row r="14" spans="1:33" ht="18" customHeight="1">
      <c r="A14" s="1645" t="s">
        <v>1832</v>
      </c>
      <c r="B14" s="783" t="s">
        <v>645</v>
      </c>
      <c r="C14" s="803">
        <f ca="1">INDIRECT("'数据-取费表'!m"&amp;$G$1)+INDIRECT("'数据-取费表'!t"&amp;$G$1)</f>
        <v>9588</v>
      </c>
      <c r="D14" s="3181" t="s">
        <v>646</v>
      </c>
      <c r="E14" s="3182"/>
      <c r="F14" s="804"/>
      <c r="G14" s="1589"/>
      <c r="H14" s="1646" t="s">
        <v>1825</v>
      </c>
      <c r="I14" s="2229" t="s">
        <v>2824</v>
      </c>
      <c r="J14" s="53">
        <f ca="1">C29</f>
        <v>12375</v>
      </c>
      <c r="K14" s="26"/>
      <c r="L14" s="800"/>
      <c r="M14" s="801"/>
    </row>
    <row r="15" spans="1:33" s="2062" customFormat="1" ht="18" customHeight="1" thickBot="1">
      <c r="A15" s="1645" t="s">
        <v>1833</v>
      </c>
      <c r="B15" s="783" t="s">
        <v>647</v>
      </c>
      <c r="C15" s="53">
        <f ca="1">ROUND(C14*F15,0)</f>
        <v>288</v>
      </c>
      <c r="D15" s="805" t="s">
        <v>648</v>
      </c>
      <c r="E15" s="805" t="s">
        <v>649</v>
      </c>
      <c r="F15" s="806">
        <f>'数据-取费表'!B33</f>
        <v>0.03</v>
      </c>
      <c r="G15" s="1590"/>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1834</v>
      </c>
      <c r="B16" s="783" t="s">
        <v>650</v>
      </c>
      <c r="C16" s="53">
        <f ca="1">ROUND(INDIRECT("'数据-取费表'!m"&amp;$G$1)*F16,0)</f>
        <v>0</v>
      </c>
      <c r="D16" s="783" t="s">
        <v>648</v>
      </c>
      <c r="E16" s="783" t="s">
        <v>649</v>
      </c>
      <c r="F16" s="808">
        <f ca="1">IF(INDIRECT("'数据-取费表'!c"&amp;$G$1)="住宅",'数据-取费表'!B34,0)</f>
        <v>0</v>
      </c>
      <c r="G16" s="1589"/>
      <c r="H16" s="1827" t="s">
        <v>1749</v>
      </c>
      <c r="I16" s="1825" t="s">
        <v>651</v>
      </c>
      <c r="J16" s="791">
        <f ca="1">ROUND(J17+J22+J23+J24,0)</f>
        <v>1235</v>
      </c>
      <c r="K16" s="1819" t="s">
        <v>652</v>
      </c>
      <c r="L16" s="3183"/>
      <c r="M16" s="2489"/>
    </row>
    <row r="17" spans="1:33" s="2062" customFormat="1" ht="18" customHeight="1">
      <c r="A17" s="1645" t="s">
        <v>1888</v>
      </c>
      <c r="B17" s="783" t="s">
        <v>653</v>
      </c>
      <c r="C17" s="53">
        <f ca="1">ROUND(F17*(F43+INDIRECT("'数据-取费表'!S"&amp;$G$1))/10000,0)</f>
        <v>639</v>
      </c>
      <c r="D17" s="783" t="s">
        <v>654</v>
      </c>
      <c r="E17" s="783" t="s">
        <v>655</v>
      </c>
      <c r="F17" s="56">
        <f>'数据-取费表'!B35</f>
        <v>200</v>
      </c>
      <c r="G17" s="1590"/>
      <c r="H17" s="1646" t="s">
        <v>1825</v>
      </c>
      <c r="I17" s="783" t="s">
        <v>656</v>
      </c>
      <c r="J17" s="53">
        <f ca="1">ROUND(IF(项目基本情况!B11="自然人",J5*M17,J18+J19+J20),0)</f>
        <v>1049</v>
      </c>
      <c r="K17" s="3181" t="s">
        <v>657</v>
      </c>
      <c r="L17" s="3179"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3" t="s">
        <v>659</v>
      </c>
      <c r="C18" s="53">
        <f ca="1">ROUND(C14*F18,0)</f>
        <v>144</v>
      </c>
      <c r="D18" s="783" t="s">
        <v>648</v>
      </c>
      <c r="E18" s="783" t="s">
        <v>649</v>
      </c>
      <c r="F18" s="808">
        <f>'数据-取费表'!B36</f>
        <v>1.4999999999999999E-2</v>
      </c>
      <c r="G18" s="1590"/>
      <c r="H18" s="1645" t="s">
        <v>1832</v>
      </c>
      <c r="I18" s="783" t="s">
        <v>660</v>
      </c>
      <c r="J18" s="53">
        <f ca="1">ROUND(J5*M18/1.05,1)</f>
        <v>0</v>
      </c>
      <c r="K18" s="3179" t="s">
        <v>661</v>
      </c>
      <c r="L18" s="783" t="s">
        <v>649</v>
      </c>
      <c r="M18" s="808">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1825</v>
      </c>
      <c r="B19" s="783" t="s">
        <v>662</v>
      </c>
      <c r="C19" s="53">
        <f ca="1">SUM(C14:C18)</f>
        <v>10659</v>
      </c>
      <c r="D19" s="260" t="s">
        <v>663</v>
      </c>
      <c r="E19" s="3189"/>
      <c r="F19" s="56"/>
      <c r="G19" s="1589"/>
      <c r="H19" s="1645" t="s">
        <v>1833</v>
      </c>
      <c r="I19" s="783" t="s">
        <v>664</v>
      </c>
      <c r="J19" s="53">
        <f ca="1">IF(K19="按租金收入计税",ROUND(J5*M19,1),ROUND(C29*F33*0.7,1))</f>
        <v>1039.5</v>
      </c>
      <c r="K19" s="810" t="s">
        <v>665</v>
      </c>
      <c r="L19" s="783" t="s">
        <v>649</v>
      </c>
      <c r="M19" s="808">
        <f>IF(K19="按租金收入计税",'数据-取费表'!B51,'数据-取费表'!B50)</f>
        <v>1.2E-2</v>
      </c>
    </row>
    <row r="20" spans="1:33" s="2062" customFormat="1" ht="18" customHeight="1">
      <c r="A20" s="1646" t="s">
        <v>1890</v>
      </c>
      <c r="B20" s="783" t="s">
        <v>666</v>
      </c>
      <c r="C20" s="53">
        <f ca="1">ROUND(C19*F20,0)</f>
        <v>213</v>
      </c>
      <c r="D20" s="811" t="s">
        <v>667</v>
      </c>
      <c r="E20" s="783" t="s">
        <v>649</v>
      </c>
      <c r="F20" s="808">
        <f>'数据-取费表'!B37</f>
        <v>0.02</v>
      </c>
      <c r="G20" s="1590"/>
      <c r="H20" s="1648" t="s">
        <v>1834</v>
      </c>
      <c r="I20" s="340" t="s">
        <v>668</v>
      </c>
      <c r="J20" s="54">
        <f ca="1">ROUND(M20*M21/10000,0)</f>
        <v>9</v>
      </c>
      <c r="K20" s="813" t="s">
        <v>669</v>
      </c>
      <c r="L20" s="783" t="s">
        <v>670</v>
      </c>
      <c r="M20" s="639">
        <f>'数据-取费表'!B52</f>
        <v>7</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3" t="s">
        <v>671</v>
      </c>
      <c r="C21" s="53" t="s">
        <v>1765</v>
      </c>
      <c r="D21" s="811" t="s">
        <v>2298</v>
      </c>
      <c r="E21" s="783" t="s">
        <v>673</v>
      </c>
      <c r="F21" s="808">
        <f>'数据-取费表'!B38</f>
        <v>0.01</v>
      </c>
      <c r="G21" s="1590"/>
      <c r="H21" s="2504"/>
      <c r="I21" s="792"/>
      <c r="J21" s="69"/>
      <c r="K21" s="815"/>
      <c r="L21" s="783" t="s">
        <v>674</v>
      </c>
      <c r="M21" s="784">
        <f ca="1">INDIRECT("'数据-取费表'!r"&amp;$G$1)</f>
        <v>12877.67</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3" t="s">
        <v>675</v>
      </c>
      <c r="C22" s="53"/>
      <c r="D22" s="2570" t="str">
        <f>IF(F23&lt;=1,"单利计息。","复利计息。")&amp;"建造成本、管理费用、销售费用产生的利息。"</f>
        <v>复利计息。建造成本、管理费用、销售费用产生的利息。</v>
      </c>
      <c r="E22" s="3189"/>
      <c r="F22" s="56"/>
      <c r="G22" s="1589"/>
      <c r="H22" s="1646" t="s">
        <v>1890</v>
      </c>
      <c r="I22" s="783" t="s">
        <v>676</v>
      </c>
      <c r="J22" s="53">
        <f ca="1">ROUND(J14*M22,0)</f>
        <v>186</v>
      </c>
      <c r="K22" s="3179" t="s">
        <v>677</v>
      </c>
      <c r="L22" s="783" t="s">
        <v>649</v>
      </c>
      <c r="M22" s="816">
        <f ca="1">INDIRECT("'数据-取费表'!Ak"&amp;$G$1)</f>
        <v>1.4999999999999999E-2</v>
      </c>
    </row>
    <row r="23" spans="1:33" s="2062" customFormat="1" ht="18" customHeight="1">
      <c r="A23" s="1645" t="s">
        <v>1832</v>
      </c>
      <c r="B23" s="783" t="s">
        <v>2437</v>
      </c>
      <c r="C23" s="53">
        <f ca="1">ROUND(IF('数据-取费表'!B22&lt;=1,(C19+C20)*F24*F23/2,(C19+C20)*(POWER((1+F24),F23/2)-1)),0)</f>
        <v>385</v>
      </c>
      <c r="D23" s="2569" t="str">
        <f>IF(F23&lt;=1,"(建造成本+管理费用)×利率×(建设周期÷2)","(建造成本+管理费用)×((1+利率)^(建设周期÷2)-1)")</f>
        <v>(建造成本+管理费用)×((1+利率)^(建设周期÷2)-1)</v>
      </c>
      <c r="E23" s="783" t="s">
        <v>678</v>
      </c>
      <c r="F23" s="639">
        <f>'数据-取费表'!B20</f>
        <v>1.5</v>
      </c>
      <c r="G23" s="1590"/>
      <c r="H23" s="1646" t="s">
        <v>1891</v>
      </c>
      <c r="I23" s="783" t="s">
        <v>679</v>
      </c>
      <c r="J23" s="53">
        <f ca="1">ROUND(J13*M23,0)</f>
        <v>0</v>
      </c>
      <c r="K23" s="3179"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3" t="s">
        <v>681</v>
      </c>
      <c r="C24" s="53">
        <f ca="1">ROUND(IF('数据-取费表'!B22&lt;=1,F21*F24*F23/2,F21*(POWER((1+F24),F23/2)-1)),4)</f>
        <v>4.0000000000000002E-4</v>
      </c>
      <c r="D24" s="2569" t="str">
        <f>IF(F23&lt;=1,"销售费用×利率×(建设周期÷2)","销售费用×((1+利率)^(建设周期÷2)-1)")</f>
        <v>销售费用×((1+利率)^(建设周期÷2)-1)</v>
      </c>
      <c r="E24" s="783" t="s">
        <v>682</v>
      </c>
      <c r="F24" s="818">
        <f ca="1">'数据-取费表'!B40</f>
        <v>4.7500000000000001E-2</v>
      </c>
      <c r="G24" s="1590"/>
      <c r="H24" s="2549" t="s">
        <v>1892</v>
      </c>
      <c r="I24" s="2544" t="s">
        <v>666</v>
      </c>
      <c r="J24" s="2542">
        <f ca="1">ROUND(J5*M24,0)</f>
        <v>0</v>
      </c>
      <c r="K24" s="2543" t="s">
        <v>683</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3" t="s">
        <v>684</v>
      </c>
      <c r="C25" s="53"/>
      <c r="D25" s="260" t="s">
        <v>685</v>
      </c>
      <c r="E25" s="3189"/>
      <c r="F25" s="56"/>
      <c r="G25" s="1589"/>
      <c r="H25" s="1827" t="s">
        <v>1777</v>
      </c>
      <c r="I25" s="3008" t="s">
        <v>2821</v>
      </c>
      <c r="J25" s="791">
        <f ca="1">J5-J16</f>
        <v>-1235</v>
      </c>
      <c r="K25" s="2546" t="s">
        <v>700</v>
      </c>
      <c r="L25" s="2547"/>
      <c r="M25" s="2548"/>
    </row>
    <row r="26" spans="1:33" ht="18" customHeight="1">
      <c r="A26" s="1645" t="s">
        <v>1832</v>
      </c>
      <c r="B26" s="783" t="s">
        <v>2438</v>
      </c>
      <c r="C26" s="53">
        <f ca="1">ROUND((C19+C20)*F26,0)</f>
        <v>326</v>
      </c>
      <c r="D26" s="811" t="s">
        <v>701</v>
      </c>
      <c r="E26" s="794" t="s">
        <v>702</v>
      </c>
      <c r="F26" s="793">
        <f ca="1">INDIRECT("'数据-取费表'!q"&amp;$G$1)</f>
        <v>0.03</v>
      </c>
      <c r="G26" s="1589"/>
      <c r="H26" s="2500" t="s">
        <v>1781</v>
      </c>
      <c r="I26" s="2230" t="s">
        <v>2826</v>
      </c>
      <c r="J26" s="782">
        <f ca="1">IF(J5&lt;&gt;0,ROUND(J25*(1-((1+M28)/(1+M26))^M27)/(M26-M28),0),0)</f>
        <v>0</v>
      </c>
      <c r="K26" s="813" t="s">
        <v>704</v>
      </c>
      <c r="L26" s="783" t="s">
        <v>2419</v>
      </c>
      <c r="M26" s="793">
        <f ca="1">INDIRECT("'数据-取费表'!I"&amp;$G$1)</f>
        <v>5.5E-2</v>
      </c>
    </row>
    <row r="27" spans="1:33" ht="18" customHeight="1">
      <c r="A27" s="1645" t="s">
        <v>1833</v>
      </c>
      <c r="B27" s="783" t="s">
        <v>686</v>
      </c>
      <c r="C27" s="53">
        <f ca="1">ROUND(F21*F26,4)</f>
        <v>2.9999999999999997E-4</v>
      </c>
      <c r="D27" s="811" t="s">
        <v>706</v>
      </c>
      <c r="E27" s="805"/>
      <c r="F27" s="806"/>
      <c r="G27" s="1589"/>
      <c r="H27" s="2501"/>
      <c r="I27" s="786"/>
      <c r="J27" s="787"/>
      <c r="K27" s="820" t="s">
        <v>707</v>
      </c>
      <c r="L27" s="783" t="s">
        <v>708</v>
      </c>
      <c r="M27" s="821">
        <f ca="1">INDIRECT("'数据-取费表'!ag"&amp;$G$1)</f>
        <v>0</v>
      </c>
    </row>
    <row r="28" spans="1:33" s="2062" customFormat="1" ht="18" customHeight="1">
      <c r="A28" s="1647" t="s">
        <v>1842</v>
      </c>
      <c r="B28" s="783" t="s">
        <v>687</v>
      </c>
      <c r="C28" s="53">
        <f>ROUND(F28/(1+'数据-取费表'!C42),4)</f>
        <v>5.33E-2</v>
      </c>
      <c r="D28" s="811" t="s">
        <v>2299</v>
      </c>
      <c r="E28" s="783" t="s">
        <v>649</v>
      </c>
      <c r="F28" s="808">
        <f>'数据-取费表'!B41</f>
        <v>5.6000000000000001E-2</v>
      </c>
      <c r="G28" s="1590"/>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12375</v>
      </c>
      <c r="D29" s="2543"/>
      <c r="E29" s="2544"/>
      <c r="F29" s="2545"/>
      <c r="G29" s="1590"/>
      <c r="H29" s="822" t="s">
        <v>1788</v>
      </c>
      <c r="I29" s="823" t="s">
        <v>1789</v>
      </c>
      <c r="J29" s="824">
        <f ca="1">ROUND(J26/(1+F40)^F41,0)</f>
        <v>0</v>
      </c>
      <c r="K29" s="825" t="s">
        <v>688</v>
      </c>
      <c r="L29" s="826"/>
      <c r="M29" s="827">
        <f ca="1">INDIRECT("'数据-取费表'!k"&amp;$G$1)</f>
        <v>28104</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651</v>
      </c>
      <c r="C30" s="791">
        <f ca="1">ROUND(C31+C36+C37+C38,0)</f>
        <v>349</v>
      </c>
      <c r="D30" s="1819" t="s">
        <v>652</v>
      </c>
      <c r="E30" s="3183"/>
      <c r="F30" s="2489"/>
      <c r="G30" s="2060"/>
      <c r="H30" s="2063"/>
      <c r="I30" s="2064"/>
      <c r="J30" s="2065"/>
      <c r="K30" s="2066"/>
      <c r="L30" s="2067"/>
      <c r="M30" s="2068"/>
    </row>
    <row r="31" spans="1:33" ht="18" customHeight="1">
      <c r="A31" s="1646" t="s">
        <v>1825</v>
      </c>
      <c r="B31" s="783" t="s">
        <v>656</v>
      </c>
      <c r="C31" s="53">
        <f ca="1">ROUND(IF(项目基本情况!B11="自然人",C5*F31,C32+C33+C34),1)</f>
        <v>137.1</v>
      </c>
      <c r="D31" s="3181" t="s">
        <v>657</v>
      </c>
      <c r="E31" s="3179"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3" t="s">
        <v>660</v>
      </c>
      <c r="C32" s="53">
        <f ca="1">ROUND(C5*F32/1.05,1)</f>
        <v>39.4</v>
      </c>
      <c r="D32" s="3179" t="s">
        <v>661</v>
      </c>
      <c r="E32" s="783" t="s">
        <v>649</v>
      </c>
      <c r="F32" s="808">
        <f>'数据-取费表'!B41</f>
        <v>5.6000000000000001E-2</v>
      </c>
      <c r="G32" s="2060"/>
      <c r="H32" s="2069"/>
      <c r="I32" s="2070"/>
      <c r="J32" s="2071"/>
      <c r="K32" s="2072"/>
      <c r="L32" s="2073"/>
      <c r="M32" s="2074"/>
    </row>
    <row r="33" spans="1:18" ht="18" customHeight="1">
      <c r="A33" s="1645" t="s">
        <v>1833</v>
      </c>
      <c r="B33" s="783" t="s">
        <v>664</v>
      </c>
      <c r="C33" s="53">
        <f ca="1">IF(D33="按租金收入计税",ROUND(C5*F33,1),IF(D33="按房产原值计税",ROUND(C29*F33*0.7,1),INDIRECT("'数据-取费表'!Aj"&amp;$G$1)))</f>
        <v>88.7</v>
      </c>
      <c r="D33" s="810" t="s">
        <v>3188</v>
      </c>
      <c r="E33" s="783" t="s">
        <v>649</v>
      </c>
      <c r="F33" s="808">
        <f>IF(D33="按租金收入计税",'数据-取费表'!B51,'数据-取费表'!B50)</f>
        <v>0.12</v>
      </c>
      <c r="G33" s="2060"/>
      <c r="H33" s="2075"/>
      <c r="I33" s="2075"/>
      <c r="J33" s="2075"/>
      <c r="K33" s="2076"/>
      <c r="L33" s="2075"/>
      <c r="M33" s="2075"/>
    </row>
    <row r="34" spans="1:18" ht="18" customHeight="1">
      <c r="A34" s="1648" t="s">
        <v>1834</v>
      </c>
      <c r="B34" s="340" t="s">
        <v>668</v>
      </c>
      <c r="C34" s="54">
        <f ca="1">ROUND(F34*F35/10000,1)</f>
        <v>9</v>
      </c>
      <c r="D34" s="813" t="s">
        <v>669</v>
      </c>
      <c r="E34" s="783" t="s">
        <v>670</v>
      </c>
      <c r="F34" s="639">
        <f>'数据-取费表'!B52</f>
        <v>7</v>
      </c>
      <c r="G34" s="2060"/>
      <c r="H34" s="2063"/>
      <c r="I34" s="834" t="s">
        <v>1814</v>
      </c>
      <c r="J34" s="835"/>
      <c r="K34" s="2078"/>
      <c r="L34" s="2077"/>
      <c r="M34" s="2077"/>
    </row>
    <row r="35" spans="1:18" ht="18" customHeight="1">
      <c r="A35" s="814"/>
      <c r="B35" s="792"/>
      <c r="C35" s="69"/>
      <c r="D35" s="815"/>
      <c r="E35" s="783" t="s">
        <v>674</v>
      </c>
      <c r="F35" s="784">
        <f ca="1">INDIRECT("'数据-取费表'!r"&amp;$G$1)</f>
        <v>12877.67</v>
      </c>
      <c r="G35" s="2060"/>
      <c r="H35" s="2063"/>
      <c r="I35" s="836" t="s">
        <v>1815</v>
      </c>
      <c r="J35" s="837">
        <f ca="1">ROUND(C13*J36,0)</f>
        <v>1052</v>
      </c>
      <c r="K35" s="2076"/>
      <c r="L35" s="2075"/>
      <c r="M35" s="2075"/>
    </row>
    <row r="36" spans="1:18" ht="18" customHeight="1">
      <c r="A36" s="1646" t="s">
        <v>1890</v>
      </c>
      <c r="B36" s="783" t="s">
        <v>676</v>
      </c>
      <c r="C36" s="53">
        <f ca="1">ROUND(C29*F36,1)</f>
        <v>185.6</v>
      </c>
      <c r="D36" s="3179"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6" t="s">
        <v>1891</v>
      </c>
      <c r="B37" s="783" t="s">
        <v>679</v>
      </c>
      <c r="C37" s="53">
        <f ca="1">ROUND(C13*F37,1)</f>
        <v>18.600000000000001</v>
      </c>
      <c r="D37" s="3179"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7.4</v>
      </c>
      <c r="D38" s="2543" t="s">
        <v>683</v>
      </c>
      <c r="E38" s="2544" t="s">
        <v>649</v>
      </c>
      <c r="F38" s="2540">
        <f ca="1">INDIRECT("'数据-取费表'!Am"&amp;$G$1)</f>
        <v>0.01</v>
      </c>
      <c r="G38" s="2060"/>
      <c r="H38" s="2075"/>
      <c r="I38" s="842" t="s">
        <v>1818</v>
      </c>
      <c r="J38" s="843"/>
      <c r="K38" s="2081"/>
      <c r="L38" s="2075"/>
      <c r="M38" s="2075"/>
    </row>
    <row r="39" spans="1:18" ht="24.6" customHeight="1" thickTop="1">
      <c r="A39" s="1827" t="s">
        <v>1777</v>
      </c>
      <c r="B39" s="3008" t="s">
        <v>2821</v>
      </c>
      <c r="C39" s="791">
        <f ca="1">C5-C30</f>
        <v>390</v>
      </c>
      <c r="D39" s="2546" t="s">
        <v>700</v>
      </c>
      <c r="E39" s="2547"/>
      <c r="F39" s="2548"/>
      <c r="G39" s="2060"/>
      <c r="H39" s="2075"/>
      <c r="I39" s="836" t="s">
        <v>1819</v>
      </c>
      <c r="J39" s="844">
        <f ca="1">ROUND(J35/C39,3)</f>
        <v>2.6970000000000001</v>
      </c>
      <c r="K39" s="2081"/>
      <c r="L39" s="2075"/>
      <c r="M39" s="2075"/>
    </row>
    <row r="40" spans="1:18" ht="18" customHeight="1">
      <c r="A40" s="780" t="s">
        <v>1781</v>
      </c>
      <c r="B40" s="2230" t="s">
        <v>2301</v>
      </c>
      <c r="C40" s="782">
        <f ca="1">ROUND(C39*(1-((1+F42)/(1+F40))^F41)/(F40-F42),0)</f>
        <v>10723</v>
      </c>
      <c r="D40" s="813" t="s">
        <v>704</v>
      </c>
      <c r="E40" s="783" t="s">
        <v>2419</v>
      </c>
      <c r="F40" s="793">
        <f ca="1">INDIRECT("'数据-取费表'!I"&amp;$G$1)</f>
        <v>5.5E-2</v>
      </c>
      <c r="G40" s="2060"/>
      <c r="H40" s="2060"/>
      <c r="I40" s="836" t="s">
        <v>1820</v>
      </c>
      <c r="J40" s="844">
        <f ca="1">1-J39</f>
        <v>-1.6970000000000001</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48.48</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1.1539999999999999</v>
      </c>
      <c r="K42" s="2080"/>
      <c r="L42" s="1986"/>
      <c r="M42" s="1986"/>
    </row>
    <row r="43" spans="1:18" ht="18" customHeight="1" thickBot="1">
      <c r="A43" s="822" t="s">
        <v>1788</v>
      </c>
      <c r="B43" s="823" t="s">
        <v>1811</v>
      </c>
      <c r="C43" s="824">
        <f ca="1">ROUND(C40*10000/F43,0)</f>
        <v>3815</v>
      </c>
      <c r="D43" s="825" t="s">
        <v>1812</v>
      </c>
      <c r="E43" s="826" t="s">
        <v>1813</v>
      </c>
      <c r="F43" s="827">
        <f ca="1">INDIRECT("'数据-取费表'!k"&amp;$G$1)</f>
        <v>28104</v>
      </c>
      <c r="G43" s="2060"/>
      <c r="H43" s="1986"/>
      <c r="I43" s="846" t="s">
        <v>1823</v>
      </c>
      <c r="J43" s="847">
        <f ca="1">1-J42</f>
        <v>-0.15399999999999991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-14307</v>
      </c>
      <c r="D46" s="2083"/>
      <c r="E46" s="2083"/>
      <c r="F46" s="2083"/>
      <c r="I46" s="2376" t="s">
        <v>2343</v>
      </c>
      <c r="J46" s="2377"/>
      <c r="K46" s="2378"/>
      <c r="L46" s="3159">
        <f>IF(OR(M47="住宅",D1="土地（套用方法）"),0,IF(L48&gt;J51,L60,J60))</f>
        <v>0</v>
      </c>
      <c r="O46" s="2392" t="s">
        <v>2410</v>
      </c>
      <c r="P46" s="1589"/>
      <c r="Q46" s="1601"/>
      <c r="R46" s="1589"/>
    </row>
    <row r="47" spans="1:18" s="2057" customFormat="1" ht="18" customHeight="1" thickBot="1">
      <c r="A47" s="2370">
        <v>1</v>
      </c>
      <c r="B47" s="2371" t="s">
        <v>635</v>
      </c>
      <c r="C47" s="2572">
        <f ca="1">C48+C52+C54</f>
        <v>0</v>
      </c>
      <c r="D47" s="2083"/>
      <c r="E47" s="2083"/>
      <c r="F47" s="2083"/>
      <c r="I47" s="3149" t="s">
        <v>2344</v>
      </c>
      <c r="J47" s="2379" t="s">
        <v>3187</v>
      </c>
      <c r="K47" s="3156" t="s">
        <v>2349</v>
      </c>
      <c r="L47" s="3160">
        <f ca="1">INDIRECT("'数据-取费表'!d"&amp;$G$1)</f>
        <v>50</v>
      </c>
      <c r="M47" s="1601" t="str">
        <f>IF(ISNUMBER(FIND("住宅",C1)),"住宅","非住宅")</f>
        <v>非住宅</v>
      </c>
      <c r="O47" s="2393" t="s">
        <v>2375</v>
      </c>
      <c r="P47" s="2394" t="s">
        <v>2376</v>
      </c>
      <c r="Q47" s="2395" t="s">
        <v>2377</v>
      </c>
      <c r="R47" s="2394" t="s">
        <v>2378</v>
      </c>
    </row>
    <row r="48" spans="1:18" s="2057" customFormat="1" ht="18" customHeight="1" thickBot="1">
      <c r="A48" s="2640" t="s">
        <v>1871</v>
      </c>
      <c r="B48" s="2641" t="s">
        <v>2538</v>
      </c>
      <c r="C48" s="2372">
        <f ca="1">ROUND(F48*F50*F49*(1-F51)/10000,0)</f>
        <v>0</v>
      </c>
      <c r="D48" s="2373" t="s">
        <v>636</v>
      </c>
      <c r="E48" s="2374" t="s">
        <v>2296</v>
      </c>
      <c r="F48" s="2375"/>
      <c r="G48" s="2088"/>
      <c r="I48" s="3125" t="s">
        <v>2345</v>
      </c>
      <c r="J48" s="2380" t="s">
        <v>2350</v>
      </c>
      <c r="K48" s="3157" t="s">
        <v>2351</v>
      </c>
      <c r="L48" s="1906">
        <f ca="1">INDIRECT("'数据-取费表'!f"&amp;$G$1)</f>
        <v>49.98</v>
      </c>
      <c r="O48" s="2396" t="s">
        <v>2379</v>
      </c>
      <c r="P48" s="2397" t="s">
        <v>2405</v>
      </c>
      <c r="Q48" s="2398">
        <f ca="1">C40+J29</f>
        <v>10723</v>
      </c>
      <c r="R48" s="2397" t="s">
        <v>2380</v>
      </c>
    </row>
    <row r="49" spans="1:18" s="2057" customFormat="1" ht="18" customHeight="1" thickBot="1">
      <c r="A49" s="785"/>
      <c r="B49" s="786"/>
      <c r="C49" s="787"/>
      <c r="D49" s="788"/>
      <c r="E49" s="783" t="s">
        <v>638</v>
      </c>
      <c r="F49" s="784">
        <f ca="1">F7</f>
        <v>28104</v>
      </c>
      <c r="G49" s="2088"/>
      <c r="H49" s="2091"/>
      <c r="I49" s="3125" t="s">
        <v>2346</v>
      </c>
      <c r="J49" s="2381"/>
      <c r="K49" s="3158" t="s">
        <v>2352</v>
      </c>
      <c r="L49" s="2382"/>
      <c r="O49" s="2396" t="s">
        <v>2381</v>
      </c>
      <c r="P49" s="2397" t="s">
        <v>2406</v>
      </c>
      <c r="Q49" s="2398">
        <f ca="1">J60</f>
        <v>4950</v>
      </c>
      <c r="R49" s="2397" t="s">
        <v>2382</v>
      </c>
    </row>
    <row r="50" spans="1:18" s="2057" customFormat="1" ht="18" customHeight="1" thickBot="1">
      <c r="A50" s="785"/>
      <c r="B50" s="786"/>
      <c r="C50" s="787"/>
      <c r="D50" s="788"/>
      <c r="E50" s="783" t="s">
        <v>639</v>
      </c>
      <c r="F50" s="784">
        <f ca="1">F8</f>
        <v>365</v>
      </c>
      <c r="G50" s="2093"/>
      <c r="H50" s="2091"/>
      <c r="I50" s="3125" t="s">
        <v>2347</v>
      </c>
      <c r="J50" s="3153">
        <f>SUMPRODUCT((I63:I65=J47)*(J62:L62=J48)*(J63:L65))</f>
        <v>60</v>
      </c>
      <c r="K50" s="3158" t="s">
        <v>2353</v>
      </c>
      <c r="L50" s="2382"/>
      <c r="O50" s="2399" t="s">
        <v>2383</v>
      </c>
      <c r="P50" s="2397" t="s">
        <v>2407</v>
      </c>
      <c r="Q50" s="2398">
        <f ca="1">C29</f>
        <v>12375</v>
      </c>
      <c r="R50" s="2397" t="s">
        <v>2380</v>
      </c>
    </row>
    <row r="51" spans="1:18" s="2057" customFormat="1" ht="18" customHeight="1" thickBot="1">
      <c r="A51" s="785"/>
      <c r="B51" s="786"/>
      <c r="C51" s="787"/>
      <c r="D51" s="788"/>
      <c r="E51" s="783" t="s">
        <v>640</v>
      </c>
      <c r="F51" s="2369"/>
      <c r="H51" s="2091"/>
      <c r="I51" s="3150" t="s">
        <v>2348</v>
      </c>
      <c r="J51" s="3154">
        <f>IF(J49="",J50,J49+J50-YEAR('数据-取费表'!B2))</f>
        <v>60</v>
      </c>
      <c r="K51" s="3125" t="s">
        <v>2354</v>
      </c>
      <c r="L51" s="3161">
        <f ca="1">ROUND(-PV(INDIRECT("'数据-取费表'!h"&amp;$G$1),L48,(C39-C13*J36),0),0)</f>
        <v>-13079</v>
      </c>
      <c r="O51" s="2399" t="s">
        <v>2384</v>
      </c>
      <c r="P51" s="2397" t="s">
        <v>2385</v>
      </c>
      <c r="Q51" s="2400">
        <f ca="1">J58</f>
        <v>0.4</v>
      </c>
      <c r="R51" s="2401"/>
    </row>
    <row r="52" spans="1:18" s="2057" customFormat="1" ht="18" customHeight="1" thickBot="1">
      <c r="A52" s="780" t="s">
        <v>2536</v>
      </c>
      <c r="B52" s="2492" t="s">
        <v>2459</v>
      </c>
      <c r="C52" s="798">
        <f ca="1">ROUND(IF(F52="押一",C48/12*F11,IF(F52="押二",C48/12*2*F11,IF(F52="押三",C48/12*3*F11,C53*F11))),0)</f>
        <v>0</v>
      </c>
      <c r="D52" s="2499" t="s">
        <v>2975</v>
      </c>
      <c r="E52" s="2496" t="s">
        <v>2464</v>
      </c>
      <c r="F52" s="2619"/>
      <c r="I52" s="3151" t="s">
        <v>2421</v>
      </c>
      <c r="J52" s="2383"/>
      <c r="K52" s="3151" t="s">
        <v>2420</v>
      </c>
      <c r="L52" s="2383"/>
      <c r="O52" s="2399" t="s">
        <v>2386</v>
      </c>
      <c r="P52" s="2397" t="s">
        <v>2387</v>
      </c>
      <c r="Q52" s="2400">
        <f>J52</f>
        <v>0</v>
      </c>
      <c r="R52" s="2401"/>
    </row>
    <row r="53" spans="1:18" s="2057" customFormat="1" ht="39.75" customHeight="1" thickBot="1">
      <c r="A53" s="785"/>
      <c r="B53" s="2493" t="s">
        <v>2573</v>
      </c>
      <c r="C53" s="2497"/>
      <c r="D53" s="2499"/>
      <c r="E53" s="2496"/>
      <c r="F53" s="799"/>
      <c r="I53" s="3152" t="s">
        <v>2980</v>
      </c>
      <c r="J53" s="3155">
        <f ca="1">IF(M47="住宅",IF(D1="——",MAX(J51,L48),MAX(J51,L48-'数据-取费表'!B20)),IF(D1="——",MIN(J51,L48),MIN(J51,L48-'数据-取费表'!B20)))</f>
        <v>48.48</v>
      </c>
      <c r="K53" s="3766" t="s">
        <v>2967</v>
      </c>
      <c r="L53" s="3767"/>
      <c r="O53" s="2399" t="s">
        <v>2388</v>
      </c>
      <c r="P53" s="2397" t="s">
        <v>2389</v>
      </c>
      <c r="Q53" s="2398">
        <f ca="1">J53</f>
        <v>48.48</v>
      </c>
      <c r="R53" s="2397" t="s">
        <v>2390</v>
      </c>
    </row>
    <row r="54" spans="1:18" s="2057" customFormat="1" ht="18" customHeight="1" thickBot="1">
      <c r="A54" s="2535" t="s">
        <v>2467</v>
      </c>
      <c r="B54" s="2536" t="s">
        <v>2460</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15673</v>
      </c>
      <c r="R54" s="2401" t="s">
        <v>2392</v>
      </c>
    </row>
    <row r="55" spans="1:18" s="2057" customFormat="1" ht="18" customHeight="1" thickTop="1" thickBot="1">
      <c r="A55" s="796">
        <v>2</v>
      </c>
      <c r="B55" s="797" t="s">
        <v>644</v>
      </c>
      <c r="C55" s="798">
        <f ca="1">C13</f>
        <v>12375</v>
      </c>
      <c r="D55" s="794"/>
      <c r="E55" s="794"/>
      <c r="F55" s="799"/>
      <c r="I55" s="3164" t="s">
        <v>2355</v>
      </c>
      <c r="J55" s="3100">
        <f ca="1">ROUND(IF(J47="钢混",J57/J50,1-(1-2%)*(J50-J57)/J50),3)</f>
        <v>0.16700000000000001</v>
      </c>
      <c r="K55" s="3165" t="s">
        <v>2356</v>
      </c>
      <c r="L55" s="2384"/>
      <c r="O55" s="2402" t="s">
        <v>2411</v>
      </c>
      <c r="P55" s="1589"/>
      <c r="Q55" s="1601"/>
      <c r="R55" s="1589"/>
    </row>
    <row r="56" spans="1:18" s="2057" customFormat="1" ht="42.75" customHeight="1" thickBot="1">
      <c r="A56" s="1647"/>
      <c r="B56" s="2229" t="s">
        <v>2300</v>
      </c>
      <c r="C56" s="53">
        <f ca="1">C29</f>
        <v>12375</v>
      </c>
      <c r="D56" s="3179"/>
      <c r="E56" s="783"/>
      <c r="F56" s="808"/>
      <c r="I56" s="3166" t="s">
        <v>2357</v>
      </c>
      <c r="J56" s="3176" t="s">
        <v>2998</v>
      </c>
      <c r="K56" s="3125" t="s">
        <v>2362</v>
      </c>
      <c r="L56" s="1906" t="str">
        <f ca="1">IF(L48&lt;J51,"——",L48-J51)</f>
        <v>——</v>
      </c>
      <c r="O56" s="2393" t="s">
        <v>2375</v>
      </c>
      <c r="P56" s="2394" t="s">
        <v>2376</v>
      </c>
      <c r="Q56" s="2395" t="s">
        <v>2377</v>
      </c>
      <c r="R56" s="2394" t="s">
        <v>2378</v>
      </c>
    </row>
    <row r="57" spans="1:18" s="2057" customFormat="1" ht="28.5" customHeight="1" thickBot="1">
      <c r="A57" s="796" t="s">
        <v>1749</v>
      </c>
      <c r="B57" s="797" t="s">
        <v>651</v>
      </c>
      <c r="C57" s="798">
        <f ca="1">ROUND(C58+C63+C64+C65,0)</f>
        <v>213</v>
      </c>
      <c r="D57" s="26" t="s">
        <v>652</v>
      </c>
      <c r="E57" s="3189"/>
      <c r="F57" s="56"/>
      <c r="I57" s="3167" t="s">
        <v>2358</v>
      </c>
      <c r="J57" s="3168">
        <f ca="1">IF(OR(M47="住宅",J51&lt;L48,J56="是"),"——",J51-L48)</f>
        <v>10.020000000000003</v>
      </c>
      <c r="K57" s="3125" t="s">
        <v>2363</v>
      </c>
      <c r="L57" s="1906" t="str">
        <f ca="1">IF(L48&lt;J51,"——",IF(L55="比较法",L49,IF(L55="基准地价",L50,L51)))</f>
        <v>——</v>
      </c>
      <c r="O57" s="2396" t="s">
        <v>2379</v>
      </c>
      <c r="P57" s="2397" t="s">
        <v>2405</v>
      </c>
      <c r="Q57" s="2398">
        <f ca="1">C40+J29</f>
        <v>10723</v>
      </c>
      <c r="R57" s="2397" t="s">
        <v>2380</v>
      </c>
    </row>
    <row r="58" spans="1:18" s="2057" customFormat="1" ht="28.5" customHeight="1" thickBot="1">
      <c r="A58" s="1646" t="s">
        <v>1825</v>
      </c>
      <c r="B58" s="783" t="s">
        <v>656</v>
      </c>
      <c r="C58" s="53">
        <f ca="1">ROUND(IF(项目基本情况!B11="自然人",C47*F58,C59+C60+C61),1)</f>
        <v>9</v>
      </c>
      <c r="D58" s="3181" t="s">
        <v>657</v>
      </c>
      <c r="E58" s="3179" t="s">
        <v>690</v>
      </c>
      <c r="F58" s="809" t="str">
        <f ca="1">IF(项目基本情况!B11="企业","",IF(INDIRECT("'数据-取费表'!c"&amp;$G$1)="住宅",5%,IF(F48*F49*F50/12/(1+'数据-取费表'!C42)&gt;20000,12%,7%)))</f>
        <v/>
      </c>
      <c r="I58" s="3167" t="s">
        <v>2359</v>
      </c>
      <c r="J58" s="3101">
        <f ca="1">IF(J55&lt;0.4,0.4,J55)</f>
        <v>0.4</v>
      </c>
      <c r="K58" s="3125" t="s">
        <v>2364</v>
      </c>
      <c r="L58" s="1906" t="e">
        <f ca="1">ROUND(POWER(1+L52,L47-L48)*(POWER(1+L52,L48)-1)/(POWER(1+L52,L47)-1),4)</f>
        <v>#DIV/0!</v>
      </c>
      <c r="O58" s="2396" t="s">
        <v>2381</v>
      </c>
      <c r="P58" s="2397" t="s">
        <v>2412</v>
      </c>
      <c r="Q58" s="2398">
        <f ca="1">L60</f>
        <v>0</v>
      </c>
      <c r="R58" s="2401" t="s">
        <v>2414</v>
      </c>
    </row>
    <row r="59" spans="1:18" s="2057" customFormat="1" ht="28.5" customHeight="1" thickBot="1">
      <c r="A59" s="1645" t="s">
        <v>1832</v>
      </c>
      <c r="B59" s="783" t="s">
        <v>660</v>
      </c>
      <c r="C59" s="53">
        <f ca="1">ROUND(C47*F59/1.05,1)</f>
        <v>0</v>
      </c>
      <c r="D59" s="3179" t="s">
        <v>661</v>
      </c>
      <c r="E59" s="783" t="s">
        <v>649</v>
      </c>
      <c r="F59" s="808">
        <f t="shared" ref="F59:F65" si="0">F32</f>
        <v>5.6000000000000001E-2</v>
      </c>
      <c r="I59" s="3167" t="s">
        <v>2360</v>
      </c>
      <c r="J59" s="3168">
        <f ca="1">IF(OR(M47="住宅",J51&lt;L48,J56="是"),"——",ROUND(C29*J58,0))</f>
        <v>4950</v>
      </c>
      <c r="K59" s="3125"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5" t="s">
        <v>1833</v>
      </c>
      <c r="B60" s="783" t="s">
        <v>664</v>
      </c>
      <c r="C60" s="53">
        <f ca="1">IF(D60="按租金收入计税",ROUND(C47*F60,1),IF(D60="按房产原值计税",ROUND(C56*F60*0.7,1),INDIRECT("'数据-取费表'!Aj"&amp;$G$1)))</f>
        <v>0</v>
      </c>
      <c r="D60" s="3179" t="str">
        <f>D33</f>
        <v>按租金收入计税</v>
      </c>
      <c r="E60" s="783" t="s">
        <v>649</v>
      </c>
      <c r="F60" s="808">
        <f t="shared" si="0"/>
        <v>0.12</v>
      </c>
      <c r="I60" s="3169" t="s">
        <v>2361</v>
      </c>
      <c r="J60" s="3170">
        <f ca="1">IF(OR(M47="住宅",J51&lt;L48,J56="是"),"0",ROUND(J59/(1+J52)^J53,0))</f>
        <v>4950</v>
      </c>
      <c r="K60" s="3171" t="s">
        <v>2366</v>
      </c>
      <c r="L60" s="3170">
        <f ca="1">IF(OR(M47="住宅",L48&lt;J51),0,ROUND(L57*(L58/L59-1),0))</f>
        <v>0</v>
      </c>
      <c r="O60" s="2399" t="s">
        <v>2384</v>
      </c>
      <c r="P60" s="2397" t="s">
        <v>2393</v>
      </c>
      <c r="Q60" s="2400">
        <f>L52</f>
        <v>0</v>
      </c>
      <c r="R60" s="2401"/>
    </row>
    <row r="61" spans="1:18" s="2057" customFormat="1" ht="18" customHeight="1" thickBot="1">
      <c r="A61" s="1648" t="s">
        <v>1834</v>
      </c>
      <c r="B61" s="340" t="s">
        <v>668</v>
      </c>
      <c r="C61" s="54">
        <f ca="1">ROUND(F61*F62/10000,1)</f>
        <v>9</v>
      </c>
      <c r="D61" s="813" t="s">
        <v>669</v>
      </c>
      <c r="E61" s="783" t="s">
        <v>670</v>
      </c>
      <c r="F61" s="639">
        <f t="shared" si="0"/>
        <v>7</v>
      </c>
      <c r="K61" s="2084"/>
      <c r="O61" s="2399" t="s">
        <v>2386</v>
      </c>
      <c r="P61" s="2397" t="s">
        <v>2394</v>
      </c>
      <c r="Q61" s="2398" t="e">
        <f ca="1">L58</f>
        <v>#DIV/0!</v>
      </c>
      <c r="R61" s="2401" t="s">
        <v>2395</v>
      </c>
    </row>
    <row r="62" spans="1:18" s="2057" customFormat="1" ht="15.75" thickBot="1">
      <c r="A62" s="814"/>
      <c r="B62" s="792"/>
      <c r="C62" s="69"/>
      <c r="D62" s="815"/>
      <c r="E62" s="783" t="s">
        <v>674</v>
      </c>
      <c r="F62" s="784">
        <f t="shared" ca="1" si="0"/>
        <v>12877.67</v>
      </c>
      <c r="I62" s="3172" t="s">
        <v>2367</v>
      </c>
      <c r="J62" s="3173" t="s">
        <v>2368</v>
      </c>
      <c r="K62" s="3173" t="s">
        <v>2369</v>
      </c>
      <c r="L62" s="3173" t="s">
        <v>2350</v>
      </c>
      <c r="M62" s="3174" t="s">
        <v>2943</v>
      </c>
      <c r="O62" s="2399" t="s">
        <v>2388</v>
      </c>
      <c r="P62" s="2397" t="str">
        <f>K59</f>
        <v>建设期及建筑物耐用年限下的土地年期修正系数Kn</v>
      </c>
      <c r="Q62" s="2398" t="e">
        <f ca="1">L59</f>
        <v>#DIV/0!</v>
      </c>
      <c r="R62" s="2401" t="s">
        <v>2397</v>
      </c>
    </row>
    <row r="63" spans="1:18" s="2057" customFormat="1" ht="15.75" thickBot="1">
      <c r="A63" s="1646" t="s">
        <v>1890</v>
      </c>
      <c r="B63" s="783" t="s">
        <v>676</v>
      </c>
      <c r="C63" s="53">
        <f ca="1">ROUND(C56*F63,1)</f>
        <v>185.6</v>
      </c>
      <c r="D63" s="3179" t="s">
        <v>691</v>
      </c>
      <c r="E63" s="783" t="s">
        <v>649</v>
      </c>
      <c r="F63" s="816">
        <f t="shared" ca="1" si="0"/>
        <v>1.4999999999999999E-2</v>
      </c>
      <c r="I63" s="3172" t="s">
        <v>2370</v>
      </c>
      <c r="J63" s="3173">
        <v>70</v>
      </c>
      <c r="K63" s="3173">
        <v>50</v>
      </c>
      <c r="L63" s="3173">
        <v>80</v>
      </c>
      <c r="M63" s="3175">
        <v>0.02</v>
      </c>
      <c r="O63" s="2396" t="s">
        <v>2391</v>
      </c>
      <c r="P63" s="2397" t="s">
        <v>2408</v>
      </c>
      <c r="Q63" s="2398">
        <f ca="1">Q57+Q58</f>
        <v>10723</v>
      </c>
      <c r="R63" s="2401" t="s">
        <v>2392</v>
      </c>
    </row>
    <row r="64" spans="1:18" s="2057" customFormat="1" ht="16.5" thickBot="1">
      <c r="A64" s="1646" t="s">
        <v>1891</v>
      </c>
      <c r="B64" s="783" t="s">
        <v>679</v>
      </c>
      <c r="C64" s="53">
        <f ca="1">ROUND(C55*F64,1)</f>
        <v>18.600000000000001</v>
      </c>
      <c r="D64" s="3179" t="s">
        <v>680</v>
      </c>
      <c r="E64" s="783" t="s">
        <v>649</v>
      </c>
      <c r="F64" s="817">
        <f t="shared" ca="1" si="0"/>
        <v>1.5E-3</v>
      </c>
      <c r="I64" s="3172" t="s">
        <v>2371</v>
      </c>
      <c r="J64" s="3173">
        <v>50</v>
      </c>
      <c r="K64" s="3173">
        <v>35</v>
      </c>
      <c r="L64" s="3173">
        <v>60</v>
      </c>
      <c r="M64" s="845">
        <v>0</v>
      </c>
      <c r="O64" s="2402" t="s">
        <v>2415</v>
      </c>
      <c r="P64" s="1589"/>
      <c r="Q64" s="1601"/>
      <c r="R64" s="1589"/>
    </row>
    <row r="65" spans="1:18" s="2057" customFormat="1" ht="15.75" thickBot="1">
      <c r="A65" s="1646" t="s">
        <v>1892</v>
      </c>
      <c r="B65" s="783" t="s">
        <v>666</v>
      </c>
      <c r="C65" s="53">
        <f ca="1">ROUND(C47*F65,1)</f>
        <v>0</v>
      </c>
      <c r="D65" s="3179" t="s">
        <v>683</v>
      </c>
      <c r="E65" s="783" t="s">
        <v>649</v>
      </c>
      <c r="F65" s="793">
        <f t="shared" ca="1" si="0"/>
        <v>0.01</v>
      </c>
      <c r="I65" s="3172" t="s">
        <v>2372</v>
      </c>
      <c r="J65" s="3173">
        <v>40</v>
      </c>
      <c r="K65" s="3173">
        <v>30</v>
      </c>
      <c r="L65" s="3173">
        <v>50</v>
      </c>
      <c r="M65" s="3175">
        <v>0.02</v>
      </c>
      <c r="O65" s="2393" t="s">
        <v>2375</v>
      </c>
      <c r="P65" s="2394" t="s">
        <v>2376</v>
      </c>
      <c r="Q65" s="2395" t="s">
        <v>2377</v>
      </c>
      <c r="R65" s="2394" t="s">
        <v>2378</v>
      </c>
    </row>
    <row r="66" spans="1:18" s="2057" customFormat="1" ht="24.75" thickBot="1">
      <c r="A66" s="796" t="s">
        <v>1777</v>
      </c>
      <c r="B66" s="3009" t="s">
        <v>2821</v>
      </c>
      <c r="C66" s="798">
        <f ca="1">C47-C57</f>
        <v>-213</v>
      </c>
      <c r="D66" s="3181" t="s">
        <v>700</v>
      </c>
      <c r="E66" s="3184"/>
      <c r="F66" s="819"/>
      <c r="K66" s="2084"/>
      <c r="O66" s="2396" t="s">
        <v>2379</v>
      </c>
      <c r="P66" s="2397" t="s">
        <v>2405</v>
      </c>
      <c r="Q66" s="2398">
        <f ca="1">C40+J29</f>
        <v>10723</v>
      </c>
      <c r="R66" s="2397" t="s">
        <v>2380</v>
      </c>
    </row>
    <row r="67" spans="1:18" s="2057" customFormat="1" ht="20.25" thickBot="1">
      <c r="A67" s="780" t="s">
        <v>1781</v>
      </c>
      <c r="B67" s="2230" t="s">
        <v>2301</v>
      </c>
      <c r="C67" s="782">
        <f ca="1">ROUND(C66*(1-((1+F69)/(1+F67))^F68)/(F67-F69),0)</f>
        <v>-3584</v>
      </c>
      <c r="D67" s="813" t="s">
        <v>704</v>
      </c>
      <c r="E67" s="783" t="s">
        <v>705</v>
      </c>
      <c r="F67" s="793">
        <f ca="1">F40</f>
        <v>5.5E-2</v>
      </c>
      <c r="K67" s="2084"/>
      <c r="O67" s="2396" t="s">
        <v>2381</v>
      </c>
      <c r="P67" s="2397" t="s">
        <v>2412</v>
      </c>
      <c r="Q67" s="2398">
        <f ca="1">L60</f>
        <v>0</v>
      </c>
      <c r="R67" s="2401" t="s">
        <v>2414</v>
      </c>
    </row>
    <row r="68" spans="1:18" ht="21.75" thickBot="1">
      <c r="A68" s="785"/>
      <c r="B68" s="786"/>
      <c r="C68" s="787"/>
      <c r="D68" s="820" t="s">
        <v>1809</v>
      </c>
      <c r="E68" s="783" t="s">
        <v>708</v>
      </c>
      <c r="F68" s="821">
        <f ca="1">F41</f>
        <v>48.48</v>
      </c>
      <c r="O68" s="2399" t="s">
        <v>2383</v>
      </c>
      <c r="P68" s="2397" t="s">
        <v>2413</v>
      </c>
      <c r="Q68" s="2403">
        <f ca="1">L51</f>
        <v>-13079</v>
      </c>
      <c r="R68" s="2404" t="s">
        <v>2416</v>
      </c>
    </row>
    <row r="69" spans="1:18" ht="20.25" thickBot="1">
      <c r="A69" s="789"/>
      <c r="B69" s="790"/>
      <c r="C69" s="791"/>
      <c r="D69" s="815"/>
      <c r="E69" s="783" t="s">
        <v>710</v>
      </c>
      <c r="F69" s="2369"/>
      <c r="O69" s="2399" t="s">
        <v>2384</v>
      </c>
      <c r="P69" s="2405" t="s">
        <v>2398</v>
      </c>
      <c r="Q69" s="2398">
        <f ca="1">ROUND(Q70-Q71*Q72,0)</f>
        <v>-662</v>
      </c>
      <c r="R69" s="2401"/>
    </row>
    <row r="70" spans="1:18" ht="15.75" thickBot="1">
      <c r="A70" s="822" t="s">
        <v>1788</v>
      </c>
      <c r="B70" s="823" t="s">
        <v>1811</v>
      </c>
      <c r="C70" s="824">
        <f ca="1">ROUND(C67*10000/F70,0)</f>
        <v>-1275</v>
      </c>
      <c r="D70" s="825" t="s">
        <v>1812</v>
      </c>
      <c r="E70" s="826" t="s">
        <v>1813</v>
      </c>
      <c r="F70" s="827">
        <f ca="1">F43</f>
        <v>28104</v>
      </c>
      <c r="O70" s="2399" t="s">
        <v>2399</v>
      </c>
      <c r="P70" s="2405" t="s">
        <v>2400</v>
      </c>
      <c r="Q70" s="2398">
        <f ca="1">C39</f>
        <v>390</v>
      </c>
      <c r="R70" s="2397" t="s">
        <v>2380</v>
      </c>
    </row>
    <row r="71" spans="1:18" ht="15.75" thickBot="1">
      <c r="O71" s="2399" t="s">
        <v>2401</v>
      </c>
      <c r="P71" s="2405" t="s">
        <v>2402</v>
      </c>
      <c r="Q71" s="2398">
        <f ca="1">C13</f>
        <v>12375</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10723</v>
      </c>
      <c r="R76" s="240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8"/>
      <c r="E1" s="505"/>
      <c r="F1" s="2805"/>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521</v>
      </c>
      <c r="B4" s="512"/>
      <c r="C4" s="3677" t="s">
        <v>522</v>
      </c>
      <c r="D4" s="3678"/>
      <c r="E4" s="3702" t="s">
        <v>523</v>
      </c>
      <c r="F4" s="3703"/>
      <c r="G4" s="3677" t="s">
        <v>524</v>
      </c>
      <c r="H4" s="3678"/>
      <c r="I4" s="3677" t="s">
        <v>525</v>
      </c>
      <c r="J4" s="3678"/>
      <c r="K4" s="513" t="s">
        <v>526</v>
      </c>
      <c r="L4" s="2131"/>
      <c r="M4" s="2132"/>
      <c r="N4" s="2132"/>
      <c r="O4" s="2132"/>
      <c r="P4" s="3679" t="s">
        <v>527</v>
      </c>
      <c r="Q4" s="3680"/>
      <c r="R4" s="3665" t="s">
        <v>523</v>
      </c>
      <c r="S4" s="3666"/>
      <c r="T4" s="3665" t="s">
        <v>524</v>
      </c>
      <c r="U4" s="3666"/>
      <c r="V4" s="3685" t="s">
        <v>525</v>
      </c>
      <c r="W4" s="3685"/>
      <c r="X4" s="1564"/>
      <c r="Y4" s="3665" t="s">
        <v>527</v>
      </c>
      <c r="Z4" s="3666"/>
      <c r="AA4" s="3660" t="s">
        <v>523</v>
      </c>
      <c r="AB4" s="3685" t="s">
        <v>524</v>
      </c>
      <c r="AC4" s="3660" t="s">
        <v>525</v>
      </c>
    </row>
    <row r="5" spans="1:29" ht="15">
      <c r="A5" s="514"/>
      <c r="B5" s="515"/>
      <c r="C5" s="3688" t="s">
        <v>2928</v>
      </c>
      <c r="D5" s="3689"/>
      <c r="E5" s="3704" t="s">
        <v>2929</v>
      </c>
      <c r="F5" s="3705"/>
      <c r="G5" s="3688" t="s">
        <v>2930</v>
      </c>
      <c r="H5" s="3689"/>
      <c r="I5" s="3688" t="s">
        <v>2931</v>
      </c>
      <c r="J5" s="3689"/>
      <c r="K5" s="513"/>
      <c r="L5" s="2131"/>
      <c r="M5" s="2132"/>
      <c r="N5" s="2132"/>
      <c r="O5" s="2132"/>
      <c r="P5" s="3681"/>
      <c r="Q5" s="3682"/>
      <c r="R5" s="3667"/>
      <c r="S5" s="3668"/>
      <c r="T5" s="3667"/>
      <c r="U5" s="3668"/>
      <c r="V5" s="3685"/>
      <c r="W5" s="3685"/>
      <c r="X5" s="1564"/>
      <c r="Y5" s="3667"/>
      <c r="Z5" s="3668"/>
      <c r="AA5" s="3661"/>
      <c r="AB5" s="3685"/>
      <c r="AC5" s="3661"/>
    </row>
    <row r="6" spans="1:29" ht="15.75" thickBot="1">
      <c r="A6" s="516"/>
      <c r="B6" s="517"/>
      <c r="C6" s="3686" t="s">
        <v>2932</v>
      </c>
      <c r="D6" s="3687"/>
      <c r="E6" s="3706" t="s">
        <v>2932</v>
      </c>
      <c r="F6" s="3707"/>
      <c r="G6" s="3686" t="s">
        <v>2932</v>
      </c>
      <c r="H6" s="3687"/>
      <c r="I6" s="3686" t="s">
        <v>2932</v>
      </c>
      <c r="J6" s="3687"/>
      <c r="K6" s="513" t="s">
        <v>528</v>
      </c>
      <c r="L6" s="2131"/>
      <c r="M6" s="2132"/>
      <c r="N6" s="2132"/>
      <c r="O6" s="2132"/>
      <c r="P6" s="3683"/>
      <c r="Q6" s="3684"/>
      <c r="R6" s="3667"/>
      <c r="S6" s="3668"/>
      <c r="T6" s="3669"/>
      <c r="U6" s="3670"/>
      <c r="V6" s="3685"/>
      <c r="W6" s="3685"/>
      <c r="X6" s="1564"/>
      <c r="Y6" s="3669"/>
      <c r="Z6" s="3670"/>
      <c r="AA6" s="3662"/>
      <c r="AB6" s="3685"/>
      <c r="AC6" s="3662"/>
    </row>
    <row r="7" spans="1:29" s="1218" customFormat="1" ht="15.75" thickBot="1">
      <c r="A7" s="2910"/>
      <c r="B7" s="2917" t="s">
        <v>529</v>
      </c>
      <c r="C7" s="518">
        <f>'数据-取费表'!B2</f>
        <v>43346</v>
      </c>
      <c r="D7" s="519">
        <v>100</v>
      </c>
      <c r="E7" s="520"/>
      <c r="F7" s="521">
        <f>SUMIF(58:58,YEAR(E7)&amp;"-"&amp;MONTH(E7),59:59)</f>
        <v>0</v>
      </c>
      <c r="G7" s="520"/>
      <c r="H7" s="519">
        <f>SUMIF(58:58,YEAR(G7)&amp;"-"&amp;MONTH(G7),59:59)</f>
        <v>0</v>
      </c>
      <c r="I7" s="520"/>
      <c r="J7" s="519">
        <f>SUMIF(58:58,YEAR(I7)&amp;"-"&amp;MONTH(I7),59:59)</f>
        <v>0</v>
      </c>
      <c r="K7" s="523"/>
      <c r="L7" s="2133"/>
      <c r="M7" s="2134"/>
      <c r="N7" s="2134"/>
      <c r="O7" s="2134"/>
      <c r="P7" s="3663" t="s">
        <v>530</v>
      </c>
      <c r="Q7" s="3672"/>
      <c r="R7" s="1565" t="s">
        <v>8</v>
      </c>
      <c r="S7" s="1566">
        <f t="shared" ref="S7:S15" si="0">F7</f>
        <v>0</v>
      </c>
      <c r="T7" s="1565" t="s">
        <v>8</v>
      </c>
      <c r="U7" s="1566">
        <f t="shared" ref="U7:U15" si="1">H7</f>
        <v>0</v>
      </c>
      <c r="V7" s="1565" t="s">
        <v>8</v>
      </c>
      <c r="W7" s="1566">
        <f t="shared" ref="W7:W15" si="2">J7</f>
        <v>0</v>
      </c>
      <c r="X7" s="1567"/>
      <c r="Y7" s="3663" t="s">
        <v>530</v>
      </c>
      <c r="Z7" s="3664"/>
      <c r="AA7" s="1568" t="e">
        <f>D7/F7</f>
        <v>#DIV/0!</v>
      </c>
      <c r="AB7" s="1568" t="e">
        <f>D7/H7</f>
        <v>#DIV/0!</v>
      </c>
      <c r="AC7" s="1568" t="e">
        <f>D7/J7</f>
        <v>#DIV/0!</v>
      </c>
    </row>
    <row r="8" spans="1:29" s="1218" customFormat="1" ht="15.75" thickBot="1">
      <c r="A8" s="2911"/>
      <c r="B8" s="2918"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663" t="s">
        <v>533</v>
      </c>
      <c r="Q8" s="3664"/>
      <c r="R8" s="1565" t="s">
        <v>8</v>
      </c>
      <c r="S8" s="1566">
        <f t="shared" si="0"/>
        <v>0</v>
      </c>
      <c r="T8" s="1565" t="s">
        <v>8</v>
      </c>
      <c r="U8" s="1566">
        <f t="shared" si="1"/>
        <v>0</v>
      </c>
      <c r="V8" s="1565" t="s">
        <v>8</v>
      </c>
      <c r="W8" s="1566">
        <f t="shared" si="2"/>
        <v>0</v>
      </c>
      <c r="X8" s="1567"/>
      <c r="Y8" s="3663" t="s">
        <v>533</v>
      </c>
      <c r="Z8" s="3664"/>
      <c r="AA8" s="1568" t="e">
        <f t="shared" ref="AA8:AA46" si="3">D8/F8</f>
        <v>#DIV/0!</v>
      </c>
      <c r="AB8" s="1568" t="e">
        <f t="shared" ref="AB8:AB46" si="4">D8/H8</f>
        <v>#DIV/0!</v>
      </c>
      <c r="AC8" s="1568" t="e">
        <f t="shared" ref="AC8:AC46" si="5">D8/J8</f>
        <v>#DIV/0!</v>
      </c>
    </row>
    <row r="9" spans="1:29" s="1218" customFormat="1" ht="15">
      <c r="A9" s="2912"/>
      <c r="B9" s="2919" t="s">
        <v>2755</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671" t="s">
        <v>535</v>
      </c>
      <c r="Q9" s="1149" t="str">
        <f t="shared" ref="Q9:Q15" si="6">B9</f>
        <v>用途</v>
      </c>
      <c r="R9" s="1565" t="s">
        <v>8</v>
      </c>
      <c r="S9" s="1566">
        <f t="shared" si="0"/>
        <v>100</v>
      </c>
      <c r="T9" s="1565" t="s">
        <v>8</v>
      </c>
      <c r="U9" s="1566">
        <f t="shared" si="1"/>
        <v>100</v>
      </c>
      <c r="V9" s="1565" t="s">
        <v>8</v>
      </c>
      <c r="W9" s="1566">
        <f t="shared" si="2"/>
        <v>100</v>
      </c>
      <c r="X9" s="1567"/>
      <c r="Y9" s="3628" t="s">
        <v>536</v>
      </c>
      <c r="Z9" s="1148" t="str">
        <f t="shared" ref="Z9:Z15" si="7">Q9</f>
        <v>用途</v>
      </c>
      <c r="AA9" s="1568">
        <f t="shared" si="3"/>
        <v>1</v>
      </c>
      <c r="AB9" s="1568">
        <f t="shared" si="4"/>
        <v>1</v>
      </c>
      <c r="AC9" s="1568">
        <f t="shared" si="5"/>
        <v>1</v>
      </c>
    </row>
    <row r="10" spans="1:29" s="1336" customFormat="1" ht="27">
      <c r="A10" s="2913"/>
      <c r="B10" s="2918" t="s">
        <v>2756</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671"/>
      <c r="Q10" s="1149" t="str">
        <f t="shared" si="6"/>
        <v>土地使用年限（年）</v>
      </c>
      <c r="R10" s="1565" t="s">
        <v>8</v>
      </c>
      <c r="S10" s="1566">
        <f t="shared" si="0"/>
        <v>100</v>
      </c>
      <c r="T10" s="1565" t="s">
        <v>8</v>
      </c>
      <c r="U10" s="1566">
        <f t="shared" si="1"/>
        <v>100</v>
      </c>
      <c r="V10" s="1565" t="s">
        <v>8</v>
      </c>
      <c r="W10" s="1566">
        <f t="shared" si="2"/>
        <v>100</v>
      </c>
      <c r="X10" s="1567"/>
      <c r="Y10" s="3628"/>
      <c r="Z10" s="1148" t="str">
        <f t="shared" si="7"/>
        <v>土地使用年限（年）</v>
      </c>
      <c r="AA10" s="1568">
        <f t="shared" si="3"/>
        <v>1</v>
      </c>
      <c r="AB10" s="1568">
        <f t="shared" si="4"/>
        <v>1</v>
      </c>
      <c r="AC10" s="1568">
        <f t="shared" si="5"/>
        <v>1</v>
      </c>
    </row>
    <row r="11" spans="1:29" ht="15">
      <c r="A11" s="2914"/>
      <c r="B11" s="2918"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671"/>
      <c r="Q11" s="1149" t="str">
        <f t="shared" si="6"/>
        <v>容积率</v>
      </c>
      <c r="R11" s="1565" t="s">
        <v>8</v>
      </c>
      <c r="S11" s="1566" t="e">
        <f t="shared" si="0"/>
        <v>#N/A</v>
      </c>
      <c r="T11" s="1565" t="s">
        <v>8</v>
      </c>
      <c r="U11" s="1566" t="e">
        <f t="shared" si="1"/>
        <v>#N/A</v>
      </c>
      <c r="V11" s="1565" t="s">
        <v>8</v>
      </c>
      <c r="W11" s="1566" t="e">
        <f t="shared" si="2"/>
        <v>#N/A</v>
      </c>
      <c r="X11" s="1567"/>
      <c r="Y11" s="3628"/>
      <c r="Z11" s="1148" t="str">
        <f t="shared" si="7"/>
        <v>容积率</v>
      </c>
      <c r="AA11" s="1568" t="e">
        <f t="shared" si="3"/>
        <v>#N/A</v>
      </c>
      <c r="AB11" s="1568" t="e">
        <f t="shared" si="4"/>
        <v>#N/A</v>
      </c>
      <c r="AC11" s="1568" t="e">
        <f t="shared" si="5"/>
        <v>#N/A</v>
      </c>
    </row>
    <row r="12" spans="1:29" s="1218" customFormat="1" ht="15">
      <c r="A12" s="2915"/>
      <c r="B12" s="2921">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671"/>
      <c r="Q12" s="1149">
        <f t="shared" si="6"/>
        <v>111</v>
      </c>
      <c r="R12" s="1565" t="s">
        <v>8</v>
      </c>
      <c r="S12" s="1566">
        <f t="shared" si="0"/>
        <v>100</v>
      </c>
      <c r="T12" s="1565" t="s">
        <v>8</v>
      </c>
      <c r="U12" s="1566">
        <f t="shared" si="1"/>
        <v>100</v>
      </c>
      <c r="V12" s="1565" t="s">
        <v>8</v>
      </c>
      <c r="W12" s="1566">
        <f t="shared" si="2"/>
        <v>100</v>
      </c>
      <c r="X12" s="1567"/>
      <c r="Y12" s="3628"/>
      <c r="Z12" s="1148">
        <f t="shared" si="7"/>
        <v>111</v>
      </c>
      <c r="AA12" s="1568">
        <f>D12/F12</f>
        <v>1</v>
      </c>
      <c r="AB12" s="1568">
        <f>D12/H12</f>
        <v>1</v>
      </c>
      <c r="AC12" s="1568">
        <f>D12/J12</f>
        <v>1</v>
      </c>
    </row>
    <row r="13" spans="1:29" ht="15">
      <c r="A13" s="2915"/>
      <c r="B13" s="2921">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671"/>
      <c r="Q13" s="1149">
        <f t="shared" si="6"/>
        <v>111</v>
      </c>
      <c r="R13" s="1565" t="s">
        <v>8</v>
      </c>
      <c r="S13" s="1566">
        <f t="shared" si="0"/>
        <v>100</v>
      </c>
      <c r="T13" s="1565" t="s">
        <v>8</v>
      </c>
      <c r="U13" s="1566">
        <f t="shared" si="1"/>
        <v>100</v>
      </c>
      <c r="V13" s="1565" t="s">
        <v>8</v>
      </c>
      <c r="W13" s="1566">
        <f t="shared" si="2"/>
        <v>100</v>
      </c>
      <c r="X13" s="1567"/>
      <c r="Y13" s="3628"/>
      <c r="Z13" s="1148">
        <f t="shared" si="7"/>
        <v>111</v>
      </c>
      <c r="AA13" s="1568">
        <f t="shared" si="3"/>
        <v>1</v>
      </c>
      <c r="AB13" s="1568">
        <f t="shared" si="4"/>
        <v>1</v>
      </c>
      <c r="AC13" s="1568">
        <f t="shared" si="5"/>
        <v>1</v>
      </c>
    </row>
    <row r="14" spans="1:29" ht="15.75" thickBot="1">
      <c r="A14" s="2916"/>
      <c r="B14" s="2922">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671"/>
      <c r="Q14" s="1149">
        <f t="shared" si="6"/>
        <v>111</v>
      </c>
      <c r="R14" s="1565" t="s">
        <v>8</v>
      </c>
      <c r="S14" s="1566">
        <f t="shared" si="0"/>
        <v>100</v>
      </c>
      <c r="T14" s="1565" t="s">
        <v>8</v>
      </c>
      <c r="U14" s="1566">
        <f t="shared" si="1"/>
        <v>100</v>
      </c>
      <c r="V14" s="1565" t="s">
        <v>8</v>
      </c>
      <c r="W14" s="1566">
        <f t="shared" si="2"/>
        <v>100</v>
      </c>
      <c r="X14" s="1567"/>
      <c r="Y14" s="3628"/>
      <c r="Z14" s="1148">
        <f t="shared" si="7"/>
        <v>111</v>
      </c>
      <c r="AA14" s="1568">
        <f t="shared" si="3"/>
        <v>1</v>
      </c>
      <c r="AB14" s="1568">
        <f t="shared" si="4"/>
        <v>1</v>
      </c>
      <c r="AC14" s="1568">
        <f t="shared" si="5"/>
        <v>1</v>
      </c>
    </row>
    <row r="15" spans="1:29" ht="71.25">
      <c r="A15" s="2908"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673" t="s">
        <v>540</v>
      </c>
      <c r="Q15" s="1569" t="str">
        <f t="shared" si="6"/>
        <v>商业繁华度</v>
      </c>
      <c r="R15" s="1570" t="s">
        <v>8</v>
      </c>
      <c r="S15" s="1571">
        <f t="shared" si="0"/>
        <v>100</v>
      </c>
      <c r="T15" s="1570" t="s">
        <v>8</v>
      </c>
      <c r="U15" s="1571">
        <f t="shared" si="1"/>
        <v>100</v>
      </c>
      <c r="V15" s="1570" t="s">
        <v>8</v>
      </c>
      <c r="W15" s="1571">
        <f t="shared" si="2"/>
        <v>100</v>
      </c>
      <c r="X15" s="1564"/>
      <c r="Y15" s="3673" t="s">
        <v>540</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40"/>
      <c r="M16" s="2132"/>
      <c r="N16" s="2132"/>
      <c r="O16" s="2139"/>
      <c r="P16" s="3674"/>
      <c r="Q16" s="1569"/>
      <c r="R16" s="1570"/>
      <c r="S16" s="1571"/>
      <c r="T16" s="1570"/>
      <c r="U16" s="1571"/>
      <c r="V16" s="1570"/>
      <c r="W16" s="1571"/>
      <c r="X16" s="1564"/>
      <c r="Y16" s="3674"/>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674"/>
      <c r="Q17" s="1569" t="str">
        <f>B17</f>
        <v>交通便捷度</v>
      </c>
      <c r="R17" s="1570" t="s">
        <v>8</v>
      </c>
      <c r="S17" s="1571">
        <f>F17</f>
        <v>100</v>
      </c>
      <c r="T17" s="1570" t="s">
        <v>8</v>
      </c>
      <c r="U17" s="1571">
        <f>H17</f>
        <v>100</v>
      </c>
      <c r="V17" s="1570" t="s">
        <v>8</v>
      </c>
      <c r="W17" s="1571">
        <f>J17</f>
        <v>100</v>
      </c>
      <c r="X17" s="1564"/>
      <c r="Y17" s="3674"/>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40"/>
      <c r="M18" s="2132"/>
      <c r="N18" s="2132"/>
      <c r="O18" s="2139"/>
      <c r="P18" s="3674"/>
      <c r="Q18" s="1569"/>
      <c r="R18" s="1570"/>
      <c r="S18" s="1571"/>
      <c r="T18" s="1570"/>
      <c r="U18" s="1571"/>
      <c r="V18" s="1570"/>
      <c r="W18" s="1571"/>
      <c r="X18" s="1564"/>
      <c r="Y18" s="3674"/>
      <c r="Z18" s="1572"/>
      <c r="AA18" s="1573">
        <v>1</v>
      </c>
      <c r="AB18" s="1573">
        <v>1</v>
      </c>
      <c r="AC18" s="1573">
        <v>1</v>
      </c>
    </row>
    <row r="19" spans="1:29" ht="42.75">
      <c r="A19" s="531"/>
      <c r="B19" s="2598"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674"/>
      <c r="Q19" s="1569" t="str">
        <f>B19</f>
        <v>公共配套设施</v>
      </c>
      <c r="R19" s="1570" t="s">
        <v>8</v>
      </c>
      <c r="S19" s="1571">
        <f>F19</f>
        <v>100</v>
      </c>
      <c r="T19" s="1570" t="s">
        <v>8</v>
      </c>
      <c r="U19" s="1571">
        <f>H19</f>
        <v>100</v>
      </c>
      <c r="V19" s="1570" t="s">
        <v>8</v>
      </c>
      <c r="W19" s="1571">
        <f>J19</f>
        <v>100</v>
      </c>
      <c r="X19" s="1564"/>
      <c r="Y19" s="3674"/>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40"/>
      <c r="M20" s="2132"/>
      <c r="N20" s="2132"/>
      <c r="O20" s="2139"/>
      <c r="P20" s="3674"/>
      <c r="Q20" s="1569"/>
      <c r="R20" s="1570"/>
      <c r="S20" s="1571"/>
      <c r="T20" s="1570"/>
      <c r="U20" s="1571"/>
      <c r="V20" s="1570"/>
      <c r="W20" s="1571"/>
      <c r="X20" s="1564"/>
      <c r="Y20" s="3674"/>
      <c r="Z20" s="1572"/>
      <c r="AA20" s="1573">
        <v>1</v>
      </c>
      <c r="AB20" s="1573">
        <v>1</v>
      </c>
      <c r="AC20" s="1573">
        <v>1</v>
      </c>
    </row>
    <row r="21" spans="1:29" ht="28.5">
      <c r="A21" s="531"/>
      <c r="B21" s="2591"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674"/>
      <c r="Q21" s="2577" t="str">
        <f>B21</f>
        <v>基础设施水平</v>
      </c>
      <c r="R21" s="1570" t="s">
        <v>8</v>
      </c>
      <c r="S21" s="1571">
        <f>F21</f>
        <v>100</v>
      </c>
      <c r="T21" s="1570" t="s">
        <v>8</v>
      </c>
      <c r="U21" s="1571">
        <f>H21</f>
        <v>100</v>
      </c>
      <c r="V21" s="1570" t="s">
        <v>8</v>
      </c>
      <c r="W21" s="1571">
        <f>J21</f>
        <v>100</v>
      </c>
      <c r="X21" s="2579"/>
      <c r="Y21" s="3674"/>
      <c r="Z21" s="2578" t="str">
        <f>Q21</f>
        <v>基础设施水平</v>
      </c>
      <c r="AA21" s="1573">
        <f t="shared" ref="AA21" si="8">D21/F21</f>
        <v>1</v>
      </c>
      <c r="AB21" s="1573">
        <f t="shared" ref="AB21" si="9">D21/H21</f>
        <v>1</v>
      </c>
      <c r="AC21" s="1573">
        <f t="shared" ref="AC21" si="10">D21/J21</f>
        <v>1</v>
      </c>
    </row>
    <row r="22" spans="1:29" ht="15">
      <c r="A22" s="531"/>
      <c r="B22" s="920"/>
      <c r="C22" s="872"/>
      <c r="D22" s="554"/>
      <c r="E22" s="575"/>
      <c r="F22" s="556"/>
      <c r="G22" s="575"/>
      <c r="H22" s="554"/>
      <c r="I22" s="575"/>
      <c r="J22" s="554"/>
      <c r="K22" s="2600"/>
      <c r="L22" s="2140"/>
      <c r="M22" s="2132"/>
      <c r="N22" s="2132"/>
      <c r="O22" s="2139"/>
      <c r="P22" s="3674"/>
      <c r="Q22" s="2577"/>
      <c r="R22" s="1570"/>
      <c r="S22" s="1571"/>
      <c r="T22" s="1570"/>
      <c r="U22" s="1571"/>
      <c r="V22" s="1570"/>
      <c r="W22" s="1571"/>
      <c r="X22" s="2579"/>
      <c r="Y22" s="3674"/>
      <c r="Z22" s="2578"/>
      <c r="AA22" s="1573">
        <v>1</v>
      </c>
      <c r="AB22" s="1573">
        <v>1</v>
      </c>
      <c r="AC22" s="1573">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674"/>
      <c r="Q23" s="1569" t="str">
        <f>B23</f>
        <v>自然及人文环境</v>
      </c>
      <c r="R23" s="1570" t="s">
        <v>8</v>
      </c>
      <c r="S23" s="1571">
        <f>F23</f>
        <v>100</v>
      </c>
      <c r="T23" s="1570" t="s">
        <v>8</v>
      </c>
      <c r="U23" s="1571">
        <f>H23</f>
        <v>100</v>
      </c>
      <c r="V23" s="1570" t="s">
        <v>8</v>
      </c>
      <c r="W23" s="1571">
        <f>J23</f>
        <v>100</v>
      </c>
      <c r="X23" s="1564"/>
      <c r="Y23" s="3674"/>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40"/>
      <c r="M24" s="2132"/>
      <c r="N24" s="2132"/>
      <c r="O24" s="2139"/>
      <c r="P24" s="3674"/>
      <c r="Q24" s="1569"/>
      <c r="R24" s="1570"/>
      <c r="S24" s="1571"/>
      <c r="T24" s="1570"/>
      <c r="U24" s="1571"/>
      <c r="V24" s="1570"/>
      <c r="W24" s="1571"/>
      <c r="X24" s="1564"/>
      <c r="Y24" s="3674"/>
      <c r="Z24" s="1572"/>
      <c r="AA24" s="1573">
        <v>1</v>
      </c>
      <c r="AB24" s="1573">
        <v>1</v>
      </c>
      <c r="AC24" s="1573">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674"/>
      <c r="Q25" s="1569" t="str">
        <f t="shared" ref="Q25:Q46" si="11">B25</f>
        <v>临街状况</v>
      </c>
      <c r="R25" s="1570" t="s">
        <v>8</v>
      </c>
      <c r="S25" s="1571">
        <f>F25</f>
        <v>100</v>
      </c>
      <c r="T25" s="1570" t="s">
        <v>8</v>
      </c>
      <c r="U25" s="1571">
        <f>H25</f>
        <v>100</v>
      </c>
      <c r="V25" s="1570" t="s">
        <v>8</v>
      </c>
      <c r="W25" s="1571">
        <f>J25</f>
        <v>100</v>
      </c>
      <c r="X25" s="1564"/>
      <c r="Y25" s="3674"/>
      <c r="Z25" s="1572" t="str">
        <f>Q25</f>
        <v>临街状况</v>
      </c>
      <c r="AA25" s="1573">
        <f t="shared" si="3"/>
        <v>1</v>
      </c>
      <c r="AB25" s="1573">
        <f t="shared" si="4"/>
        <v>1</v>
      </c>
      <c r="AC25" s="1573">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674"/>
      <c r="Q26" s="1569" t="str">
        <f t="shared" si="11"/>
        <v>平面位置/可视性</v>
      </c>
      <c r="R26" s="1570" t="s">
        <v>8</v>
      </c>
      <c r="S26" s="1571">
        <f>F26</f>
        <v>100</v>
      </c>
      <c r="T26" s="1570" t="s">
        <v>8</v>
      </c>
      <c r="U26" s="1571">
        <f>H26</f>
        <v>100</v>
      </c>
      <c r="V26" s="1570" t="s">
        <v>8</v>
      </c>
      <c r="W26" s="1571">
        <f>J26</f>
        <v>100</v>
      </c>
      <c r="X26" s="1564"/>
      <c r="Y26" s="3674"/>
      <c r="Z26" s="1572" t="str">
        <f>Q26</f>
        <v>平面位置/可视性</v>
      </c>
      <c r="AA26" s="1573">
        <f t="shared" si="3"/>
        <v>1</v>
      </c>
      <c r="AB26" s="1573">
        <f t="shared" si="4"/>
        <v>1</v>
      </c>
      <c r="AC26" s="1573">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674"/>
      <c r="Q27" s="1149" t="str">
        <f t="shared" si="11"/>
        <v>人流量</v>
      </c>
      <c r="R27" s="1565" t="s">
        <v>8</v>
      </c>
      <c r="S27" s="1566">
        <f>F27</f>
        <v>100</v>
      </c>
      <c r="T27" s="1565" t="s">
        <v>8</v>
      </c>
      <c r="U27" s="1566">
        <f>H27</f>
        <v>100</v>
      </c>
      <c r="V27" s="1565" t="s">
        <v>8</v>
      </c>
      <c r="W27" s="1566">
        <f>J27</f>
        <v>100</v>
      </c>
      <c r="X27" s="1567"/>
      <c r="Y27" s="3674"/>
      <c r="Z27" s="1148" t="str">
        <f>Q27</f>
        <v>人流量</v>
      </c>
      <c r="AA27" s="1573">
        <f>D27/F27</f>
        <v>1</v>
      </c>
      <c r="AB27" s="1573">
        <f>D27/H27</f>
        <v>1</v>
      </c>
      <c r="AC27" s="1573">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674"/>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674"/>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674"/>
      <c r="Q29" s="1569">
        <f t="shared" si="11"/>
        <v>111</v>
      </c>
      <c r="R29" s="1570" t="s">
        <v>8</v>
      </c>
      <c r="S29" s="1571">
        <f t="shared" si="12"/>
        <v>100</v>
      </c>
      <c r="T29" s="1570" t="s">
        <v>8</v>
      </c>
      <c r="U29" s="1571">
        <f t="shared" si="13"/>
        <v>100</v>
      </c>
      <c r="V29" s="1570" t="s">
        <v>8</v>
      </c>
      <c r="W29" s="1571">
        <f t="shared" si="14"/>
        <v>100</v>
      </c>
      <c r="X29" s="1564"/>
      <c r="Y29" s="3674"/>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674"/>
      <c r="Q30" s="1569">
        <f t="shared" si="11"/>
        <v>111</v>
      </c>
      <c r="R30" s="1570" t="s">
        <v>8</v>
      </c>
      <c r="S30" s="1571">
        <f t="shared" si="12"/>
        <v>100</v>
      </c>
      <c r="T30" s="1570" t="s">
        <v>8</v>
      </c>
      <c r="U30" s="1571">
        <f t="shared" si="13"/>
        <v>100</v>
      </c>
      <c r="V30" s="1570" t="s">
        <v>8</v>
      </c>
      <c r="W30" s="1571">
        <f t="shared" si="14"/>
        <v>100</v>
      </c>
      <c r="X30" s="1564"/>
      <c r="Y30" s="3674"/>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674"/>
      <c r="Q31" s="1569">
        <f t="shared" si="11"/>
        <v>111</v>
      </c>
      <c r="R31" s="1570" t="s">
        <v>8</v>
      </c>
      <c r="S31" s="1571">
        <f t="shared" si="12"/>
        <v>100</v>
      </c>
      <c r="T31" s="1570" t="s">
        <v>8</v>
      </c>
      <c r="U31" s="1571">
        <f t="shared" si="13"/>
        <v>100</v>
      </c>
      <c r="V31" s="1570" t="s">
        <v>8</v>
      </c>
      <c r="W31" s="1571">
        <f t="shared" si="14"/>
        <v>100</v>
      </c>
      <c r="X31" s="1564"/>
      <c r="Y31" s="3674"/>
      <c r="Z31" s="1572">
        <f t="shared" si="15"/>
        <v>111</v>
      </c>
      <c r="AA31" s="1573">
        <f t="shared" si="3"/>
        <v>1</v>
      </c>
      <c r="AB31" s="1573">
        <f t="shared" si="4"/>
        <v>1</v>
      </c>
      <c r="AC31" s="1573">
        <f t="shared" si="5"/>
        <v>1</v>
      </c>
    </row>
    <row r="32" spans="1:29" ht="15">
      <c r="A32" s="2905"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675" t="s">
        <v>550</v>
      </c>
      <c r="Q32" s="1569" t="str">
        <f t="shared" si="11"/>
        <v>商业类型</v>
      </c>
      <c r="R32" s="1570" t="s">
        <v>8</v>
      </c>
      <c r="S32" s="1571">
        <f t="shared" si="12"/>
        <v>100</v>
      </c>
      <c r="T32" s="1570" t="s">
        <v>8</v>
      </c>
      <c r="U32" s="1571">
        <f t="shared" si="13"/>
        <v>100</v>
      </c>
      <c r="V32" s="1570" t="s">
        <v>8</v>
      </c>
      <c r="W32" s="1571">
        <f t="shared" si="14"/>
        <v>100</v>
      </c>
      <c r="X32" s="1564"/>
      <c r="Y32" s="3676" t="s">
        <v>550</v>
      </c>
      <c r="Z32" s="1572" t="str">
        <f t="shared" si="15"/>
        <v>商业类型</v>
      </c>
      <c r="AA32" s="1573">
        <f t="shared" si="3"/>
        <v>1</v>
      </c>
      <c r="AB32" s="1573">
        <f t="shared" si="4"/>
        <v>1</v>
      </c>
      <c r="AC32" s="1573">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676"/>
      <c r="Q33" s="1602" t="str">
        <f t="shared" si="11"/>
        <v>项目建筑规模</v>
      </c>
      <c r="R33" s="1574" t="s">
        <v>8</v>
      </c>
      <c r="S33" s="1575" t="e">
        <f t="shared" si="12"/>
        <v>#N/A</v>
      </c>
      <c r="T33" s="1574" t="s">
        <v>8</v>
      </c>
      <c r="U33" s="1575" t="e">
        <f t="shared" si="13"/>
        <v>#N/A</v>
      </c>
      <c r="V33" s="1574" t="s">
        <v>8</v>
      </c>
      <c r="W33" s="1575" t="e">
        <f t="shared" si="14"/>
        <v>#N/A</v>
      </c>
      <c r="X33" s="1576"/>
      <c r="Y33" s="3676"/>
      <c r="Z33" s="1577" t="str">
        <f t="shared" si="15"/>
        <v>项目建筑规模</v>
      </c>
      <c r="AA33" s="1573" t="e">
        <f t="shared" si="3"/>
        <v>#N/A</v>
      </c>
      <c r="AB33" s="1573" t="e">
        <f t="shared" si="4"/>
        <v>#N/A</v>
      </c>
      <c r="AC33" s="1573"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676"/>
      <c r="Q34" s="1569" t="str">
        <f t="shared" si="11"/>
        <v>建筑结构</v>
      </c>
      <c r="R34" s="1570" t="s">
        <v>8</v>
      </c>
      <c r="S34" s="1571">
        <f t="shared" si="12"/>
        <v>100</v>
      </c>
      <c r="T34" s="1570" t="s">
        <v>8</v>
      </c>
      <c r="U34" s="1571">
        <f t="shared" si="13"/>
        <v>100</v>
      </c>
      <c r="V34" s="1570" t="s">
        <v>8</v>
      </c>
      <c r="W34" s="1571">
        <f t="shared" si="14"/>
        <v>100</v>
      </c>
      <c r="X34" s="1564"/>
      <c r="Y34" s="3676"/>
      <c r="Z34" s="1572" t="str">
        <f t="shared" si="15"/>
        <v>建筑结构</v>
      </c>
      <c r="AA34" s="1573">
        <f t="shared" si="3"/>
        <v>1</v>
      </c>
      <c r="AB34" s="1573">
        <f t="shared" si="4"/>
        <v>1</v>
      </c>
      <c r="AC34" s="1573">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676"/>
      <c r="Q35" s="1569" t="str">
        <f t="shared" si="11"/>
        <v>公共部分装修</v>
      </c>
      <c r="R35" s="1570" t="s">
        <v>8</v>
      </c>
      <c r="S35" s="1571">
        <f t="shared" si="12"/>
        <v>100</v>
      </c>
      <c r="T35" s="1570" t="s">
        <v>8</v>
      </c>
      <c r="U35" s="1571">
        <f t="shared" si="13"/>
        <v>100</v>
      </c>
      <c r="V35" s="1570" t="s">
        <v>8</v>
      </c>
      <c r="W35" s="1571">
        <f t="shared" si="14"/>
        <v>100</v>
      </c>
      <c r="X35" s="1564"/>
      <c r="Y35" s="3676"/>
      <c r="Z35" s="1572" t="str">
        <f t="shared" si="15"/>
        <v>公共部分装修</v>
      </c>
      <c r="AA35" s="1573">
        <f t="shared" si="3"/>
        <v>1</v>
      </c>
      <c r="AB35" s="1573">
        <f t="shared" si="4"/>
        <v>1</v>
      </c>
      <c r="AC35" s="1573">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676"/>
      <c r="Q36" s="1569" t="str">
        <f t="shared" si="11"/>
        <v>成新度</v>
      </c>
      <c r="R36" s="1570" t="s">
        <v>8</v>
      </c>
      <c r="S36" s="1571" t="e">
        <f t="shared" si="12"/>
        <v>#N/A</v>
      </c>
      <c r="T36" s="1570" t="s">
        <v>8</v>
      </c>
      <c r="U36" s="1571" t="e">
        <f t="shared" si="13"/>
        <v>#N/A</v>
      </c>
      <c r="V36" s="1570" t="s">
        <v>8</v>
      </c>
      <c r="W36" s="1571" t="e">
        <f t="shared" si="14"/>
        <v>#N/A</v>
      </c>
      <c r="X36" s="1564"/>
      <c r="Y36" s="3676"/>
      <c r="Z36" s="1572" t="str">
        <f t="shared" si="15"/>
        <v>成新度</v>
      </c>
      <c r="AA36" s="1573" t="e">
        <f t="shared" si="3"/>
        <v>#N/A</v>
      </c>
      <c r="AB36" s="1573" t="e">
        <f t="shared" si="4"/>
        <v>#N/A</v>
      </c>
      <c r="AC36" s="1573" t="e">
        <f t="shared" si="5"/>
        <v>#N/A</v>
      </c>
    </row>
    <row r="37" spans="1:29" s="1218"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676"/>
      <c r="Q37" s="1149" t="str">
        <f t="shared" si="11"/>
        <v>市政基础设施</v>
      </c>
      <c r="R37" s="1565" t="s">
        <v>8</v>
      </c>
      <c r="S37" s="1566">
        <f t="shared" si="12"/>
        <v>100</v>
      </c>
      <c r="T37" s="1565" t="s">
        <v>8</v>
      </c>
      <c r="U37" s="1566">
        <f t="shared" si="13"/>
        <v>100</v>
      </c>
      <c r="V37" s="1565" t="s">
        <v>8</v>
      </c>
      <c r="W37" s="1566">
        <f t="shared" si="14"/>
        <v>100</v>
      </c>
      <c r="X37" s="1567"/>
      <c r="Y37" s="3676"/>
      <c r="Z37" s="1148" t="str">
        <f t="shared" si="15"/>
        <v>市政基础设施</v>
      </c>
      <c r="AA37" s="1568">
        <f t="shared" si="3"/>
        <v>1</v>
      </c>
      <c r="AB37" s="1568">
        <f t="shared" si="4"/>
        <v>1</v>
      </c>
      <c r="AC37" s="1568">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676" t="s">
        <v>766</v>
      </c>
      <c r="Q38" s="1569" t="str">
        <f t="shared" si="11"/>
        <v>业态</v>
      </c>
      <c r="R38" s="1570" t="s">
        <v>8</v>
      </c>
      <c r="S38" s="1571">
        <f t="shared" si="12"/>
        <v>100</v>
      </c>
      <c r="T38" s="1570" t="s">
        <v>8</v>
      </c>
      <c r="U38" s="1571">
        <f t="shared" si="13"/>
        <v>100</v>
      </c>
      <c r="V38" s="1570" t="s">
        <v>8</v>
      </c>
      <c r="W38" s="1571">
        <f t="shared" si="14"/>
        <v>100</v>
      </c>
      <c r="X38" s="1564"/>
      <c r="Y38" s="3676" t="s">
        <v>766</v>
      </c>
      <c r="Z38" s="1572" t="str">
        <f t="shared" si="15"/>
        <v>业态</v>
      </c>
      <c r="AA38" s="1573">
        <f t="shared" si="3"/>
        <v>1</v>
      </c>
      <c r="AB38" s="1573">
        <f t="shared" si="4"/>
        <v>1</v>
      </c>
      <c r="AC38" s="1573">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676"/>
      <c r="Q39" s="1569" t="str">
        <f t="shared" si="11"/>
        <v>层高</v>
      </c>
      <c r="R39" s="1570" t="s">
        <v>8</v>
      </c>
      <c r="S39" s="1571">
        <f t="shared" si="12"/>
        <v>100</v>
      </c>
      <c r="T39" s="1570" t="s">
        <v>8</v>
      </c>
      <c r="U39" s="1571">
        <f t="shared" si="13"/>
        <v>100</v>
      </c>
      <c r="V39" s="1570" t="s">
        <v>8</v>
      </c>
      <c r="W39" s="1571">
        <f t="shared" si="14"/>
        <v>100</v>
      </c>
      <c r="X39" s="1564"/>
      <c r="Y39" s="3676"/>
      <c r="Z39" s="1572" t="str">
        <f t="shared" si="15"/>
        <v>层高</v>
      </c>
      <c r="AA39" s="1573">
        <f t="shared" si="3"/>
        <v>1</v>
      </c>
      <c r="AB39" s="1573">
        <f t="shared" si="4"/>
        <v>1</v>
      </c>
      <c r="AC39" s="1573">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676"/>
      <c r="Q40" s="1569" t="str">
        <f t="shared" si="11"/>
        <v>单套建筑面积</v>
      </c>
      <c r="R40" s="1570" t="s">
        <v>8</v>
      </c>
      <c r="S40" s="1571">
        <f t="shared" si="12"/>
        <v>100</v>
      </c>
      <c r="T40" s="1570" t="s">
        <v>8</v>
      </c>
      <c r="U40" s="1571">
        <f t="shared" si="13"/>
        <v>100</v>
      </c>
      <c r="V40" s="1570" t="s">
        <v>8</v>
      </c>
      <c r="W40" s="1571">
        <f t="shared" si="14"/>
        <v>100</v>
      </c>
      <c r="X40" s="1564"/>
      <c r="Y40" s="3676"/>
      <c r="Z40" s="1572" t="str">
        <f t="shared" si="15"/>
        <v>单套建筑面积</v>
      </c>
      <c r="AA40" s="1573">
        <f t="shared" si="3"/>
        <v>1</v>
      </c>
      <c r="AB40" s="1573">
        <f t="shared" si="4"/>
        <v>1</v>
      </c>
      <c r="AC40" s="1573">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676"/>
      <c r="Q41" s="1602" t="str">
        <f t="shared" si="11"/>
        <v>进深比</v>
      </c>
      <c r="R41" s="1574" t="s">
        <v>8</v>
      </c>
      <c r="S41" s="1575">
        <f t="shared" si="12"/>
        <v>100</v>
      </c>
      <c r="T41" s="1574" t="s">
        <v>8</v>
      </c>
      <c r="U41" s="1575">
        <f t="shared" si="13"/>
        <v>100</v>
      </c>
      <c r="V41" s="1574" t="s">
        <v>8</v>
      </c>
      <c r="W41" s="1575">
        <f t="shared" si="14"/>
        <v>100</v>
      </c>
      <c r="X41" s="1576"/>
      <c r="Y41" s="3676"/>
      <c r="Z41" s="1577" t="str">
        <f t="shared" si="15"/>
        <v>进深比</v>
      </c>
      <c r="AA41" s="1573">
        <f t="shared" si="3"/>
        <v>1</v>
      </c>
      <c r="AB41" s="1573">
        <f t="shared" si="4"/>
        <v>1</v>
      </c>
      <c r="AC41" s="1573">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676"/>
      <c r="Q42" s="1569" t="str">
        <f t="shared" si="11"/>
        <v>内部装修</v>
      </c>
      <c r="R42" s="1570" t="s">
        <v>8</v>
      </c>
      <c r="S42" s="1571">
        <f t="shared" si="12"/>
        <v>100</v>
      </c>
      <c r="T42" s="1570" t="s">
        <v>8</v>
      </c>
      <c r="U42" s="1571">
        <f t="shared" si="13"/>
        <v>100</v>
      </c>
      <c r="V42" s="1570" t="s">
        <v>8</v>
      </c>
      <c r="W42" s="1571">
        <f t="shared" si="14"/>
        <v>100</v>
      </c>
      <c r="X42" s="1564"/>
      <c r="Y42" s="3676"/>
      <c r="Z42" s="1572" t="str">
        <f t="shared" si="15"/>
        <v>内部装修</v>
      </c>
      <c r="AA42" s="1573">
        <f t="shared" si="3"/>
        <v>1</v>
      </c>
      <c r="AB42" s="1573">
        <f t="shared" si="4"/>
        <v>1</v>
      </c>
      <c r="AC42" s="1573">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676"/>
      <c r="Q43" s="1569" t="str">
        <f t="shared" si="11"/>
        <v>内部装修维护情况</v>
      </c>
      <c r="R43" s="1570" t="s">
        <v>8</v>
      </c>
      <c r="S43" s="1571">
        <f t="shared" si="12"/>
        <v>100</v>
      </c>
      <c r="T43" s="1570" t="s">
        <v>8</v>
      </c>
      <c r="U43" s="1571">
        <f t="shared" si="13"/>
        <v>100</v>
      </c>
      <c r="V43" s="1570" t="s">
        <v>8</v>
      </c>
      <c r="W43" s="1571">
        <f t="shared" si="14"/>
        <v>100</v>
      </c>
      <c r="X43" s="1564"/>
      <c r="Y43" s="3676"/>
      <c r="Z43" s="1572" t="str">
        <f t="shared" si="15"/>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676"/>
      <c r="Q44" s="1149">
        <f t="shared" si="11"/>
        <v>111</v>
      </c>
      <c r="R44" s="1565" t="s">
        <v>8</v>
      </c>
      <c r="S44" s="1566">
        <f t="shared" si="12"/>
        <v>100</v>
      </c>
      <c r="T44" s="1565" t="s">
        <v>8</v>
      </c>
      <c r="U44" s="1566">
        <f t="shared" si="13"/>
        <v>100</v>
      </c>
      <c r="V44" s="1565" t="s">
        <v>8</v>
      </c>
      <c r="W44" s="1566">
        <f t="shared" si="14"/>
        <v>100</v>
      </c>
      <c r="X44" s="1567"/>
      <c r="Y44" s="3676"/>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676"/>
      <c r="Q45" s="1569">
        <f t="shared" si="11"/>
        <v>111</v>
      </c>
      <c r="R45" s="1570" t="s">
        <v>8</v>
      </c>
      <c r="S45" s="1571">
        <f t="shared" si="12"/>
        <v>100</v>
      </c>
      <c r="T45" s="1570" t="s">
        <v>8</v>
      </c>
      <c r="U45" s="1571">
        <f t="shared" si="13"/>
        <v>100</v>
      </c>
      <c r="V45" s="1570" t="s">
        <v>8</v>
      </c>
      <c r="W45" s="1571">
        <f t="shared" si="14"/>
        <v>100</v>
      </c>
      <c r="X45" s="1564"/>
      <c r="Y45" s="3676"/>
      <c r="Z45" s="1572">
        <f t="shared" si="15"/>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756"/>
      <c r="Q46" s="1569">
        <f t="shared" si="11"/>
        <v>111</v>
      </c>
      <c r="R46" s="1570" t="s">
        <v>8</v>
      </c>
      <c r="S46" s="1571">
        <f t="shared" si="12"/>
        <v>100</v>
      </c>
      <c r="T46" s="1570" t="s">
        <v>8</v>
      </c>
      <c r="U46" s="1571">
        <f t="shared" si="13"/>
        <v>100</v>
      </c>
      <c r="V46" s="1570" t="s">
        <v>8</v>
      </c>
      <c r="W46" s="1571">
        <f t="shared" si="14"/>
        <v>100</v>
      </c>
      <c r="X46" s="1564"/>
      <c r="Y46" s="3756"/>
      <c r="Z46" s="1572">
        <f t="shared" si="15"/>
        <v>111</v>
      </c>
      <c r="AA46" s="1573">
        <f t="shared" si="3"/>
        <v>1</v>
      </c>
      <c r="AB46" s="1573">
        <f t="shared" si="4"/>
        <v>1</v>
      </c>
      <c r="AC46" s="1573">
        <f t="shared" si="5"/>
        <v>1</v>
      </c>
    </row>
    <row r="47" spans="1:29" ht="15">
      <c r="A47" s="606" t="s">
        <v>736</v>
      </c>
      <c r="B47" s="885"/>
      <c r="C47" s="2625" t="s">
        <v>1</v>
      </c>
      <c r="D47" s="2626"/>
      <c r="E47" s="2627"/>
      <c r="F47" s="2628"/>
      <c r="G47" s="2629"/>
      <c r="H47" s="2630"/>
      <c r="I47" s="2627"/>
      <c r="J47" s="2630"/>
      <c r="K47" s="1608"/>
      <c r="L47" s="2142"/>
      <c r="M47" s="2143"/>
      <c r="N47" s="2132"/>
      <c r="O47" s="2143"/>
      <c r="P47" s="3671" t="str">
        <f>A47</f>
        <v>成交单价（元/平方米）</v>
      </c>
      <c r="Q47" s="3671"/>
      <c r="R47" s="3755">
        <f>E47</f>
        <v>0</v>
      </c>
      <c r="S47" s="3755"/>
      <c r="T47" s="3755">
        <f>G47</f>
        <v>0</v>
      </c>
      <c r="U47" s="3755"/>
      <c r="V47" s="3755">
        <f>I47</f>
        <v>0</v>
      </c>
      <c r="W47" s="3755"/>
      <c r="X47" s="1556"/>
      <c r="Y47" s="1578"/>
      <c r="Z47" s="1556"/>
      <c r="AA47" s="1556"/>
      <c r="AB47" s="1556"/>
      <c r="AC47" s="1556"/>
    </row>
    <row r="48" spans="1:29" ht="15.75" thickBot="1">
      <c r="A48" s="614" t="s">
        <v>2759</v>
      </c>
      <c r="B48" s="886"/>
      <c r="C48" s="2631" t="e">
        <f>R49</f>
        <v>#DIV/0!</v>
      </c>
      <c r="D48" s="2632"/>
      <c r="E48" s="2633" t="e">
        <f>R48</f>
        <v>#DIV/0!</v>
      </c>
      <c r="F48" s="2633"/>
      <c r="G48" s="2631" t="e">
        <f>T48</f>
        <v>#DIV/0!</v>
      </c>
      <c r="H48" s="2632"/>
      <c r="I48" s="2633" t="e">
        <f>V48</f>
        <v>#DIV/0!</v>
      </c>
      <c r="J48" s="2632"/>
      <c r="K48" s="1609"/>
      <c r="L48" s="2142"/>
      <c r="M48" s="2143"/>
      <c r="N48" s="2132"/>
      <c r="O48" s="2143"/>
      <c r="P48" s="3671" t="str">
        <f>A48</f>
        <v>比较价格（元/平方米）</v>
      </c>
      <c r="Q48" s="3671"/>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556"/>
      <c r="Y48" s="1556"/>
      <c r="Z48" s="1556"/>
      <c r="AA48" s="1556"/>
      <c r="AB48" s="1556"/>
      <c r="AC48" s="1556"/>
    </row>
    <row r="49" spans="1:29" ht="15.75" thickBot="1">
      <c r="A49" s="620" t="s">
        <v>2934</v>
      </c>
      <c r="B49" s="621"/>
      <c r="C49" s="2634" t="e">
        <f>R49</f>
        <v>#DIV/0!</v>
      </c>
      <c r="D49" s="2634"/>
      <c r="E49" s="2634"/>
      <c r="F49" s="2634"/>
      <c r="G49" s="2634"/>
      <c r="H49" s="2634"/>
      <c r="I49" s="2634"/>
      <c r="J49" s="2634"/>
      <c r="K49" s="1610"/>
      <c r="L49" s="2142"/>
      <c r="M49" s="2143"/>
      <c r="N49" s="2132"/>
      <c r="O49" s="2143"/>
      <c r="P49" s="3692" t="str">
        <f>A49</f>
        <v>估价对象XX用房的比较价格（楼面单价，元/平方米）</v>
      </c>
      <c r="Q49" s="3693"/>
      <c r="R49" s="3754" t="e">
        <f>IF(F1="售价",ROUND(AVERAGE(R48:V48),0),ROUND(AVERAGE(R48:V48),1))</f>
        <v>#DIV/0!</v>
      </c>
      <c r="S49" s="3754"/>
      <c r="T49" s="3754"/>
      <c r="U49" s="3754"/>
      <c r="V49" s="3754"/>
      <c r="W49" s="375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4" t="s">
        <v>529</v>
      </c>
      <c r="B58" s="645"/>
      <c r="C58" s="2800"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2558</v>
      </c>
      <c r="C82" s="2596" t="s">
        <v>2559</v>
      </c>
      <c r="D82" s="2596" t="s">
        <v>2560</v>
      </c>
      <c r="E82" s="2596" t="s">
        <v>2561</v>
      </c>
      <c r="F82" s="2596" t="s">
        <v>2562</v>
      </c>
      <c r="G82" s="2596" t="s">
        <v>2563</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5"/>
      <c r="G1" s="1598" t="s">
        <v>721</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521</v>
      </c>
      <c r="B4" s="512"/>
      <c r="C4" s="3677" t="s">
        <v>522</v>
      </c>
      <c r="D4" s="3678"/>
      <c r="E4" s="3702" t="s">
        <v>523</v>
      </c>
      <c r="F4" s="3703"/>
      <c r="G4" s="3677" t="s">
        <v>524</v>
      </c>
      <c r="H4" s="3678"/>
      <c r="I4" s="3677" t="s">
        <v>525</v>
      </c>
      <c r="J4" s="3678"/>
      <c r="K4" s="513" t="s">
        <v>526</v>
      </c>
      <c r="L4" s="2131"/>
      <c r="M4" s="2132"/>
      <c r="N4" s="2132"/>
      <c r="O4" s="2132"/>
      <c r="P4" s="3789" t="s">
        <v>527</v>
      </c>
      <c r="Q4" s="3680"/>
      <c r="R4" s="3665" t="s">
        <v>523</v>
      </c>
      <c r="S4" s="3666"/>
      <c r="T4" s="3665" t="s">
        <v>524</v>
      </c>
      <c r="U4" s="3666"/>
      <c r="V4" s="3685" t="s">
        <v>525</v>
      </c>
      <c r="W4" s="3685"/>
      <c r="X4" s="1564"/>
      <c r="Y4" s="3665" t="s">
        <v>527</v>
      </c>
      <c r="Z4" s="3666"/>
      <c r="AA4" s="3660" t="s">
        <v>523</v>
      </c>
      <c r="AB4" s="3660" t="s">
        <v>524</v>
      </c>
      <c r="AC4" s="3660" t="s">
        <v>525</v>
      </c>
    </row>
    <row r="5" spans="1:29" ht="15">
      <c r="A5" s="514"/>
      <c r="B5" s="515"/>
      <c r="C5" s="3688" t="s">
        <v>2928</v>
      </c>
      <c r="D5" s="3689"/>
      <c r="E5" s="3704" t="s">
        <v>2929</v>
      </c>
      <c r="F5" s="3705"/>
      <c r="G5" s="3688" t="s">
        <v>2930</v>
      </c>
      <c r="H5" s="3689"/>
      <c r="I5" s="3688" t="s">
        <v>2931</v>
      </c>
      <c r="J5" s="3689"/>
      <c r="K5" s="513"/>
      <c r="L5" s="2131"/>
      <c r="M5" s="2132"/>
      <c r="N5" s="2132"/>
      <c r="O5" s="2132"/>
      <c r="P5" s="3790"/>
      <c r="Q5" s="3682"/>
      <c r="R5" s="3667"/>
      <c r="S5" s="3668"/>
      <c r="T5" s="3667"/>
      <c r="U5" s="3668"/>
      <c r="V5" s="3685"/>
      <c r="W5" s="3685"/>
      <c r="X5" s="1564"/>
      <c r="Y5" s="3667"/>
      <c r="Z5" s="3668"/>
      <c r="AA5" s="3661"/>
      <c r="AB5" s="3661"/>
      <c r="AC5" s="3661"/>
    </row>
    <row r="6" spans="1:29" ht="15.75" thickBot="1">
      <c r="A6" s="516"/>
      <c r="B6" s="517"/>
      <c r="C6" s="3686" t="s">
        <v>2932</v>
      </c>
      <c r="D6" s="3687"/>
      <c r="E6" s="3706" t="s">
        <v>2932</v>
      </c>
      <c r="F6" s="3707"/>
      <c r="G6" s="3686" t="s">
        <v>2932</v>
      </c>
      <c r="H6" s="3687"/>
      <c r="I6" s="3686" t="s">
        <v>2932</v>
      </c>
      <c r="J6" s="3687"/>
      <c r="K6" s="513" t="s">
        <v>528</v>
      </c>
      <c r="L6" s="2131"/>
      <c r="M6" s="2132"/>
      <c r="N6" s="2132"/>
      <c r="O6" s="2132"/>
      <c r="P6" s="3791"/>
      <c r="Q6" s="3684"/>
      <c r="R6" s="3667"/>
      <c r="S6" s="3668"/>
      <c r="T6" s="3669"/>
      <c r="U6" s="3670"/>
      <c r="V6" s="3685"/>
      <c r="W6" s="3685"/>
      <c r="X6" s="1564"/>
      <c r="Y6" s="3669"/>
      <c r="Z6" s="3670"/>
      <c r="AA6" s="3662"/>
      <c r="AB6" s="3662"/>
      <c r="AC6" s="3662"/>
    </row>
    <row r="7" spans="1:29" s="1218" customFormat="1" ht="15.75" thickBot="1">
      <c r="A7" s="2910"/>
      <c r="B7" s="2917" t="s">
        <v>529</v>
      </c>
      <c r="C7" s="518">
        <f>'数据-取费表'!B2</f>
        <v>43346</v>
      </c>
      <c r="D7" s="519">
        <v>100</v>
      </c>
      <c r="E7" s="520"/>
      <c r="F7" s="521">
        <f>SUMIF(59:59,YEAR(E7)&amp;"-"&amp;MONTH(E7),60:60)</f>
        <v>0</v>
      </c>
      <c r="G7" s="520"/>
      <c r="H7" s="519">
        <f>SUMIF(59:59,YEAR(G7)&amp;"-"&amp;MONTH(G7),60:60)</f>
        <v>0</v>
      </c>
      <c r="I7" s="520"/>
      <c r="J7" s="519">
        <f>SUMIF(59:59,YEAR(I7)&amp;"-"&amp;MONTH(I7),60:60)</f>
        <v>0</v>
      </c>
      <c r="K7" s="523"/>
      <c r="L7" s="2133"/>
      <c r="M7" s="2134"/>
      <c r="N7" s="2134"/>
      <c r="O7" s="2134"/>
      <c r="P7" s="3672" t="s">
        <v>530</v>
      </c>
      <c r="Q7" s="3672"/>
      <c r="R7" s="1565" t="s">
        <v>8</v>
      </c>
      <c r="S7" s="1566">
        <f t="shared" ref="S7:S15" si="0">F7</f>
        <v>0</v>
      </c>
      <c r="T7" s="1565" t="s">
        <v>8</v>
      </c>
      <c r="U7" s="1566">
        <f t="shared" ref="U7:U15" si="1">H7</f>
        <v>0</v>
      </c>
      <c r="V7" s="1565" t="s">
        <v>8</v>
      </c>
      <c r="W7" s="1566">
        <f t="shared" ref="W7:W15" si="2">J7</f>
        <v>0</v>
      </c>
      <c r="X7" s="1567"/>
      <c r="Y7" s="3663" t="s">
        <v>530</v>
      </c>
      <c r="Z7" s="3664"/>
      <c r="AA7" s="1568" t="e">
        <f>D7/F7</f>
        <v>#DIV/0!</v>
      </c>
      <c r="AB7" s="1568" t="e">
        <f>D7/H7</f>
        <v>#DIV/0!</v>
      </c>
      <c r="AC7" s="1568" t="e">
        <f>D7/J7</f>
        <v>#DIV/0!</v>
      </c>
    </row>
    <row r="8" spans="1:29" s="1218" customFormat="1" ht="15.75" thickBot="1">
      <c r="A8" s="2911"/>
      <c r="B8" s="2918"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672" t="s">
        <v>533</v>
      </c>
      <c r="Q8" s="3664"/>
      <c r="R8" s="1565" t="s">
        <v>8</v>
      </c>
      <c r="S8" s="1566">
        <f t="shared" si="0"/>
        <v>0</v>
      </c>
      <c r="T8" s="1565" t="s">
        <v>8</v>
      </c>
      <c r="U8" s="1566">
        <f t="shared" si="1"/>
        <v>0</v>
      </c>
      <c r="V8" s="1565" t="s">
        <v>8</v>
      </c>
      <c r="W8" s="1566">
        <f t="shared" si="2"/>
        <v>0</v>
      </c>
      <c r="X8" s="1567"/>
      <c r="Y8" s="3663" t="s">
        <v>533</v>
      </c>
      <c r="Z8" s="3664"/>
      <c r="AA8" s="1568" t="e">
        <f t="shared" ref="AA8:AA47" si="3">D8/F8</f>
        <v>#DIV/0!</v>
      </c>
      <c r="AB8" s="1568" t="e">
        <f t="shared" ref="AB8:AB47" si="4">D8/H8</f>
        <v>#DIV/0!</v>
      </c>
      <c r="AC8" s="1568" t="e">
        <f t="shared" ref="AC8:AC47" si="5">D8/J8</f>
        <v>#DIV/0!</v>
      </c>
    </row>
    <row r="9" spans="1:29" s="1218" customFormat="1" ht="15">
      <c r="A9" s="2912"/>
      <c r="B9" s="2919" t="s">
        <v>2755</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671" t="s">
        <v>535</v>
      </c>
      <c r="Q9" s="1149" t="str">
        <f t="shared" ref="Q9:Q15" si="6">B9</f>
        <v>用途</v>
      </c>
      <c r="R9" s="1565" t="s">
        <v>8</v>
      </c>
      <c r="S9" s="1566">
        <f t="shared" si="0"/>
        <v>100</v>
      </c>
      <c r="T9" s="1565" t="s">
        <v>8</v>
      </c>
      <c r="U9" s="1566">
        <f t="shared" si="1"/>
        <v>100</v>
      </c>
      <c r="V9" s="1565" t="s">
        <v>8</v>
      </c>
      <c r="W9" s="1566">
        <f t="shared" si="2"/>
        <v>100</v>
      </c>
      <c r="X9" s="1567"/>
      <c r="Y9" s="3628" t="s">
        <v>536</v>
      </c>
      <c r="Z9" s="1148" t="str">
        <f t="shared" ref="Z9:Z15" si="7">Q9</f>
        <v>用途</v>
      </c>
      <c r="AA9" s="1568">
        <f t="shared" si="3"/>
        <v>1</v>
      </c>
      <c r="AB9" s="1568">
        <f t="shared" si="4"/>
        <v>1</v>
      </c>
      <c r="AC9" s="1568">
        <f t="shared" si="5"/>
        <v>1</v>
      </c>
    </row>
    <row r="10" spans="1:29" s="1336" customFormat="1" ht="27">
      <c r="A10" s="2913"/>
      <c r="B10" s="2918" t="s">
        <v>2756</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671"/>
      <c r="Q10" s="1149" t="str">
        <f t="shared" si="6"/>
        <v>土地使用年限（年）</v>
      </c>
      <c r="R10" s="1565" t="s">
        <v>8</v>
      </c>
      <c r="S10" s="1566">
        <f t="shared" si="0"/>
        <v>100</v>
      </c>
      <c r="T10" s="1565" t="s">
        <v>8</v>
      </c>
      <c r="U10" s="1566">
        <f t="shared" si="1"/>
        <v>100</v>
      </c>
      <c r="V10" s="1565" t="s">
        <v>8</v>
      </c>
      <c r="W10" s="1566">
        <f t="shared" si="2"/>
        <v>100</v>
      </c>
      <c r="X10" s="1567"/>
      <c r="Y10" s="3628"/>
      <c r="Z10" s="1148" t="str">
        <f t="shared" si="7"/>
        <v>土地使用年限（年）</v>
      </c>
      <c r="AA10" s="1568">
        <f t="shared" si="3"/>
        <v>1</v>
      </c>
      <c r="AB10" s="1568">
        <f t="shared" si="4"/>
        <v>1</v>
      </c>
      <c r="AC10" s="1568">
        <f t="shared" si="5"/>
        <v>1</v>
      </c>
    </row>
    <row r="11" spans="1:29" ht="15">
      <c r="A11" s="2914"/>
      <c r="B11" s="2918"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671"/>
      <c r="Q11" s="1149" t="str">
        <f t="shared" si="6"/>
        <v>容积率</v>
      </c>
      <c r="R11" s="1565" t="s">
        <v>8</v>
      </c>
      <c r="S11" s="1566" t="e">
        <f t="shared" si="0"/>
        <v>#N/A</v>
      </c>
      <c r="T11" s="1565" t="s">
        <v>8</v>
      </c>
      <c r="U11" s="1566" t="e">
        <f t="shared" si="1"/>
        <v>#N/A</v>
      </c>
      <c r="V11" s="1565" t="s">
        <v>8</v>
      </c>
      <c r="W11" s="1566" t="e">
        <f t="shared" si="2"/>
        <v>#N/A</v>
      </c>
      <c r="X11" s="1567"/>
      <c r="Y11" s="3628"/>
      <c r="Z11" s="1148" t="str">
        <f t="shared" si="7"/>
        <v>容积率</v>
      </c>
      <c r="AA11" s="1568" t="e">
        <f t="shared" si="3"/>
        <v>#N/A</v>
      </c>
      <c r="AB11" s="1568" t="e">
        <f t="shared" si="4"/>
        <v>#N/A</v>
      </c>
      <c r="AC11" s="1568" t="e">
        <f t="shared" si="5"/>
        <v>#N/A</v>
      </c>
    </row>
    <row r="12" spans="1:29" s="1218" customFormat="1" ht="15">
      <c r="A12" s="2915"/>
      <c r="B12" s="2921">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671"/>
      <c r="Q12" s="1149">
        <f t="shared" si="6"/>
        <v>111</v>
      </c>
      <c r="R12" s="1565" t="s">
        <v>8</v>
      </c>
      <c r="S12" s="1566">
        <f t="shared" si="0"/>
        <v>100</v>
      </c>
      <c r="T12" s="1565" t="s">
        <v>8</v>
      </c>
      <c r="U12" s="1566">
        <f t="shared" si="1"/>
        <v>100</v>
      </c>
      <c r="V12" s="1565" t="s">
        <v>8</v>
      </c>
      <c r="W12" s="1566">
        <f t="shared" si="2"/>
        <v>100</v>
      </c>
      <c r="X12" s="1567"/>
      <c r="Y12" s="3628"/>
      <c r="Z12" s="1148">
        <f t="shared" si="7"/>
        <v>111</v>
      </c>
      <c r="AA12" s="1568">
        <f>D12/F12</f>
        <v>1</v>
      </c>
      <c r="AB12" s="1568">
        <f>D12/H12</f>
        <v>1</v>
      </c>
      <c r="AC12" s="1568">
        <f>D12/J12</f>
        <v>1</v>
      </c>
    </row>
    <row r="13" spans="1:29" ht="15">
      <c r="A13" s="2915"/>
      <c r="B13" s="2921">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671"/>
      <c r="Q13" s="1149">
        <f t="shared" si="6"/>
        <v>111</v>
      </c>
      <c r="R13" s="1565" t="s">
        <v>8</v>
      </c>
      <c r="S13" s="1566">
        <f t="shared" si="0"/>
        <v>100</v>
      </c>
      <c r="T13" s="1565" t="s">
        <v>8</v>
      </c>
      <c r="U13" s="1566">
        <f t="shared" si="1"/>
        <v>100</v>
      </c>
      <c r="V13" s="1565" t="s">
        <v>8</v>
      </c>
      <c r="W13" s="1566">
        <f t="shared" si="2"/>
        <v>100</v>
      </c>
      <c r="X13" s="1567"/>
      <c r="Y13" s="3628"/>
      <c r="Z13" s="1148">
        <f t="shared" si="7"/>
        <v>111</v>
      </c>
      <c r="AA13" s="1568">
        <f t="shared" si="3"/>
        <v>1</v>
      </c>
      <c r="AB13" s="1568">
        <f t="shared" si="4"/>
        <v>1</v>
      </c>
      <c r="AC13" s="1568">
        <f t="shared" si="5"/>
        <v>1</v>
      </c>
    </row>
    <row r="14" spans="1:29" ht="15.75" thickBot="1">
      <c r="A14" s="2916"/>
      <c r="B14" s="2922">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671"/>
      <c r="Q14" s="1149">
        <f t="shared" si="6"/>
        <v>111</v>
      </c>
      <c r="R14" s="1565" t="s">
        <v>8</v>
      </c>
      <c r="S14" s="1566">
        <f t="shared" si="0"/>
        <v>100</v>
      </c>
      <c r="T14" s="1565" t="s">
        <v>8</v>
      </c>
      <c r="U14" s="1566">
        <f t="shared" si="1"/>
        <v>100</v>
      </c>
      <c r="V14" s="1565" t="s">
        <v>8</v>
      </c>
      <c r="W14" s="1566">
        <f t="shared" si="2"/>
        <v>100</v>
      </c>
      <c r="X14" s="1567"/>
      <c r="Y14" s="3628"/>
      <c r="Z14" s="1148">
        <f t="shared" si="7"/>
        <v>111</v>
      </c>
      <c r="AA14" s="1568">
        <f t="shared" si="3"/>
        <v>1</v>
      </c>
      <c r="AB14" s="1568">
        <f t="shared" si="4"/>
        <v>1</v>
      </c>
      <c r="AC14" s="1568">
        <f t="shared" si="5"/>
        <v>1</v>
      </c>
    </row>
    <row r="15" spans="1:29" ht="71.25">
      <c r="A15" s="2908"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673" t="s">
        <v>540</v>
      </c>
      <c r="Q15" s="1569" t="str">
        <f t="shared" si="6"/>
        <v>办公集聚程度</v>
      </c>
      <c r="R15" s="1570" t="s">
        <v>8</v>
      </c>
      <c r="S15" s="1571">
        <f t="shared" si="0"/>
        <v>100</v>
      </c>
      <c r="T15" s="1570" t="s">
        <v>8</v>
      </c>
      <c r="U15" s="1571">
        <f t="shared" si="1"/>
        <v>100</v>
      </c>
      <c r="V15" s="1570" t="s">
        <v>8</v>
      </c>
      <c r="W15" s="1571">
        <f t="shared" si="2"/>
        <v>100</v>
      </c>
      <c r="X15" s="1564"/>
      <c r="Y15" s="3673" t="s">
        <v>540</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40"/>
      <c r="M16" s="2132"/>
      <c r="N16" s="2132"/>
      <c r="O16" s="2132"/>
      <c r="P16" s="3674"/>
      <c r="Q16" s="1569"/>
      <c r="R16" s="1570"/>
      <c r="S16" s="1571"/>
      <c r="T16" s="1570"/>
      <c r="U16" s="1571"/>
      <c r="V16" s="1570"/>
      <c r="W16" s="1571"/>
      <c r="X16" s="1564"/>
      <c r="Y16" s="3674"/>
      <c r="Z16" s="1572"/>
      <c r="AA16" s="1573">
        <v>1</v>
      </c>
      <c r="AB16" s="1573">
        <v>1</v>
      </c>
      <c r="AC16" s="1573">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674"/>
      <c r="Q17" s="1569" t="str">
        <f>B17</f>
        <v>交通便捷度</v>
      </c>
      <c r="R17" s="1570" t="s">
        <v>8</v>
      </c>
      <c r="S17" s="1571">
        <f>F17</f>
        <v>100</v>
      </c>
      <c r="T17" s="1570" t="s">
        <v>8</v>
      </c>
      <c r="U17" s="1571">
        <f>H17</f>
        <v>100</v>
      </c>
      <c r="V17" s="1570" t="s">
        <v>8</v>
      </c>
      <c r="W17" s="1571">
        <f>J17</f>
        <v>100</v>
      </c>
      <c r="X17" s="1564"/>
      <c r="Y17" s="3674"/>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40"/>
      <c r="M18" s="2132"/>
      <c r="N18" s="2132"/>
      <c r="O18" s="2132"/>
      <c r="P18" s="3674"/>
      <c r="Q18" s="1569"/>
      <c r="R18" s="1570"/>
      <c r="S18" s="1571"/>
      <c r="T18" s="1570"/>
      <c r="U18" s="1571"/>
      <c r="V18" s="1570"/>
      <c r="W18" s="1571"/>
      <c r="X18" s="1564"/>
      <c r="Y18" s="3674"/>
      <c r="Z18" s="1572"/>
      <c r="AA18" s="1573">
        <v>1</v>
      </c>
      <c r="AB18" s="1573">
        <v>1</v>
      </c>
      <c r="AC18" s="1573">
        <v>1</v>
      </c>
    </row>
    <row r="19" spans="1:29" ht="42.75">
      <c r="A19" s="531"/>
      <c r="B19" s="2601"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674"/>
      <c r="Q19" s="1569" t="str">
        <f>B19</f>
        <v>公共配套设施</v>
      </c>
      <c r="R19" s="1570" t="s">
        <v>8</v>
      </c>
      <c r="S19" s="1571">
        <f>F19</f>
        <v>100</v>
      </c>
      <c r="T19" s="1570" t="s">
        <v>8</v>
      </c>
      <c r="U19" s="1571">
        <f>H19</f>
        <v>100</v>
      </c>
      <c r="V19" s="1570" t="s">
        <v>8</v>
      </c>
      <c r="W19" s="1571">
        <f>J19</f>
        <v>100</v>
      </c>
      <c r="X19" s="1564"/>
      <c r="Y19" s="3674"/>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40"/>
      <c r="M20" s="2132"/>
      <c r="N20" s="2132"/>
      <c r="O20" s="2132"/>
      <c r="P20" s="3674"/>
      <c r="Q20" s="1569"/>
      <c r="R20" s="1570"/>
      <c r="S20" s="1571"/>
      <c r="T20" s="1570"/>
      <c r="U20" s="1571"/>
      <c r="V20" s="1570"/>
      <c r="W20" s="1571"/>
      <c r="X20" s="1564"/>
      <c r="Y20" s="3674"/>
      <c r="Z20" s="1572"/>
      <c r="AA20" s="1573">
        <v>1</v>
      </c>
      <c r="AB20" s="1573">
        <v>1</v>
      </c>
      <c r="AC20" s="1573">
        <v>1</v>
      </c>
    </row>
    <row r="21" spans="1:29" ht="28.5">
      <c r="A21" s="531"/>
      <c r="B21" s="2589"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674"/>
      <c r="Q21" s="2577" t="str">
        <f>B21</f>
        <v>基础设施水平</v>
      </c>
      <c r="R21" s="1570" t="s">
        <v>8</v>
      </c>
      <c r="S21" s="1571">
        <f>F21</f>
        <v>100</v>
      </c>
      <c r="T21" s="1570" t="s">
        <v>8</v>
      </c>
      <c r="U21" s="1571">
        <f>H21</f>
        <v>100</v>
      </c>
      <c r="V21" s="1570" t="s">
        <v>8</v>
      </c>
      <c r="W21" s="1571">
        <f>J21</f>
        <v>100</v>
      </c>
      <c r="X21" s="2579"/>
      <c r="Y21" s="3674"/>
      <c r="Z21" s="2578"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00"/>
      <c r="L22" s="2140"/>
      <c r="M22" s="2132"/>
      <c r="N22" s="2132"/>
      <c r="O22" s="2132"/>
      <c r="P22" s="3674"/>
      <c r="Q22" s="2577"/>
      <c r="R22" s="1570"/>
      <c r="S22" s="1571"/>
      <c r="T22" s="1570"/>
      <c r="U22" s="1571"/>
      <c r="V22" s="1570"/>
      <c r="W22" s="1571"/>
      <c r="X22" s="2579"/>
      <c r="Y22" s="3674"/>
      <c r="Z22" s="2578"/>
      <c r="AA22" s="1573">
        <v>1</v>
      </c>
      <c r="AB22" s="1573">
        <v>1</v>
      </c>
      <c r="AC22" s="1573">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674"/>
      <c r="Q23" s="1569" t="str">
        <f>B23</f>
        <v>环境质量</v>
      </c>
      <c r="R23" s="1570" t="s">
        <v>8</v>
      </c>
      <c r="S23" s="1571">
        <f>F23</f>
        <v>100</v>
      </c>
      <c r="T23" s="1570" t="s">
        <v>8</v>
      </c>
      <c r="U23" s="1571">
        <f>H23</f>
        <v>100</v>
      </c>
      <c r="V23" s="1570" t="s">
        <v>8</v>
      </c>
      <c r="W23" s="1571">
        <f>J23</f>
        <v>100</v>
      </c>
      <c r="X23" s="1564"/>
      <c r="Y23" s="3674"/>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40"/>
      <c r="M24" s="2132"/>
      <c r="N24" s="2132"/>
      <c r="O24" s="2132"/>
      <c r="P24" s="3674"/>
      <c r="Q24" s="1569"/>
      <c r="R24" s="1570"/>
      <c r="S24" s="1571"/>
      <c r="T24" s="1570"/>
      <c r="U24" s="1571"/>
      <c r="V24" s="1570"/>
      <c r="W24" s="1571"/>
      <c r="X24" s="1564"/>
      <c r="Y24" s="3674"/>
      <c r="Z24" s="1572"/>
      <c r="AA24" s="1573">
        <v>1</v>
      </c>
      <c r="AB24" s="1573">
        <v>1</v>
      </c>
      <c r="AC24" s="1573">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674"/>
      <c r="Q25" s="1569" t="str">
        <f>B25</f>
        <v>毗邻道路的类型与等级</v>
      </c>
      <c r="R25" s="1570" t="s">
        <v>8</v>
      </c>
      <c r="S25" s="1571">
        <f>F25</f>
        <v>100</v>
      </c>
      <c r="T25" s="1570" t="s">
        <v>8</v>
      </c>
      <c r="U25" s="1571">
        <f>H25</f>
        <v>100</v>
      </c>
      <c r="V25" s="1570" t="s">
        <v>8</v>
      </c>
      <c r="W25" s="1571">
        <f>J25</f>
        <v>100</v>
      </c>
      <c r="X25" s="1564"/>
      <c r="Y25" s="3674"/>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40"/>
      <c r="M26" s="2132"/>
      <c r="N26" s="2132"/>
      <c r="O26" s="2132"/>
      <c r="P26" s="3674"/>
      <c r="Q26" s="1569"/>
      <c r="R26" s="1570"/>
      <c r="S26" s="1571"/>
      <c r="T26" s="1570"/>
      <c r="U26" s="1571"/>
      <c r="V26" s="1570"/>
      <c r="W26" s="1571"/>
      <c r="X26" s="1564"/>
      <c r="Y26" s="3674"/>
      <c r="Z26" s="1572"/>
      <c r="AA26" s="1573">
        <v>1</v>
      </c>
      <c r="AB26" s="1573">
        <v>1</v>
      </c>
      <c r="AC26" s="1573">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674"/>
      <c r="Q27" s="1569" t="str">
        <f t="shared" ref="Q27:Q47" si="11">B27</f>
        <v>楼层</v>
      </c>
      <c r="R27" s="1570" t="s">
        <v>8</v>
      </c>
      <c r="S27" s="1571">
        <f>F27</f>
        <v>100</v>
      </c>
      <c r="T27" s="1570" t="s">
        <v>8</v>
      </c>
      <c r="U27" s="1571">
        <f>H27</f>
        <v>100</v>
      </c>
      <c r="V27" s="1570" t="s">
        <v>8</v>
      </c>
      <c r="W27" s="1571">
        <f>J27</f>
        <v>100</v>
      </c>
      <c r="X27" s="1564"/>
      <c r="Y27" s="3674"/>
      <c r="Z27" s="1572" t="str">
        <f>Q27</f>
        <v>楼层</v>
      </c>
      <c r="AA27" s="1573">
        <f t="shared" si="3"/>
        <v>1</v>
      </c>
      <c r="AB27" s="1573">
        <f t="shared" si="4"/>
        <v>1</v>
      </c>
      <c r="AC27" s="1573">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674"/>
      <c r="Q28" s="1149" t="str">
        <f t="shared" si="11"/>
        <v>朝向</v>
      </c>
      <c r="R28" s="1565" t="s">
        <v>8</v>
      </c>
      <c r="S28" s="1566">
        <f>F28</f>
        <v>100</v>
      </c>
      <c r="T28" s="1565" t="s">
        <v>8</v>
      </c>
      <c r="U28" s="1566">
        <f>H28</f>
        <v>100</v>
      </c>
      <c r="V28" s="1565" t="s">
        <v>8</v>
      </c>
      <c r="W28" s="1566">
        <f>J28</f>
        <v>100</v>
      </c>
      <c r="X28" s="1567"/>
      <c r="Y28" s="3674"/>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674"/>
      <c r="Q29" s="1569">
        <f t="shared" si="11"/>
        <v>111</v>
      </c>
      <c r="R29" s="1570" t="s">
        <v>8</v>
      </c>
      <c r="S29" s="1571">
        <f t="shared" ref="S29:S47" si="12">F29</f>
        <v>100</v>
      </c>
      <c r="T29" s="1570" t="s">
        <v>8</v>
      </c>
      <c r="U29" s="1571">
        <f t="shared" ref="U29:U47" si="13">H29</f>
        <v>100</v>
      </c>
      <c r="V29" s="1570" t="s">
        <v>8</v>
      </c>
      <c r="W29" s="1571">
        <f t="shared" ref="W29:W47" si="14">J29</f>
        <v>100</v>
      </c>
      <c r="X29" s="1564"/>
      <c r="Y29" s="3674"/>
      <c r="Z29" s="1572">
        <f t="shared" ref="Z29:Z47" si="15">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674"/>
      <c r="Q30" s="1569">
        <f t="shared" si="11"/>
        <v>111</v>
      </c>
      <c r="R30" s="1570" t="s">
        <v>8</v>
      </c>
      <c r="S30" s="1571">
        <f t="shared" si="12"/>
        <v>100</v>
      </c>
      <c r="T30" s="1570" t="s">
        <v>8</v>
      </c>
      <c r="U30" s="1571">
        <f t="shared" si="13"/>
        <v>100</v>
      </c>
      <c r="V30" s="1570" t="s">
        <v>8</v>
      </c>
      <c r="W30" s="1571">
        <f t="shared" si="14"/>
        <v>100</v>
      </c>
      <c r="X30" s="1564"/>
      <c r="Y30" s="3674"/>
      <c r="Z30" s="1572">
        <f t="shared" si="15"/>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674"/>
      <c r="Q31" s="1569">
        <f t="shared" si="11"/>
        <v>111</v>
      </c>
      <c r="R31" s="1570" t="s">
        <v>8</v>
      </c>
      <c r="S31" s="1571">
        <f t="shared" si="12"/>
        <v>100</v>
      </c>
      <c r="T31" s="1570" t="s">
        <v>8</v>
      </c>
      <c r="U31" s="1571">
        <f t="shared" si="13"/>
        <v>100</v>
      </c>
      <c r="V31" s="1570" t="s">
        <v>8</v>
      </c>
      <c r="W31" s="1571">
        <f t="shared" si="14"/>
        <v>100</v>
      </c>
      <c r="X31" s="1564"/>
      <c r="Y31" s="3674"/>
      <c r="Z31" s="1572">
        <f t="shared" si="15"/>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674"/>
      <c r="Q32" s="1569">
        <f t="shared" si="11"/>
        <v>111</v>
      </c>
      <c r="R32" s="1570" t="s">
        <v>8</v>
      </c>
      <c r="S32" s="1571">
        <f t="shared" si="12"/>
        <v>100</v>
      </c>
      <c r="T32" s="1570" t="s">
        <v>8</v>
      </c>
      <c r="U32" s="1571">
        <f t="shared" si="13"/>
        <v>100</v>
      </c>
      <c r="V32" s="1570" t="s">
        <v>8</v>
      </c>
      <c r="W32" s="1571">
        <f t="shared" si="14"/>
        <v>100</v>
      </c>
      <c r="X32" s="1564"/>
      <c r="Y32" s="3674"/>
      <c r="Z32" s="1572">
        <f t="shared" si="15"/>
        <v>111</v>
      </c>
      <c r="AA32" s="1573">
        <f t="shared" si="3"/>
        <v>1</v>
      </c>
      <c r="AB32" s="1573">
        <f t="shared" si="4"/>
        <v>1</v>
      </c>
      <c r="AC32" s="1573">
        <f t="shared" si="5"/>
        <v>1</v>
      </c>
    </row>
    <row r="33" spans="1:29" ht="15">
      <c r="A33" s="2905" t="s">
        <v>2754</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675" t="s">
        <v>550</v>
      </c>
      <c r="Q33" s="1569" t="str">
        <f t="shared" si="11"/>
        <v>建筑类型</v>
      </c>
      <c r="R33" s="1570" t="s">
        <v>8</v>
      </c>
      <c r="S33" s="1571">
        <f t="shared" si="12"/>
        <v>100</v>
      </c>
      <c r="T33" s="1570" t="s">
        <v>8</v>
      </c>
      <c r="U33" s="1571">
        <f t="shared" si="13"/>
        <v>100</v>
      </c>
      <c r="V33" s="1570" t="s">
        <v>8</v>
      </c>
      <c r="W33" s="1571">
        <f t="shared" si="14"/>
        <v>100</v>
      </c>
      <c r="X33" s="1564"/>
      <c r="Y33" s="3676" t="s">
        <v>550</v>
      </c>
      <c r="Z33" s="1572" t="str">
        <f t="shared" si="15"/>
        <v>建筑类型</v>
      </c>
      <c r="AA33" s="1573">
        <f t="shared" si="3"/>
        <v>1</v>
      </c>
      <c r="AB33" s="1573">
        <f t="shared" si="4"/>
        <v>1</v>
      </c>
      <c r="AC33" s="1573">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676"/>
      <c r="Q34" s="1602" t="str">
        <f t="shared" si="11"/>
        <v>项目建筑规模</v>
      </c>
      <c r="R34" s="1574" t="s">
        <v>8</v>
      </c>
      <c r="S34" s="1575" t="e">
        <f t="shared" si="12"/>
        <v>#N/A</v>
      </c>
      <c r="T34" s="1574" t="s">
        <v>8</v>
      </c>
      <c r="U34" s="1575" t="e">
        <f t="shared" si="13"/>
        <v>#N/A</v>
      </c>
      <c r="V34" s="1574" t="s">
        <v>8</v>
      </c>
      <c r="W34" s="1575" t="e">
        <f t="shared" si="14"/>
        <v>#N/A</v>
      </c>
      <c r="X34" s="1576"/>
      <c r="Y34" s="3676"/>
      <c r="Z34" s="1577" t="str">
        <f t="shared" si="15"/>
        <v>项目建筑规模</v>
      </c>
      <c r="AA34" s="1573" t="e">
        <f t="shared" si="3"/>
        <v>#N/A</v>
      </c>
      <c r="AB34" s="1573" t="e">
        <f t="shared" si="4"/>
        <v>#N/A</v>
      </c>
      <c r="AC34" s="1573"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676"/>
      <c r="Q35" s="1569" t="str">
        <f t="shared" si="11"/>
        <v>建筑结构</v>
      </c>
      <c r="R35" s="1570" t="s">
        <v>8</v>
      </c>
      <c r="S35" s="1571">
        <f t="shared" si="12"/>
        <v>100</v>
      </c>
      <c r="T35" s="1570" t="s">
        <v>8</v>
      </c>
      <c r="U35" s="1571">
        <f t="shared" si="13"/>
        <v>100</v>
      </c>
      <c r="V35" s="1570" t="s">
        <v>8</v>
      </c>
      <c r="W35" s="1571">
        <f t="shared" si="14"/>
        <v>100</v>
      </c>
      <c r="X35" s="1564"/>
      <c r="Y35" s="3676"/>
      <c r="Z35" s="1572" t="str">
        <f t="shared" si="15"/>
        <v>建筑结构</v>
      </c>
      <c r="AA35" s="1573">
        <f t="shared" si="3"/>
        <v>1</v>
      </c>
      <c r="AB35" s="1573">
        <f t="shared" si="4"/>
        <v>1</v>
      </c>
      <c r="AC35" s="1573">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676"/>
      <c r="Q36" s="1569" t="str">
        <f t="shared" si="11"/>
        <v>公共部分装修</v>
      </c>
      <c r="R36" s="1570" t="s">
        <v>8</v>
      </c>
      <c r="S36" s="1571">
        <f t="shared" si="12"/>
        <v>100</v>
      </c>
      <c r="T36" s="1570" t="s">
        <v>8</v>
      </c>
      <c r="U36" s="1571">
        <f t="shared" si="13"/>
        <v>100</v>
      </c>
      <c r="V36" s="1570" t="s">
        <v>8</v>
      </c>
      <c r="W36" s="1571">
        <f t="shared" si="14"/>
        <v>100</v>
      </c>
      <c r="X36" s="1564"/>
      <c r="Y36" s="3676"/>
      <c r="Z36" s="1572" t="str">
        <f t="shared" si="15"/>
        <v>公共部分装修</v>
      </c>
      <c r="AA36" s="1573">
        <f t="shared" si="3"/>
        <v>1</v>
      </c>
      <c r="AB36" s="1573">
        <f t="shared" si="4"/>
        <v>1</v>
      </c>
      <c r="AC36" s="1573">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676"/>
      <c r="Q37" s="1569" t="str">
        <f t="shared" si="11"/>
        <v>成新度</v>
      </c>
      <c r="R37" s="1570" t="s">
        <v>8</v>
      </c>
      <c r="S37" s="1571" t="e">
        <f t="shared" si="12"/>
        <v>#N/A</v>
      </c>
      <c r="T37" s="1570" t="s">
        <v>8</v>
      </c>
      <c r="U37" s="1571" t="e">
        <f t="shared" si="13"/>
        <v>#N/A</v>
      </c>
      <c r="V37" s="1570" t="s">
        <v>8</v>
      </c>
      <c r="W37" s="1571" t="e">
        <f t="shared" si="14"/>
        <v>#N/A</v>
      </c>
      <c r="X37" s="1564"/>
      <c r="Y37" s="3676"/>
      <c r="Z37" s="1572" t="str">
        <f t="shared" si="15"/>
        <v>成新度</v>
      </c>
      <c r="AA37" s="1573" t="e">
        <f t="shared" si="3"/>
        <v>#N/A</v>
      </c>
      <c r="AB37" s="1573" t="e">
        <f t="shared" si="4"/>
        <v>#N/A</v>
      </c>
      <c r="AC37" s="1573"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676"/>
      <c r="Q38" s="1149" t="str">
        <f t="shared" si="11"/>
        <v>写字楼等级</v>
      </c>
      <c r="R38" s="1565" t="s">
        <v>8</v>
      </c>
      <c r="S38" s="1566">
        <f t="shared" si="12"/>
        <v>100</v>
      </c>
      <c r="T38" s="1565" t="s">
        <v>8</v>
      </c>
      <c r="U38" s="1566">
        <f t="shared" si="13"/>
        <v>100</v>
      </c>
      <c r="V38" s="1565" t="s">
        <v>8</v>
      </c>
      <c r="W38" s="1566">
        <f t="shared" si="14"/>
        <v>100</v>
      </c>
      <c r="X38" s="1567"/>
      <c r="Y38" s="3676"/>
      <c r="Z38" s="1148" t="str">
        <f t="shared" si="15"/>
        <v>写字楼等级</v>
      </c>
      <c r="AA38" s="1568">
        <f t="shared" si="3"/>
        <v>1</v>
      </c>
      <c r="AB38" s="1568">
        <f t="shared" si="4"/>
        <v>1</v>
      </c>
      <c r="AC38" s="1568">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676" t="s">
        <v>550</v>
      </c>
      <c r="Q39" s="1569" t="str">
        <f t="shared" si="11"/>
        <v>物业管理</v>
      </c>
      <c r="R39" s="1570" t="s">
        <v>8</v>
      </c>
      <c r="S39" s="1571">
        <f t="shared" si="12"/>
        <v>100</v>
      </c>
      <c r="T39" s="1570" t="s">
        <v>8</v>
      </c>
      <c r="U39" s="1571">
        <f t="shared" si="13"/>
        <v>100</v>
      </c>
      <c r="V39" s="1570" t="s">
        <v>8</v>
      </c>
      <c r="W39" s="1571">
        <f t="shared" si="14"/>
        <v>100</v>
      </c>
      <c r="X39" s="1564"/>
      <c r="Y39" s="3676" t="s">
        <v>550</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676"/>
      <c r="Q40" s="1569" t="str">
        <f t="shared" si="11"/>
        <v>市政基础设施</v>
      </c>
      <c r="R40" s="1570" t="s">
        <v>8</v>
      </c>
      <c r="S40" s="1571">
        <f t="shared" si="12"/>
        <v>100</v>
      </c>
      <c r="T40" s="1570" t="s">
        <v>8</v>
      </c>
      <c r="U40" s="1571">
        <f t="shared" si="13"/>
        <v>100</v>
      </c>
      <c r="V40" s="1570" t="s">
        <v>8</v>
      </c>
      <c r="W40" s="1571">
        <f t="shared" si="14"/>
        <v>100</v>
      </c>
      <c r="X40" s="1564"/>
      <c r="Y40" s="3676"/>
      <c r="Z40" s="1572" t="str">
        <f t="shared" si="15"/>
        <v>市政基础设施</v>
      </c>
      <c r="AA40" s="1573">
        <f t="shared" si="3"/>
        <v>1</v>
      </c>
      <c r="AB40" s="1573">
        <f t="shared" si="4"/>
        <v>1</v>
      </c>
      <c r="AC40" s="1573">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676"/>
      <c r="Q41" s="1569" t="str">
        <f t="shared" si="11"/>
        <v>层高</v>
      </c>
      <c r="R41" s="1570" t="s">
        <v>8</v>
      </c>
      <c r="S41" s="1571">
        <f t="shared" si="12"/>
        <v>100</v>
      </c>
      <c r="T41" s="1570" t="s">
        <v>8</v>
      </c>
      <c r="U41" s="1571">
        <f t="shared" si="13"/>
        <v>100</v>
      </c>
      <c r="V41" s="1570" t="s">
        <v>8</v>
      </c>
      <c r="W41" s="1571">
        <f t="shared" si="14"/>
        <v>100</v>
      </c>
      <c r="X41" s="1564"/>
      <c r="Y41" s="3676"/>
      <c r="Z41" s="1572" t="str">
        <f t="shared" si="15"/>
        <v>层高</v>
      </c>
      <c r="AA41" s="1573">
        <f t="shared" si="3"/>
        <v>1</v>
      </c>
      <c r="AB41" s="1573">
        <f t="shared" si="4"/>
        <v>1</v>
      </c>
      <c r="AC41" s="1573">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676"/>
      <c r="Q42" s="1602" t="str">
        <f t="shared" si="11"/>
        <v>单套建筑面积</v>
      </c>
      <c r="R42" s="1574" t="s">
        <v>8</v>
      </c>
      <c r="S42" s="1575">
        <f t="shared" si="12"/>
        <v>100</v>
      </c>
      <c r="T42" s="1574" t="s">
        <v>8</v>
      </c>
      <c r="U42" s="1575">
        <f t="shared" si="13"/>
        <v>100</v>
      </c>
      <c r="V42" s="1574" t="s">
        <v>8</v>
      </c>
      <c r="W42" s="1575">
        <f t="shared" si="14"/>
        <v>100</v>
      </c>
      <c r="X42" s="1576"/>
      <c r="Y42" s="3676"/>
      <c r="Z42" s="1577" t="str">
        <f t="shared" si="15"/>
        <v>单套建筑面积</v>
      </c>
      <c r="AA42" s="1573">
        <f t="shared" si="3"/>
        <v>1</v>
      </c>
      <c r="AB42" s="1573">
        <f t="shared" si="4"/>
        <v>1</v>
      </c>
      <c r="AC42" s="1573">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676"/>
      <c r="Q43" s="1569" t="str">
        <f t="shared" si="11"/>
        <v>内部装修</v>
      </c>
      <c r="R43" s="1570" t="s">
        <v>8</v>
      </c>
      <c r="S43" s="1571">
        <f t="shared" si="12"/>
        <v>100</v>
      </c>
      <c r="T43" s="1570" t="s">
        <v>8</v>
      </c>
      <c r="U43" s="1571">
        <f t="shared" si="13"/>
        <v>100</v>
      </c>
      <c r="V43" s="1570" t="s">
        <v>8</v>
      </c>
      <c r="W43" s="1571">
        <f t="shared" si="14"/>
        <v>100</v>
      </c>
      <c r="X43" s="1564"/>
      <c r="Y43" s="3676"/>
      <c r="Z43" s="1572" t="str">
        <f t="shared" si="15"/>
        <v>内部装修</v>
      </c>
      <c r="AA43" s="1573">
        <f t="shared" si="3"/>
        <v>1</v>
      </c>
      <c r="AB43" s="1573">
        <f t="shared" si="4"/>
        <v>1</v>
      </c>
      <c r="AC43" s="1573">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676"/>
      <c r="Q44" s="1569" t="str">
        <f t="shared" si="11"/>
        <v>内部装修维护情况</v>
      </c>
      <c r="R44" s="1570" t="s">
        <v>8</v>
      </c>
      <c r="S44" s="1571">
        <f t="shared" si="12"/>
        <v>100</v>
      </c>
      <c r="T44" s="1570" t="s">
        <v>8</v>
      </c>
      <c r="U44" s="1571">
        <f t="shared" si="13"/>
        <v>100</v>
      </c>
      <c r="V44" s="1570" t="s">
        <v>8</v>
      </c>
      <c r="W44" s="1571">
        <f t="shared" si="14"/>
        <v>100</v>
      </c>
      <c r="X44" s="1564"/>
      <c r="Y44" s="3676"/>
      <c r="Z44" s="1572" t="str">
        <f t="shared" si="15"/>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676"/>
      <c r="Q45" s="1149">
        <f t="shared" si="11"/>
        <v>111</v>
      </c>
      <c r="R45" s="1565" t="s">
        <v>8</v>
      </c>
      <c r="S45" s="1566">
        <f t="shared" si="12"/>
        <v>100</v>
      </c>
      <c r="T45" s="1565" t="s">
        <v>8</v>
      </c>
      <c r="U45" s="1566">
        <f t="shared" si="13"/>
        <v>100</v>
      </c>
      <c r="V45" s="1565" t="s">
        <v>8</v>
      </c>
      <c r="W45" s="1566">
        <f t="shared" si="14"/>
        <v>100</v>
      </c>
      <c r="X45" s="1567"/>
      <c r="Y45" s="3676"/>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676"/>
      <c r="Q46" s="1569">
        <f t="shared" si="11"/>
        <v>111</v>
      </c>
      <c r="R46" s="1570" t="s">
        <v>8</v>
      </c>
      <c r="S46" s="1571">
        <f t="shared" si="12"/>
        <v>100</v>
      </c>
      <c r="T46" s="1570" t="s">
        <v>8</v>
      </c>
      <c r="U46" s="1571">
        <f t="shared" si="13"/>
        <v>100</v>
      </c>
      <c r="V46" s="1570" t="s">
        <v>8</v>
      </c>
      <c r="W46" s="1571">
        <f t="shared" si="14"/>
        <v>100</v>
      </c>
      <c r="X46" s="1564"/>
      <c r="Y46" s="3676"/>
      <c r="Z46" s="1572">
        <f t="shared" si="15"/>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756"/>
      <c r="Q47" s="1569">
        <f t="shared" si="11"/>
        <v>111</v>
      </c>
      <c r="R47" s="1570" t="s">
        <v>8</v>
      </c>
      <c r="S47" s="1571">
        <f t="shared" si="12"/>
        <v>100</v>
      </c>
      <c r="T47" s="1570" t="s">
        <v>8</v>
      </c>
      <c r="U47" s="1571">
        <f t="shared" si="13"/>
        <v>100</v>
      </c>
      <c r="V47" s="1570" t="s">
        <v>8</v>
      </c>
      <c r="W47" s="1571">
        <f t="shared" si="14"/>
        <v>100</v>
      </c>
      <c r="X47" s="1564"/>
      <c r="Y47" s="3756"/>
      <c r="Z47" s="1572">
        <f t="shared" si="15"/>
        <v>111</v>
      </c>
      <c r="AA47" s="1573">
        <f t="shared" si="3"/>
        <v>1</v>
      </c>
      <c r="AB47" s="1573">
        <f t="shared" si="4"/>
        <v>1</v>
      </c>
      <c r="AC47" s="1573">
        <f t="shared" si="5"/>
        <v>1</v>
      </c>
    </row>
    <row r="48" spans="1:29" ht="15">
      <c r="A48" s="606" t="s">
        <v>736</v>
      </c>
      <c r="B48" s="885"/>
      <c r="C48" s="2625" t="s">
        <v>1</v>
      </c>
      <c r="D48" s="2626"/>
      <c r="E48" s="2627"/>
      <c r="F48" s="2628"/>
      <c r="G48" s="2629"/>
      <c r="H48" s="2630"/>
      <c r="I48" s="2627"/>
      <c r="J48" s="2630"/>
      <c r="K48" s="1608"/>
      <c r="L48" s="2142"/>
      <c r="M48" s="2132"/>
      <c r="N48" s="2132"/>
      <c r="O48" s="2132"/>
      <c r="P48" s="3693" t="str">
        <f>A48</f>
        <v>成交单价（元/平方米）</v>
      </c>
      <c r="Q48" s="3671"/>
      <c r="R48" s="3755">
        <f>E48</f>
        <v>0</v>
      </c>
      <c r="S48" s="3755"/>
      <c r="T48" s="3755">
        <f>G48</f>
        <v>0</v>
      </c>
      <c r="U48" s="3755"/>
      <c r="V48" s="3755">
        <f>I48</f>
        <v>0</v>
      </c>
      <c r="W48" s="3755"/>
      <c r="X48" s="1556"/>
      <c r="Y48" s="1578"/>
      <c r="Z48" s="1556"/>
      <c r="AA48" s="1556"/>
      <c r="AB48" s="1556"/>
      <c r="AC48" s="1556"/>
    </row>
    <row r="49" spans="1:29" ht="15.75" thickBot="1">
      <c r="A49" s="614" t="s">
        <v>2759</v>
      </c>
      <c r="B49" s="886"/>
      <c r="C49" s="2631" t="e">
        <f>R50</f>
        <v>#DIV/0!</v>
      </c>
      <c r="D49" s="2632"/>
      <c r="E49" s="2633" t="e">
        <f>R49</f>
        <v>#DIV/0!</v>
      </c>
      <c r="F49" s="2633"/>
      <c r="G49" s="2631" t="e">
        <f>T49</f>
        <v>#DIV/0!</v>
      </c>
      <c r="H49" s="2632"/>
      <c r="I49" s="2633" t="e">
        <f>V49</f>
        <v>#DIV/0!</v>
      </c>
      <c r="J49" s="2632"/>
      <c r="K49" s="1609"/>
      <c r="L49" s="2142"/>
      <c r="M49" s="2132"/>
      <c r="N49" s="2132"/>
      <c r="O49" s="2132"/>
      <c r="P49" s="3693" t="str">
        <f>A49</f>
        <v>比较价格（元/平方米）</v>
      </c>
      <c r="Q49" s="3671"/>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1556"/>
      <c r="Y49" s="1556"/>
      <c r="Z49" s="1556"/>
      <c r="AA49" s="1556"/>
      <c r="AB49" s="1556"/>
      <c r="AC49" s="1556"/>
    </row>
    <row r="50" spans="1:29" ht="15.75" thickBot="1">
      <c r="A50" s="620" t="s">
        <v>2934</v>
      </c>
      <c r="B50" s="621"/>
      <c r="C50" s="2634" t="e">
        <f>R50</f>
        <v>#DIV/0!</v>
      </c>
      <c r="D50" s="2634"/>
      <c r="E50" s="2634"/>
      <c r="F50" s="2634"/>
      <c r="G50" s="2634"/>
      <c r="H50" s="2634"/>
      <c r="I50" s="2634"/>
      <c r="J50" s="2634"/>
      <c r="K50" s="1610"/>
      <c r="L50" s="2142"/>
      <c r="M50" s="2132"/>
      <c r="N50" s="2132"/>
      <c r="O50" s="2132"/>
      <c r="P50" s="3792" t="str">
        <f>A50</f>
        <v>估价对象XX用房的比较价格（楼面单价，元/平方米）</v>
      </c>
      <c r="Q50" s="3693"/>
      <c r="R50" s="3754" t="e">
        <f>IF(F1="售价",ROUND(AVERAGE(R49:V49),0),ROUND(AVERAGE(R49:V49),1))</f>
        <v>#DIV/0!</v>
      </c>
      <c r="S50" s="3754"/>
      <c r="T50" s="3754"/>
      <c r="U50" s="3754"/>
      <c r="V50" s="3754"/>
      <c r="W50" s="3754"/>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5" customFormat="1" ht="15">
      <c r="A59" s="644" t="s">
        <v>529</v>
      </c>
      <c r="B59" s="645"/>
      <c r="C59" s="2800" t="str">
        <f>YEAR(C7)&amp;"-"&amp;MONTH(C7)</f>
        <v>2018-9</v>
      </c>
      <c r="D59" s="2802">
        <f>EDATE(C59,-1)</f>
        <v>43313</v>
      </c>
      <c r="E59" s="2802">
        <f t="shared" ref="E59:O59" si="16">EDATE(D59,-1)</f>
        <v>43282</v>
      </c>
      <c r="F59" s="2802">
        <f t="shared" si="16"/>
        <v>43252</v>
      </c>
      <c r="G59" s="2802">
        <f t="shared" si="16"/>
        <v>43221</v>
      </c>
      <c r="H59" s="2802">
        <f t="shared" si="16"/>
        <v>43191</v>
      </c>
      <c r="I59" s="2802">
        <f t="shared" si="16"/>
        <v>43160</v>
      </c>
      <c r="J59" s="2802">
        <f t="shared" si="16"/>
        <v>43132</v>
      </c>
      <c r="K59" s="2802">
        <f t="shared" si="16"/>
        <v>43101</v>
      </c>
      <c r="L59" s="2802">
        <f t="shared" si="16"/>
        <v>43070</v>
      </c>
      <c r="M59" s="2802">
        <f t="shared" si="16"/>
        <v>43040</v>
      </c>
      <c r="N59" s="2802">
        <f t="shared" si="16"/>
        <v>43009</v>
      </c>
      <c r="O59" s="2802">
        <f t="shared" si="16"/>
        <v>42979</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2558</v>
      </c>
      <c r="C83" s="2596" t="s">
        <v>2559</v>
      </c>
      <c r="D83" s="2596" t="s">
        <v>2560</v>
      </c>
      <c r="E83" s="2596" t="s">
        <v>2561</v>
      </c>
      <c r="F83" s="2596" t="s">
        <v>2562</v>
      </c>
      <c r="G83" s="2596" t="s">
        <v>2563</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5"/>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521</v>
      </c>
      <c r="B4" s="512"/>
      <c r="C4" s="3677" t="s">
        <v>522</v>
      </c>
      <c r="D4" s="3678"/>
      <c r="E4" s="3702" t="s">
        <v>523</v>
      </c>
      <c r="F4" s="3703"/>
      <c r="G4" s="3677" t="s">
        <v>524</v>
      </c>
      <c r="H4" s="3678"/>
      <c r="I4" s="3677" t="s">
        <v>525</v>
      </c>
      <c r="J4" s="3678"/>
      <c r="K4" s="513" t="s">
        <v>526</v>
      </c>
      <c r="L4" s="2131"/>
      <c r="M4" s="2132"/>
      <c r="N4" s="2132"/>
      <c r="O4" s="2132"/>
      <c r="P4" s="3679" t="s">
        <v>527</v>
      </c>
      <c r="Q4" s="3680"/>
      <c r="R4" s="3665" t="s">
        <v>523</v>
      </c>
      <c r="S4" s="3666"/>
      <c r="T4" s="3665" t="s">
        <v>524</v>
      </c>
      <c r="U4" s="3666"/>
      <c r="V4" s="3685" t="s">
        <v>525</v>
      </c>
      <c r="W4" s="3685"/>
      <c r="X4" s="1564"/>
      <c r="Y4" s="3665" t="s">
        <v>527</v>
      </c>
      <c r="Z4" s="3666"/>
      <c r="AA4" s="3660" t="s">
        <v>523</v>
      </c>
      <c r="AB4" s="3661" t="s">
        <v>524</v>
      </c>
      <c r="AC4" s="3660" t="s">
        <v>525</v>
      </c>
    </row>
    <row r="5" spans="1:29" ht="15">
      <c r="A5" s="514"/>
      <c r="B5" s="515"/>
      <c r="C5" s="3688" t="s">
        <v>2928</v>
      </c>
      <c r="D5" s="3689"/>
      <c r="E5" s="3704" t="s">
        <v>2929</v>
      </c>
      <c r="F5" s="3705"/>
      <c r="G5" s="3688" t="s">
        <v>2930</v>
      </c>
      <c r="H5" s="3689"/>
      <c r="I5" s="3688" t="s">
        <v>2931</v>
      </c>
      <c r="J5" s="3689"/>
      <c r="K5" s="513"/>
      <c r="L5" s="2131"/>
      <c r="M5" s="2132"/>
      <c r="N5" s="2132"/>
      <c r="O5" s="2132"/>
      <c r="P5" s="3681"/>
      <c r="Q5" s="3682"/>
      <c r="R5" s="3667"/>
      <c r="S5" s="3668"/>
      <c r="T5" s="3667"/>
      <c r="U5" s="3668"/>
      <c r="V5" s="3685"/>
      <c r="W5" s="3685"/>
      <c r="X5" s="1564"/>
      <c r="Y5" s="3667"/>
      <c r="Z5" s="3668"/>
      <c r="AA5" s="3661"/>
      <c r="AB5" s="3661"/>
      <c r="AC5" s="3661"/>
    </row>
    <row r="6" spans="1:29" ht="15.75" thickBot="1">
      <c r="A6" s="516"/>
      <c r="B6" s="517"/>
      <c r="C6" s="3686" t="s">
        <v>2932</v>
      </c>
      <c r="D6" s="3687"/>
      <c r="E6" s="3706" t="s">
        <v>2932</v>
      </c>
      <c r="F6" s="3707"/>
      <c r="G6" s="3686" t="s">
        <v>2932</v>
      </c>
      <c r="H6" s="3687"/>
      <c r="I6" s="3686" t="s">
        <v>2932</v>
      </c>
      <c r="J6" s="3687"/>
      <c r="K6" s="513" t="s">
        <v>528</v>
      </c>
      <c r="L6" s="2131"/>
      <c r="M6" s="2132"/>
      <c r="N6" s="2132"/>
      <c r="O6" s="2132"/>
      <c r="P6" s="3683"/>
      <c r="Q6" s="3684"/>
      <c r="R6" s="3667"/>
      <c r="S6" s="3668"/>
      <c r="T6" s="3669"/>
      <c r="U6" s="3670"/>
      <c r="V6" s="3685"/>
      <c r="W6" s="3685"/>
      <c r="X6" s="1564"/>
      <c r="Y6" s="3669"/>
      <c r="Z6" s="3670"/>
      <c r="AA6" s="3662"/>
      <c r="AB6" s="3662"/>
      <c r="AC6" s="3662"/>
    </row>
    <row r="7" spans="1:29" s="1218" customFormat="1" ht="15.75" thickBot="1">
      <c r="A7" s="2910"/>
      <c r="B7" s="2917" t="s">
        <v>529</v>
      </c>
      <c r="C7" s="518">
        <f>'数据-取费表'!B2</f>
        <v>43346</v>
      </c>
      <c r="D7" s="519">
        <v>100</v>
      </c>
      <c r="E7" s="520"/>
      <c r="F7" s="521">
        <f>SUMIF(52:52,YEAR(E7)&amp;"-"&amp;MONTH(E7),53:53)</f>
        <v>0</v>
      </c>
      <c r="G7" s="520"/>
      <c r="H7" s="519">
        <f>SUMIF(52:52,YEAR(G7)&amp;"-"&amp;MONTH(G7),53:53)</f>
        <v>0</v>
      </c>
      <c r="I7" s="520"/>
      <c r="J7" s="519">
        <f>SUMIF(52:52,YEAR(I7)&amp;"-"&amp;MONTH(I7),53:53)</f>
        <v>0</v>
      </c>
      <c r="K7" s="523"/>
      <c r="L7" s="2133"/>
      <c r="M7" s="2134"/>
      <c r="N7" s="2134"/>
      <c r="O7" s="2134"/>
      <c r="P7" s="3663" t="s">
        <v>530</v>
      </c>
      <c r="Q7" s="3672"/>
      <c r="R7" s="1565" t="s">
        <v>8</v>
      </c>
      <c r="S7" s="1566">
        <f t="shared" ref="S7:S15" si="0">F7</f>
        <v>0</v>
      </c>
      <c r="T7" s="1565" t="s">
        <v>8</v>
      </c>
      <c r="U7" s="1566">
        <f t="shared" ref="U7:U15" si="1">H7</f>
        <v>0</v>
      </c>
      <c r="V7" s="1565" t="s">
        <v>8</v>
      </c>
      <c r="W7" s="1566">
        <f t="shared" ref="W7:W15" si="2">J7</f>
        <v>0</v>
      </c>
      <c r="X7" s="1567"/>
      <c r="Y7" s="3663" t="s">
        <v>530</v>
      </c>
      <c r="Z7" s="3664"/>
      <c r="AA7" s="1568" t="e">
        <f>D7/F7</f>
        <v>#DIV/0!</v>
      </c>
      <c r="AB7" s="1568" t="e">
        <f>D7/H7</f>
        <v>#DIV/0!</v>
      </c>
      <c r="AC7" s="1568" t="e">
        <f>D7/J7</f>
        <v>#DIV/0!</v>
      </c>
    </row>
    <row r="8" spans="1:29" s="1218" customFormat="1" ht="15.75" thickBot="1">
      <c r="A8" s="2911"/>
      <c r="B8" s="2918"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663" t="s">
        <v>533</v>
      </c>
      <c r="Q8" s="3664"/>
      <c r="R8" s="1565" t="s">
        <v>8</v>
      </c>
      <c r="S8" s="1566">
        <f t="shared" si="0"/>
        <v>0</v>
      </c>
      <c r="T8" s="1565" t="s">
        <v>8</v>
      </c>
      <c r="U8" s="1566">
        <f t="shared" si="1"/>
        <v>0</v>
      </c>
      <c r="V8" s="1565" t="s">
        <v>8</v>
      </c>
      <c r="W8" s="1566">
        <f t="shared" si="2"/>
        <v>0</v>
      </c>
      <c r="X8" s="1567"/>
      <c r="Y8" s="3663" t="s">
        <v>533</v>
      </c>
      <c r="Z8" s="3664"/>
      <c r="AA8" s="1568" t="e">
        <f t="shared" ref="AA8:AA40" si="3">D8/F8</f>
        <v>#DIV/0!</v>
      </c>
      <c r="AB8" s="1568" t="e">
        <f t="shared" ref="AB8:AB40" si="4">D8/H8</f>
        <v>#DIV/0!</v>
      </c>
      <c r="AC8" s="1568" t="e">
        <f t="shared" ref="AC8:AC40" si="5">D8/J8</f>
        <v>#DIV/0!</v>
      </c>
    </row>
    <row r="9" spans="1:29" s="1218" customFormat="1" ht="15">
      <c r="A9" s="2912"/>
      <c r="B9" s="2919" t="s">
        <v>2755</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671" t="s">
        <v>535</v>
      </c>
      <c r="Q9" s="1149" t="str">
        <f t="shared" ref="Q9:Q15" si="6">B9</f>
        <v>用途</v>
      </c>
      <c r="R9" s="1565" t="s">
        <v>8</v>
      </c>
      <c r="S9" s="1566">
        <f t="shared" si="0"/>
        <v>100</v>
      </c>
      <c r="T9" s="1565" t="s">
        <v>8</v>
      </c>
      <c r="U9" s="1566">
        <f t="shared" si="1"/>
        <v>100</v>
      </c>
      <c r="V9" s="1565" t="s">
        <v>8</v>
      </c>
      <c r="W9" s="1566">
        <f t="shared" si="2"/>
        <v>100</v>
      </c>
      <c r="X9" s="1567"/>
      <c r="Y9" s="3628" t="s">
        <v>536</v>
      </c>
      <c r="Z9" s="1148" t="str">
        <f t="shared" ref="Z9:Z15" si="7">Q9</f>
        <v>用途</v>
      </c>
      <c r="AA9" s="1568">
        <f t="shared" si="3"/>
        <v>1</v>
      </c>
      <c r="AB9" s="1568">
        <f t="shared" si="4"/>
        <v>1</v>
      </c>
      <c r="AC9" s="1568">
        <f t="shared" si="5"/>
        <v>1</v>
      </c>
    </row>
    <row r="10" spans="1:29" s="1336" customFormat="1" ht="27">
      <c r="A10" s="2913"/>
      <c r="B10" s="2918" t="s">
        <v>2756</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671"/>
      <c r="Q10" s="1149" t="str">
        <f t="shared" si="6"/>
        <v>土地使用年限（年）</v>
      </c>
      <c r="R10" s="1565" t="s">
        <v>8</v>
      </c>
      <c r="S10" s="1566">
        <f t="shared" si="0"/>
        <v>100</v>
      </c>
      <c r="T10" s="1565" t="s">
        <v>8</v>
      </c>
      <c r="U10" s="1566">
        <f t="shared" si="1"/>
        <v>100</v>
      </c>
      <c r="V10" s="1565" t="s">
        <v>8</v>
      </c>
      <c r="W10" s="1566">
        <f t="shared" si="2"/>
        <v>100</v>
      </c>
      <c r="X10" s="1567"/>
      <c r="Y10" s="3628"/>
      <c r="Z10" s="1148" t="str">
        <f t="shared" si="7"/>
        <v>土地使用年限（年）</v>
      </c>
      <c r="AA10" s="1568">
        <f t="shared" si="3"/>
        <v>1</v>
      </c>
      <c r="AB10" s="1568">
        <f t="shared" si="4"/>
        <v>1</v>
      </c>
      <c r="AC10" s="1568">
        <f t="shared" si="5"/>
        <v>1</v>
      </c>
    </row>
    <row r="11" spans="1:29" ht="15">
      <c r="A11" s="2914"/>
      <c r="B11" s="2918"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671"/>
      <c r="Q11" s="1149" t="str">
        <f t="shared" si="6"/>
        <v>容积率</v>
      </c>
      <c r="R11" s="1565" t="s">
        <v>8</v>
      </c>
      <c r="S11" s="1566" t="e">
        <f t="shared" si="0"/>
        <v>#N/A</v>
      </c>
      <c r="T11" s="1565" t="s">
        <v>8</v>
      </c>
      <c r="U11" s="1566" t="e">
        <f t="shared" si="1"/>
        <v>#N/A</v>
      </c>
      <c r="V11" s="1565" t="s">
        <v>8</v>
      </c>
      <c r="W11" s="1566" t="e">
        <f t="shared" si="2"/>
        <v>#N/A</v>
      </c>
      <c r="X11" s="1567"/>
      <c r="Y11" s="3628"/>
      <c r="Z11" s="1148" t="str">
        <f t="shared" si="7"/>
        <v>容积率</v>
      </c>
      <c r="AA11" s="1568" t="e">
        <f t="shared" si="3"/>
        <v>#N/A</v>
      </c>
      <c r="AB11" s="1568" t="e">
        <f t="shared" si="4"/>
        <v>#N/A</v>
      </c>
      <c r="AC11" s="1568" t="e">
        <f t="shared" si="5"/>
        <v>#N/A</v>
      </c>
    </row>
    <row r="12" spans="1:29" s="1218" customFormat="1" ht="15">
      <c r="A12" s="2915"/>
      <c r="B12" s="2921">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671"/>
      <c r="Q12" s="1149">
        <f t="shared" si="6"/>
        <v>111</v>
      </c>
      <c r="R12" s="1565" t="s">
        <v>8</v>
      </c>
      <c r="S12" s="1566">
        <f t="shared" si="0"/>
        <v>100</v>
      </c>
      <c r="T12" s="1565" t="s">
        <v>8</v>
      </c>
      <c r="U12" s="1566">
        <f t="shared" si="1"/>
        <v>100</v>
      </c>
      <c r="V12" s="1565" t="s">
        <v>8</v>
      </c>
      <c r="W12" s="1566">
        <f t="shared" si="2"/>
        <v>100</v>
      </c>
      <c r="X12" s="1567"/>
      <c r="Y12" s="3628"/>
      <c r="Z12" s="1148">
        <f t="shared" si="7"/>
        <v>111</v>
      </c>
      <c r="AA12" s="1568">
        <f>D12/F12</f>
        <v>1</v>
      </c>
      <c r="AB12" s="1568">
        <f>D12/H12</f>
        <v>1</v>
      </c>
      <c r="AC12" s="1568">
        <f>D12/J12</f>
        <v>1</v>
      </c>
    </row>
    <row r="13" spans="1:29" ht="15">
      <c r="A13" s="2915"/>
      <c r="B13" s="2921">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671"/>
      <c r="Q13" s="1149">
        <f t="shared" si="6"/>
        <v>111</v>
      </c>
      <c r="R13" s="1565" t="s">
        <v>8</v>
      </c>
      <c r="S13" s="1566">
        <f t="shared" si="0"/>
        <v>100</v>
      </c>
      <c r="T13" s="1565" t="s">
        <v>8</v>
      </c>
      <c r="U13" s="1566">
        <f t="shared" si="1"/>
        <v>100</v>
      </c>
      <c r="V13" s="1565" t="s">
        <v>8</v>
      </c>
      <c r="W13" s="1566">
        <f t="shared" si="2"/>
        <v>100</v>
      </c>
      <c r="X13" s="1567"/>
      <c r="Y13" s="3628"/>
      <c r="Z13" s="1148">
        <f t="shared" si="7"/>
        <v>111</v>
      </c>
      <c r="AA13" s="1568">
        <f t="shared" si="3"/>
        <v>1</v>
      </c>
      <c r="AB13" s="1568">
        <f t="shared" si="4"/>
        <v>1</v>
      </c>
      <c r="AC13" s="1568">
        <f t="shared" si="5"/>
        <v>1</v>
      </c>
    </row>
    <row r="14" spans="1:29" ht="15.75" thickBot="1">
      <c r="A14" s="2916"/>
      <c r="B14" s="2922">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671"/>
      <c r="Q14" s="1149">
        <f t="shared" si="6"/>
        <v>111</v>
      </c>
      <c r="R14" s="1565" t="s">
        <v>8</v>
      </c>
      <c r="S14" s="1566">
        <f t="shared" si="0"/>
        <v>100</v>
      </c>
      <c r="T14" s="1565" t="s">
        <v>8</v>
      </c>
      <c r="U14" s="1566">
        <f t="shared" si="1"/>
        <v>100</v>
      </c>
      <c r="V14" s="1565" t="s">
        <v>8</v>
      </c>
      <c r="W14" s="1566">
        <f t="shared" si="2"/>
        <v>100</v>
      </c>
      <c r="X14" s="1567"/>
      <c r="Y14" s="3628"/>
      <c r="Z14" s="1148">
        <f t="shared" si="7"/>
        <v>111</v>
      </c>
      <c r="AA14" s="1568">
        <f t="shared" si="3"/>
        <v>1</v>
      </c>
      <c r="AB14" s="1568">
        <f t="shared" si="4"/>
        <v>1</v>
      </c>
      <c r="AC14" s="1568">
        <f t="shared" si="5"/>
        <v>1</v>
      </c>
    </row>
    <row r="15" spans="1:29" ht="57">
      <c r="A15" s="2908" t="s">
        <v>2753</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673" t="s">
        <v>540</v>
      </c>
      <c r="Q15" s="1569" t="str">
        <f t="shared" si="6"/>
        <v>产业集聚程度</v>
      </c>
      <c r="R15" s="1570" t="s">
        <v>8</v>
      </c>
      <c r="S15" s="1571">
        <f t="shared" si="0"/>
        <v>100</v>
      </c>
      <c r="T15" s="1570" t="s">
        <v>8</v>
      </c>
      <c r="U15" s="1571">
        <f t="shared" si="1"/>
        <v>100</v>
      </c>
      <c r="V15" s="1570" t="s">
        <v>8</v>
      </c>
      <c r="W15" s="1571">
        <f t="shared" si="2"/>
        <v>100</v>
      </c>
      <c r="X15" s="1564"/>
      <c r="Y15" s="3673" t="s">
        <v>540</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40"/>
      <c r="M16" s="2132"/>
      <c r="N16" s="2132"/>
      <c r="O16" s="2139"/>
      <c r="P16" s="3674"/>
      <c r="Q16" s="1569"/>
      <c r="R16" s="1570"/>
      <c r="S16" s="1571"/>
      <c r="T16" s="1570"/>
      <c r="U16" s="1571"/>
      <c r="V16" s="1570"/>
      <c r="W16" s="1571"/>
      <c r="X16" s="1564"/>
      <c r="Y16" s="3674"/>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674"/>
      <c r="Q17" s="1569" t="str">
        <f>B17</f>
        <v>交通便捷度</v>
      </c>
      <c r="R17" s="1570" t="s">
        <v>8</v>
      </c>
      <c r="S17" s="1571">
        <f>F17</f>
        <v>100</v>
      </c>
      <c r="T17" s="1570" t="s">
        <v>8</v>
      </c>
      <c r="U17" s="1571">
        <f>H17</f>
        <v>100</v>
      </c>
      <c r="V17" s="1570" t="s">
        <v>8</v>
      </c>
      <c r="W17" s="1571">
        <f>J17</f>
        <v>100</v>
      </c>
      <c r="X17" s="1564"/>
      <c r="Y17" s="3674"/>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40"/>
      <c r="M18" s="2132"/>
      <c r="N18" s="2132"/>
      <c r="O18" s="2139"/>
      <c r="P18" s="3674"/>
      <c r="Q18" s="1569"/>
      <c r="R18" s="1570"/>
      <c r="S18" s="1571"/>
      <c r="T18" s="1570"/>
      <c r="U18" s="1571"/>
      <c r="V18" s="1570"/>
      <c r="W18" s="1571"/>
      <c r="X18" s="1564"/>
      <c r="Y18" s="3674"/>
      <c r="Z18" s="1572"/>
      <c r="AA18" s="1573">
        <v>1</v>
      </c>
      <c r="AB18" s="1573">
        <v>1</v>
      </c>
      <c r="AC18" s="1573">
        <v>1</v>
      </c>
    </row>
    <row r="19" spans="1:29" ht="42.75">
      <c r="A19" s="531"/>
      <c r="B19" s="2601"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674"/>
      <c r="Q19" s="1569" t="str">
        <f>B19</f>
        <v>公共配套设施</v>
      </c>
      <c r="R19" s="1570" t="s">
        <v>8</v>
      </c>
      <c r="S19" s="1571">
        <f>F19</f>
        <v>100</v>
      </c>
      <c r="T19" s="1570" t="s">
        <v>8</v>
      </c>
      <c r="U19" s="1571">
        <f>H19</f>
        <v>100</v>
      </c>
      <c r="V19" s="1570" t="s">
        <v>8</v>
      </c>
      <c r="W19" s="1571">
        <f>J19</f>
        <v>100</v>
      </c>
      <c r="X19" s="1564"/>
      <c r="Y19" s="3674"/>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40"/>
      <c r="M20" s="2132"/>
      <c r="N20" s="2132"/>
      <c r="O20" s="2139"/>
      <c r="P20" s="3674"/>
      <c r="Q20" s="1569"/>
      <c r="R20" s="1570"/>
      <c r="S20" s="1571"/>
      <c r="T20" s="1570"/>
      <c r="U20" s="1571"/>
      <c r="V20" s="1570"/>
      <c r="W20" s="1571"/>
      <c r="X20" s="1564"/>
      <c r="Y20" s="3674"/>
      <c r="Z20" s="1572"/>
      <c r="AA20" s="1573">
        <v>1</v>
      </c>
      <c r="AB20" s="1573">
        <v>1</v>
      </c>
      <c r="AC20" s="1573">
        <v>1</v>
      </c>
    </row>
    <row r="21" spans="1:29" ht="28.5">
      <c r="A21" s="531"/>
      <c r="B21" s="2589"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674"/>
      <c r="Q21" s="2577" t="str">
        <f>B21</f>
        <v>基础设施水平</v>
      </c>
      <c r="R21" s="1570" t="s">
        <v>8</v>
      </c>
      <c r="S21" s="1571">
        <f>F21</f>
        <v>100</v>
      </c>
      <c r="T21" s="1570" t="s">
        <v>8</v>
      </c>
      <c r="U21" s="1571">
        <f>H21</f>
        <v>100</v>
      </c>
      <c r="V21" s="1570" t="s">
        <v>8</v>
      </c>
      <c r="W21" s="1571">
        <f>J21</f>
        <v>100</v>
      </c>
      <c r="X21" s="2579"/>
      <c r="Y21" s="3674"/>
      <c r="Z21" s="2578"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00"/>
      <c r="L22" s="2140"/>
      <c r="M22" s="2132"/>
      <c r="N22" s="2132"/>
      <c r="O22" s="2139"/>
      <c r="P22" s="3674"/>
      <c r="Q22" s="2577"/>
      <c r="R22" s="1570"/>
      <c r="S22" s="1571"/>
      <c r="T22" s="1570"/>
      <c r="U22" s="1571"/>
      <c r="V22" s="1570"/>
      <c r="W22" s="1571"/>
      <c r="X22" s="2579"/>
      <c r="Y22" s="3674"/>
      <c r="Z22" s="2578"/>
      <c r="AA22" s="1573">
        <v>1</v>
      </c>
      <c r="AB22" s="1573">
        <v>1</v>
      </c>
      <c r="AC22" s="1573">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674"/>
      <c r="Q23" s="1569" t="str">
        <f>B23</f>
        <v>环境质量</v>
      </c>
      <c r="R23" s="1570" t="s">
        <v>8</v>
      </c>
      <c r="S23" s="1571">
        <f>F23</f>
        <v>100</v>
      </c>
      <c r="T23" s="1570" t="s">
        <v>8</v>
      </c>
      <c r="U23" s="1571">
        <f>H23</f>
        <v>100</v>
      </c>
      <c r="V23" s="1570" t="s">
        <v>8</v>
      </c>
      <c r="W23" s="1571">
        <f>J23</f>
        <v>100</v>
      </c>
      <c r="X23" s="1564"/>
      <c r="Y23" s="3674"/>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40"/>
      <c r="M24" s="2132"/>
      <c r="N24" s="2132"/>
      <c r="O24" s="2139"/>
      <c r="P24" s="3674"/>
      <c r="Q24" s="1569"/>
      <c r="R24" s="1570"/>
      <c r="S24" s="1571"/>
      <c r="T24" s="1570"/>
      <c r="U24" s="1571"/>
      <c r="V24" s="1570"/>
      <c r="W24" s="1571"/>
      <c r="X24" s="1564"/>
      <c r="Y24" s="3674"/>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674"/>
      <c r="Q25" s="1569">
        <f>B25</f>
        <v>111</v>
      </c>
      <c r="R25" s="1570" t="s">
        <v>8</v>
      </c>
      <c r="S25" s="1571">
        <f>F25</f>
        <v>100</v>
      </c>
      <c r="T25" s="1570" t="s">
        <v>8</v>
      </c>
      <c r="U25" s="1571">
        <f>H25</f>
        <v>100</v>
      </c>
      <c r="V25" s="1570" t="s">
        <v>8</v>
      </c>
      <c r="W25" s="1571">
        <f>J25</f>
        <v>100</v>
      </c>
      <c r="X25" s="1564"/>
      <c r="Y25" s="3674"/>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674"/>
      <c r="Q26" s="1569">
        <f t="shared" ref="Q26:Q40" si="11">B26</f>
        <v>111</v>
      </c>
      <c r="R26" s="1570" t="s">
        <v>8</v>
      </c>
      <c r="S26" s="1571">
        <f>F26</f>
        <v>100</v>
      </c>
      <c r="T26" s="1570" t="s">
        <v>8</v>
      </c>
      <c r="U26" s="1571">
        <f>H26</f>
        <v>100</v>
      </c>
      <c r="V26" s="1570" t="s">
        <v>8</v>
      </c>
      <c r="W26" s="1571">
        <f>J26</f>
        <v>100</v>
      </c>
      <c r="X26" s="1564"/>
      <c r="Y26" s="3674"/>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674"/>
      <c r="Q27" s="1149">
        <f t="shared" si="11"/>
        <v>111</v>
      </c>
      <c r="R27" s="1565" t="s">
        <v>8</v>
      </c>
      <c r="S27" s="1566">
        <f>F27</f>
        <v>100</v>
      </c>
      <c r="T27" s="1565" t="s">
        <v>8</v>
      </c>
      <c r="U27" s="1566">
        <f>H27</f>
        <v>100</v>
      </c>
      <c r="V27" s="1565" t="s">
        <v>8</v>
      </c>
      <c r="W27" s="1566">
        <f>J27</f>
        <v>100</v>
      </c>
      <c r="X27" s="1567"/>
      <c r="Y27" s="3674"/>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674"/>
      <c r="Q28" s="1569">
        <f t="shared" si="11"/>
        <v>111</v>
      </c>
      <c r="R28" s="1570" t="s">
        <v>8</v>
      </c>
      <c r="S28" s="1571">
        <f t="shared" ref="S28:S40" si="12">F28</f>
        <v>100</v>
      </c>
      <c r="T28" s="1570" t="s">
        <v>8</v>
      </c>
      <c r="U28" s="1571">
        <f t="shared" ref="U28:U40" si="13">H28</f>
        <v>100</v>
      </c>
      <c r="V28" s="1570" t="s">
        <v>8</v>
      </c>
      <c r="W28" s="1571">
        <f t="shared" ref="W28:W40" si="14">J28</f>
        <v>100</v>
      </c>
      <c r="X28" s="1564"/>
      <c r="Y28" s="3674"/>
      <c r="Z28" s="1572">
        <f t="shared" ref="Z28:Z40" si="15">Q28</f>
        <v>111</v>
      </c>
      <c r="AA28" s="1573">
        <f t="shared" si="3"/>
        <v>1</v>
      </c>
      <c r="AB28" s="1573">
        <f t="shared" si="4"/>
        <v>1</v>
      </c>
      <c r="AC28" s="1573">
        <f t="shared" si="5"/>
        <v>1</v>
      </c>
    </row>
    <row r="29" spans="1:29" ht="15">
      <c r="A29" s="2905" t="s">
        <v>2754</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675" t="s">
        <v>550</v>
      </c>
      <c r="Q29" s="1569" t="str">
        <f t="shared" si="11"/>
        <v>建筑类型</v>
      </c>
      <c r="R29" s="1570" t="s">
        <v>8</v>
      </c>
      <c r="S29" s="1571">
        <f t="shared" si="12"/>
        <v>100</v>
      </c>
      <c r="T29" s="1570" t="s">
        <v>8</v>
      </c>
      <c r="U29" s="1571">
        <f t="shared" si="13"/>
        <v>100</v>
      </c>
      <c r="V29" s="1570" t="s">
        <v>8</v>
      </c>
      <c r="W29" s="1571">
        <f t="shared" si="14"/>
        <v>100</v>
      </c>
      <c r="X29" s="1564"/>
      <c r="Y29" s="3676" t="s">
        <v>550</v>
      </c>
      <c r="Z29" s="1572" t="str">
        <f t="shared" si="15"/>
        <v>建筑类型</v>
      </c>
      <c r="AA29" s="1573">
        <f t="shared" si="3"/>
        <v>1</v>
      </c>
      <c r="AB29" s="1573">
        <f t="shared" si="4"/>
        <v>1</v>
      </c>
      <c r="AC29" s="1573">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676"/>
      <c r="Q30" s="1602" t="str">
        <f t="shared" si="11"/>
        <v>项目建筑规模</v>
      </c>
      <c r="R30" s="1574" t="s">
        <v>8</v>
      </c>
      <c r="S30" s="1575" t="e">
        <f t="shared" si="12"/>
        <v>#N/A</v>
      </c>
      <c r="T30" s="1574" t="s">
        <v>8</v>
      </c>
      <c r="U30" s="1575" t="e">
        <f t="shared" si="13"/>
        <v>#N/A</v>
      </c>
      <c r="V30" s="1574" t="s">
        <v>8</v>
      </c>
      <c r="W30" s="1575" t="e">
        <f t="shared" si="14"/>
        <v>#N/A</v>
      </c>
      <c r="X30" s="1576"/>
      <c r="Y30" s="3676"/>
      <c r="Z30" s="1577" t="str">
        <f t="shared" si="15"/>
        <v>项目建筑规模</v>
      </c>
      <c r="AA30" s="1573" t="e">
        <f t="shared" si="3"/>
        <v>#N/A</v>
      </c>
      <c r="AB30" s="1573" t="e">
        <f t="shared" si="4"/>
        <v>#N/A</v>
      </c>
      <c r="AC30" s="1573"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676"/>
      <c r="Q31" s="1569" t="str">
        <f t="shared" si="11"/>
        <v>建筑结构</v>
      </c>
      <c r="R31" s="1570" t="s">
        <v>8</v>
      </c>
      <c r="S31" s="1571">
        <f t="shared" si="12"/>
        <v>100</v>
      </c>
      <c r="T31" s="1570" t="s">
        <v>8</v>
      </c>
      <c r="U31" s="1571">
        <f t="shared" si="13"/>
        <v>100</v>
      </c>
      <c r="V31" s="1570" t="s">
        <v>8</v>
      </c>
      <c r="W31" s="1571">
        <f t="shared" si="14"/>
        <v>100</v>
      </c>
      <c r="X31" s="1564"/>
      <c r="Y31" s="3676"/>
      <c r="Z31" s="1572" t="str">
        <f t="shared" si="15"/>
        <v>建筑结构</v>
      </c>
      <c r="AA31" s="1573">
        <f t="shared" si="3"/>
        <v>1</v>
      </c>
      <c r="AB31" s="1573">
        <f t="shared" si="4"/>
        <v>1</v>
      </c>
      <c r="AC31" s="1573">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676"/>
      <c r="Q32" s="1569" t="str">
        <f t="shared" si="11"/>
        <v>公共部分装修</v>
      </c>
      <c r="R32" s="1570" t="s">
        <v>8</v>
      </c>
      <c r="S32" s="1571">
        <f t="shared" si="12"/>
        <v>100</v>
      </c>
      <c r="T32" s="1570" t="s">
        <v>8</v>
      </c>
      <c r="U32" s="1571">
        <f t="shared" si="13"/>
        <v>100</v>
      </c>
      <c r="V32" s="1570" t="s">
        <v>8</v>
      </c>
      <c r="W32" s="1571">
        <f t="shared" si="14"/>
        <v>100</v>
      </c>
      <c r="X32" s="1564"/>
      <c r="Y32" s="3676"/>
      <c r="Z32" s="1572" t="str">
        <f t="shared" si="15"/>
        <v>公共部分装修</v>
      </c>
      <c r="AA32" s="1573">
        <f t="shared" si="3"/>
        <v>1</v>
      </c>
      <c r="AB32" s="1573">
        <f t="shared" si="4"/>
        <v>1</v>
      </c>
      <c r="AC32" s="1573">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676"/>
      <c r="Q33" s="1569" t="str">
        <f t="shared" si="11"/>
        <v>成新度</v>
      </c>
      <c r="R33" s="1570" t="s">
        <v>8</v>
      </c>
      <c r="S33" s="1571" t="e">
        <f t="shared" si="12"/>
        <v>#N/A</v>
      </c>
      <c r="T33" s="1570" t="s">
        <v>8</v>
      </c>
      <c r="U33" s="1571" t="e">
        <f t="shared" si="13"/>
        <v>#N/A</v>
      </c>
      <c r="V33" s="1570" t="s">
        <v>8</v>
      </c>
      <c r="W33" s="1571" t="e">
        <f t="shared" si="14"/>
        <v>#N/A</v>
      </c>
      <c r="X33" s="1564"/>
      <c r="Y33" s="3676"/>
      <c r="Z33" s="1572" t="str">
        <f t="shared" si="15"/>
        <v>成新度</v>
      </c>
      <c r="AA33" s="1573" t="e">
        <f t="shared" si="3"/>
        <v>#N/A</v>
      </c>
      <c r="AB33" s="1573" t="e">
        <f t="shared" si="4"/>
        <v>#N/A</v>
      </c>
      <c r="AC33" s="1573"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676"/>
      <c r="Q34" s="1149" t="str">
        <f t="shared" si="11"/>
        <v>物业管理</v>
      </c>
      <c r="R34" s="1565" t="s">
        <v>8</v>
      </c>
      <c r="S34" s="1566">
        <f t="shared" si="12"/>
        <v>100</v>
      </c>
      <c r="T34" s="1565" t="s">
        <v>8</v>
      </c>
      <c r="U34" s="1566">
        <f t="shared" si="13"/>
        <v>100</v>
      </c>
      <c r="V34" s="1565" t="s">
        <v>8</v>
      </c>
      <c r="W34" s="1566">
        <f t="shared" si="14"/>
        <v>100</v>
      </c>
      <c r="X34" s="1567"/>
      <c r="Y34" s="3676"/>
      <c r="Z34" s="1148"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676" t="s">
        <v>550</v>
      </c>
      <c r="Q35" s="1569" t="str">
        <f t="shared" si="11"/>
        <v>市政基础设施</v>
      </c>
      <c r="R35" s="1570" t="s">
        <v>8</v>
      </c>
      <c r="S35" s="1571">
        <f t="shared" si="12"/>
        <v>100</v>
      </c>
      <c r="T35" s="1570" t="s">
        <v>8</v>
      </c>
      <c r="U35" s="1571">
        <f t="shared" si="13"/>
        <v>100</v>
      </c>
      <c r="V35" s="1570" t="s">
        <v>8</v>
      </c>
      <c r="W35" s="1571">
        <f t="shared" si="14"/>
        <v>100</v>
      </c>
      <c r="X35" s="1564"/>
      <c r="Y35" s="3676" t="s">
        <v>550</v>
      </c>
      <c r="Z35" s="1572" t="str">
        <f t="shared" si="15"/>
        <v>市政基础设施</v>
      </c>
      <c r="AA35" s="1573">
        <f t="shared" si="3"/>
        <v>1</v>
      </c>
      <c r="AB35" s="1573">
        <f t="shared" si="4"/>
        <v>1</v>
      </c>
      <c r="AC35" s="1573">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676"/>
      <c r="Q36" s="1569" t="str">
        <f t="shared" si="11"/>
        <v>内部装修</v>
      </c>
      <c r="R36" s="1570" t="s">
        <v>8</v>
      </c>
      <c r="S36" s="1571">
        <f t="shared" si="12"/>
        <v>100</v>
      </c>
      <c r="T36" s="1570" t="s">
        <v>8</v>
      </c>
      <c r="U36" s="1571">
        <f t="shared" si="13"/>
        <v>100</v>
      </c>
      <c r="V36" s="1570" t="s">
        <v>8</v>
      </c>
      <c r="W36" s="1571">
        <f t="shared" si="14"/>
        <v>100</v>
      </c>
      <c r="X36" s="1564"/>
      <c r="Y36" s="3676"/>
      <c r="Z36" s="1572" t="str">
        <f t="shared" si="15"/>
        <v>内部装修</v>
      </c>
      <c r="AA36" s="1573">
        <f t="shared" si="3"/>
        <v>1</v>
      </c>
      <c r="AB36" s="1573">
        <f t="shared" si="4"/>
        <v>1</v>
      </c>
      <c r="AC36" s="1573">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676"/>
      <c r="Q37" s="1569" t="str">
        <f t="shared" si="11"/>
        <v>内部装修状况</v>
      </c>
      <c r="R37" s="1570" t="s">
        <v>8</v>
      </c>
      <c r="S37" s="1571">
        <f t="shared" si="12"/>
        <v>100</v>
      </c>
      <c r="T37" s="1570" t="s">
        <v>8</v>
      </c>
      <c r="U37" s="1571">
        <f t="shared" si="13"/>
        <v>100</v>
      </c>
      <c r="V37" s="1570" t="s">
        <v>8</v>
      </c>
      <c r="W37" s="1571">
        <f t="shared" si="14"/>
        <v>100</v>
      </c>
      <c r="X37" s="1564"/>
      <c r="Y37" s="3676"/>
      <c r="Z37" s="1572" t="str">
        <f t="shared" si="15"/>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676"/>
      <c r="Q38" s="1602">
        <f t="shared" si="11"/>
        <v>111</v>
      </c>
      <c r="R38" s="1574" t="s">
        <v>8</v>
      </c>
      <c r="S38" s="1575">
        <f t="shared" si="12"/>
        <v>100</v>
      </c>
      <c r="T38" s="1574" t="s">
        <v>8</v>
      </c>
      <c r="U38" s="1575">
        <f t="shared" si="13"/>
        <v>100</v>
      </c>
      <c r="V38" s="1574" t="s">
        <v>8</v>
      </c>
      <c r="W38" s="1575">
        <f t="shared" si="14"/>
        <v>100</v>
      </c>
      <c r="X38" s="1576"/>
      <c r="Y38" s="3676"/>
      <c r="Z38" s="1577">
        <f t="shared" si="15"/>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676"/>
      <c r="Q39" s="1569">
        <f t="shared" si="11"/>
        <v>111</v>
      </c>
      <c r="R39" s="1570" t="s">
        <v>8</v>
      </c>
      <c r="S39" s="1571">
        <f t="shared" si="12"/>
        <v>100</v>
      </c>
      <c r="T39" s="1570" t="s">
        <v>8</v>
      </c>
      <c r="U39" s="1571">
        <f t="shared" si="13"/>
        <v>100</v>
      </c>
      <c r="V39" s="1570" t="s">
        <v>8</v>
      </c>
      <c r="W39" s="1571">
        <f t="shared" si="14"/>
        <v>100</v>
      </c>
      <c r="X39" s="1564"/>
      <c r="Y39" s="3676"/>
      <c r="Z39" s="1572">
        <f t="shared" si="15"/>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756"/>
      <c r="Q40" s="1569">
        <f t="shared" si="11"/>
        <v>111</v>
      </c>
      <c r="R40" s="1570" t="s">
        <v>8</v>
      </c>
      <c r="S40" s="1571">
        <f t="shared" si="12"/>
        <v>100</v>
      </c>
      <c r="T40" s="1570" t="s">
        <v>8</v>
      </c>
      <c r="U40" s="1571">
        <f t="shared" si="13"/>
        <v>100</v>
      </c>
      <c r="V40" s="1570" t="s">
        <v>8</v>
      </c>
      <c r="W40" s="1571">
        <f t="shared" si="14"/>
        <v>100</v>
      </c>
      <c r="X40" s="1564"/>
      <c r="Y40" s="3756"/>
      <c r="Z40" s="1572">
        <f t="shared" si="15"/>
        <v>111</v>
      </c>
      <c r="AA40" s="1573">
        <f t="shared" si="3"/>
        <v>1</v>
      </c>
      <c r="AB40" s="1573">
        <f t="shared" si="4"/>
        <v>1</v>
      </c>
      <c r="AC40" s="1573">
        <f t="shared" si="5"/>
        <v>1</v>
      </c>
    </row>
    <row r="41" spans="1:29" ht="15">
      <c r="A41" s="606" t="s">
        <v>736</v>
      </c>
      <c r="B41" s="885"/>
      <c r="C41" s="2625" t="s">
        <v>1</v>
      </c>
      <c r="D41" s="2626"/>
      <c r="E41" s="2627"/>
      <c r="F41" s="2628"/>
      <c r="G41" s="2629"/>
      <c r="H41" s="2630"/>
      <c r="I41" s="2627"/>
      <c r="J41" s="2630"/>
      <c r="K41" s="1608"/>
      <c r="L41" s="2142"/>
      <c r="M41" s="2143"/>
      <c r="N41" s="2132"/>
      <c r="O41" s="2143"/>
      <c r="P41" s="3671" t="str">
        <f>A41</f>
        <v>成交单价（元/平方米）</v>
      </c>
      <c r="Q41" s="3671"/>
      <c r="R41" s="3755">
        <f>E41</f>
        <v>0</v>
      </c>
      <c r="S41" s="3755"/>
      <c r="T41" s="3755">
        <f>G41</f>
        <v>0</v>
      </c>
      <c r="U41" s="3755"/>
      <c r="V41" s="3755">
        <f>I41</f>
        <v>0</v>
      </c>
      <c r="W41" s="3755"/>
      <c r="X41" s="1556"/>
      <c r="Y41" s="1578"/>
      <c r="Z41" s="1556"/>
      <c r="AA41" s="1556"/>
      <c r="AB41" s="1556"/>
      <c r="AC41" s="1556"/>
    </row>
    <row r="42" spans="1:29" ht="15.75" thickBot="1">
      <c r="A42" s="614" t="s">
        <v>2759</v>
      </c>
      <c r="B42" s="886"/>
      <c r="C42" s="2631" t="e">
        <f>R43</f>
        <v>#DIV/0!</v>
      </c>
      <c r="D42" s="2632"/>
      <c r="E42" s="2633" t="e">
        <f>R42</f>
        <v>#DIV/0!</v>
      </c>
      <c r="F42" s="2633"/>
      <c r="G42" s="2631" t="e">
        <f>T42</f>
        <v>#DIV/0!</v>
      </c>
      <c r="H42" s="2632"/>
      <c r="I42" s="2633" t="e">
        <f>V42</f>
        <v>#DIV/0!</v>
      </c>
      <c r="J42" s="2632"/>
      <c r="K42" s="1609"/>
      <c r="L42" s="2142"/>
      <c r="M42" s="2143"/>
      <c r="N42" s="2132"/>
      <c r="O42" s="2143"/>
      <c r="P42" s="3671" t="str">
        <f>A42</f>
        <v>比较价格（元/平方米）</v>
      </c>
      <c r="Q42" s="3671"/>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556"/>
      <c r="Y42" s="1556"/>
      <c r="Z42" s="1556"/>
      <c r="AA42" s="1556"/>
      <c r="AB42" s="1556"/>
      <c r="AC42" s="1556"/>
    </row>
    <row r="43" spans="1:29" ht="15.75" thickBot="1">
      <c r="A43" s="620" t="s">
        <v>2934</v>
      </c>
      <c r="B43" s="621"/>
      <c r="C43" s="2634" t="e">
        <f>R43</f>
        <v>#DIV/0!</v>
      </c>
      <c r="D43" s="2634"/>
      <c r="E43" s="2634"/>
      <c r="F43" s="2634"/>
      <c r="G43" s="2634"/>
      <c r="H43" s="2634"/>
      <c r="I43" s="2634"/>
      <c r="J43" s="2634"/>
      <c r="K43" s="1610"/>
      <c r="L43" s="2142"/>
      <c r="M43" s="2143"/>
      <c r="N43" s="2143"/>
      <c r="O43" s="2143"/>
      <c r="P43" s="3692" t="str">
        <f>A43</f>
        <v>估价对象XX用房的比较价格（楼面单价，元/平方米）</v>
      </c>
      <c r="Q43" s="3693"/>
      <c r="R43" s="3754" t="e">
        <f>IF(F1="售价",ROUND(AVERAGE(R42:V42),0),ROUND(AVERAGE(R42:V42),1))</f>
        <v>#DIV/0!</v>
      </c>
      <c r="S43" s="3754"/>
      <c r="T43" s="3754"/>
      <c r="U43" s="3754"/>
      <c r="V43" s="3754"/>
      <c r="W43" s="3754"/>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5" customFormat="1" ht="15">
      <c r="A52" s="644" t="s">
        <v>529</v>
      </c>
      <c r="B52" s="645"/>
      <c r="C52" s="2800" t="str">
        <f>YEAR(C7)&amp;"-"&amp;MONTH(C7)</f>
        <v>2018-9</v>
      </c>
      <c r="D52" s="2802">
        <f>EDATE(C52,-1)</f>
        <v>43313</v>
      </c>
      <c r="E52" s="2802">
        <f t="shared" ref="E52:O52" si="16">EDATE(D52,-1)</f>
        <v>43282</v>
      </c>
      <c r="F52" s="2802">
        <f t="shared" si="16"/>
        <v>43252</v>
      </c>
      <c r="G52" s="2802">
        <f t="shared" si="16"/>
        <v>43221</v>
      </c>
      <c r="H52" s="2802">
        <f t="shared" si="16"/>
        <v>43191</v>
      </c>
      <c r="I52" s="2802">
        <f t="shared" si="16"/>
        <v>43160</v>
      </c>
      <c r="J52" s="2802">
        <f t="shared" si="16"/>
        <v>43132</v>
      </c>
      <c r="K52" s="2802">
        <f t="shared" si="16"/>
        <v>43101</v>
      </c>
      <c r="L52" s="2802">
        <f t="shared" si="16"/>
        <v>43070</v>
      </c>
      <c r="M52" s="2802">
        <f t="shared" si="16"/>
        <v>43040</v>
      </c>
      <c r="N52" s="2802">
        <f t="shared" si="16"/>
        <v>43009</v>
      </c>
      <c r="O52" s="2802">
        <f t="shared" si="16"/>
        <v>42979</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2558</v>
      </c>
      <c r="C76" s="2596" t="s">
        <v>2559</v>
      </c>
      <c r="D76" s="2596" t="s">
        <v>2560</v>
      </c>
      <c r="E76" s="2596" t="s">
        <v>2561</v>
      </c>
      <c r="F76" s="2596" t="s">
        <v>2562</v>
      </c>
      <c r="G76" s="2596" t="s">
        <v>2563</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5"/>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797</v>
      </c>
      <c r="B4" s="512"/>
      <c r="C4" s="3677" t="s">
        <v>798</v>
      </c>
      <c r="D4" s="3678"/>
      <c r="E4" s="3677" t="s">
        <v>799</v>
      </c>
      <c r="F4" s="3678"/>
      <c r="G4" s="3677" t="s">
        <v>800</v>
      </c>
      <c r="H4" s="3678"/>
      <c r="I4" s="3677" t="s">
        <v>801</v>
      </c>
      <c r="J4" s="3678"/>
      <c r="K4" s="513" t="s">
        <v>802</v>
      </c>
      <c r="L4" s="2131"/>
      <c r="M4" s="2132"/>
      <c r="N4" s="2132"/>
      <c r="O4" s="2132"/>
      <c r="P4" s="3679" t="s">
        <v>803</v>
      </c>
      <c r="Q4" s="3680"/>
      <c r="R4" s="3665" t="s">
        <v>799</v>
      </c>
      <c r="S4" s="3666"/>
      <c r="T4" s="3665" t="s">
        <v>800</v>
      </c>
      <c r="U4" s="3666"/>
      <c r="V4" s="3685" t="s">
        <v>801</v>
      </c>
      <c r="W4" s="3685"/>
      <c r="X4" s="1564"/>
      <c r="Y4" s="3665" t="s">
        <v>803</v>
      </c>
      <c r="Z4" s="3666"/>
      <c r="AA4" s="3660" t="s">
        <v>799</v>
      </c>
      <c r="AB4" s="3661" t="s">
        <v>800</v>
      </c>
      <c r="AC4" s="3660" t="s">
        <v>801</v>
      </c>
    </row>
    <row r="5" spans="1:29" ht="15">
      <c r="A5" s="514"/>
      <c r="B5" s="515"/>
      <c r="C5" s="3688" t="s">
        <v>2928</v>
      </c>
      <c r="D5" s="3689"/>
      <c r="E5" s="3688" t="s">
        <v>2929</v>
      </c>
      <c r="F5" s="3689"/>
      <c r="G5" s="3688" t="s">
        <v>2930</v>
      </c>
      <c r="H5" s="3689"/>
      <c r="I5" s="3688" t="s">
        <v>2931</v>
      </c>
      <c r="J5" s="3689"/>
      <c r="K5" s="513"/>
      <c r="L5" s="2131"/>
      <c r="M5" s="2132"/>
      <c r="N5" s="2132"/>
      <c r="O5" s="2132"/>
      <c r="P5" s="3681"/>
      <c r="Q5" s="3682"/>
      <c r="R5" s="3667"/>
      <c r="S5" s="3668"/>
      <c r="T5" s="3667"/>
      <c r="U5" s="3668"/>
      <c r="V5" s="3685"/>
      <c r="W5" s="3685"/>
      <c r="X5" s="1564"/>
      <c r="Y5" s="3667"/>
      <c r="Z5" s="3668"/>
      <c r="AA5" s="3661"/>
      <c r="AB5" s="3661"/>
      <c r="AC5" s="3661"/>
    </row>
    <row r="6" spans="1:29" ht="15.75" thickBot="1">
      <c r="A6" s="516"/>
      <c r="B6" s="517"/>
      <c r="C6" s="3686" t="s">
        <v>2932</v>
      </c>
      <c r="D6" s="3687"/>
      <c r="E6" s="3690" t="s">
        <v>2932</v>
      </c>
      <c r="F6" s="3691"/>
      <c r="G6" s="3686" t="s">
        <v>2932</v>
      </c>
      <c r="H6" s="3687"/>
      <c r="I6" s="3686" t="s">
        <v>2932</v>
      </c>
      <c r="J6" s="3687"/>
      <c r="K6" s="513" t="s">
        <v>528</v>
      </c>
      <c r="L6" s="2131"/>
      <c r="M6" s="2132"/>
      <c r="N6" s="2132"/>
      <c r="O6" s="2132"/>
      <c r="P6" s="3683"/>
      <c r="Q6" s="3684"/>
      <c r="R6" s="3667"/>
      <c r="S6" s="3668"/>
      <c r="T6" s="3669"/>
      <c r="U6" s="3670"/>
      <c r="V6" s="3685"/>
      <c r="W6" s="3685"/>
      <c r="X6" s="1564"/>
      <c r="Y6" s="3669"/>
      <c r="Z6" s="3670"/>
      <c r="AA6" s="3662"/>
      <c r="AB6" s="3662"/>
      <c r="AC6" s="3662"/>
    </row>
    <row r="7" spans="1:29" s="1218" customFormat="1" ht="15.75" thickBot="1">
      <c r="A7" s="2910"/>
      <c r="B7" s="2917" t="s">
        <v>529</v>
      </c>
      <c r="C7" s="518">
        <f>'数据-取费表'!B2</f>
        <v>43346</v>
      </c>
      <c r="D7" s="519">
        <v>100</v>
      </c>
      <c r="E7" s="520"/>
      <c r="F7" s="521">
        <f>SUMIF(48:48,YEAR(E7)&amp;"-"&amp;MONTH(E7),49:49)</f>
        <v>0</v>
      </c>
      <c r="G7" s="522"/>
      <c r="H7" s="519">
        <f>SUMIF(48:48,YEAR(G7)&amp;"-"&amp;MONTH(G7),49:49)</f>
        <v>0</v>
      </c>
      <c r="I7" s="522"/>
      <c r="J7" s="519">
        <f>SUMIF(48:48,YEAR(I7)&amp;"-"&amp;MONTH(I7),49:49)</f>
        <v>0</v>
      </c>
      <c r="K7" s="523"/>
      <c r="L7" s="2133"/>
      <c r="M7" s="2134"/>
      <c r="N7" s="2134"/>
      <c r="O7" s="2134"/>
      <c r="P7" s="3663" t="s">
        <v>530</v>
      </c>
      <c r="Q7" s="3672"/>
      <c r="R7" s="1565" t="s">
        <v>8</v>
      </c>
      <c r="S7" s="1566">
        <f t="shared" ref="S7:S14" si="0">F7</f>
        <v>0</v>
      </c>
      <c r="T7" s="1565" t="s">
        <v>8</v>
      </c>
      <c r="U7" s="1566">
        <f t="shared" ref="U7:U14" si="1">H7</f>
        <v>0</v>
      </c>
      <c r="V7" s="1565" t="s">
        <v>8</v>
      </c>
      <c r="W7" s="1566">
        <f t="shared" ref="W7:W14" si="2">J7</f>
        <v>0</v>
      </c>
      <c r="X7" s="1567"/>
      <c r="Y7" s="3663" t="s">
        <v>530</v>
      </c>
      <c r="Z7" s="3664"/>
      <c r="AA7" s="1568" t="e">
        <f>D7/F7</f>
        <v>#DIV/0!</v>
      </c>
      <c r="AB7" s="1568" t="e">
        <f>D7/H7</f>
        <v>#DIV/0!</v>
      </c>
      <c r="AC7" s="1568" t="e">
        <f>D7/J7</f>
        <v>#DIV/0!</v>
      </c>
    </row>
    <row r="8" spans="1:29" s="1218" customFormat="1" ht="15.75" thickBot="1">
      <c r="A8" s="2911"/>
      <c r="B8" s="2918"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663" t="s">
        <v>533</v>
      </c>
      <c r="Q8" s="3664"/>
      <c r="R8" s="1565" t="s">
        <v>8</v>
      </c>
      <c r="S8" s="1566">
        <f t="shared" si="0"/>
        <v>0</v>
      </c>
      <c r="T8" s="1565" t="s">
        <v>8</v>
      </c>
      <c r="U8" s="1566">
        <f t="shared" si="1"/>
        <v>0</v>
      </c>
      <c r="V8" s="1565" t="s">
        <v>8</v>
      </c>
      <c r="W8" s="1566">
        <f t="shared" si="2"/>
        <v>0</v>
      </c>
      <c r="X8" s="1567"/>
      <c r="Y8" s="3663" t="s">
        <v>533</v>
      </c>
      <c r="Z8" s="3664"/>
      <c r="AA8" s="1568" t="e">
        <f t="shared" ref="AA8:AA36" si="3">D8/F8</f>
        <v>#DIV/0!</v>
      </c>
      <c r="AB8" s="1568" t="e">
        <f t="shared" ref="AB8:AB36" si="4">D8/H8</f>
        <v>#DIV/0!</v>
      </c>
      <c r="AC8" s="1568" t="e">
        <f t="shared" ref="AC8:AC36" si="5">D8/J8</f>
        <v>#DIV/0!</v>
      </c>
    </row>
    <row r="9" spans="1:29" s="1218" customFormat="1" ht="15">
      <c r="A9" s="2912"/>
      <c r="B9" s="2919" t="s">
        <v>2755</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671" t="s">
        <v>535</v>
      </c>
      <c r="Q9" s="1149" t="str">
        <f t="shared" ref="Q9:Q14" si="6">B9</f>
        <v>用途</v>
      </c>
      <c r="R9" s="1565" t="s">
        <v>8</v>
      </c>
      <c r="S9" s="1566">
        <f t="shared" si="0"/>
        <v>100</v>
      </c>
      <c r="T9" s="1565" t="s">
        <v>8</v>
      </c>
      <c r="U9" s="1566">
        <f t="shared" si="1"/>
        <v>100</v>
      </c>
      <c r="V9" s="1565" t="s">
        <v>8</v>
      </c>
      <c r="W9" s="1566">
        <f t="shared" si="2"/>
        <v>100</v>
      </c>
      <c r="X9" s="1567"/>
      <c r="Y9" s="3628" t="s">
        <v>536</v>
      </c>
      <c r="Z9" s="1148" t="str">
        <f t="shared" ref="Z9:Z14" si="7">Q9</f>
        <v>用途</v>
      </c>
      <c r="AA9" s="1568">
        <f t="shared" si="3"/>
        <v>1</v>
      </c>
      <c r="AB9" s="1568">
        <f t="shared" si="4"/>
        <v>1</v>
      </c>
      <c r="AC9" s="1568">
        <f t="shared" si="5"/>
        <v>1</v>
      </c>
    </row>
    <row r="10" spans="1:29" s="1336" customFormat="1" ht="27">
      <c r="A10" s="2913"/>
      <c r="B10" s="2918" t="s">
        <v>2756</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671"/>
      <c r="Q10" s="1149" t="str">
        <f t="shared" si="6"/>
        <v>土地使用年限（年）</v>
      </c>
      <c r="R10" s="1565" t="s">
        <v>8</v>
      </c>
      <c r="S10" s="1566">
        <f t="shared" si="0"/>
        <v>100</v>
      </c>
      <c r="T10" s="1565" t="s">
        <v>8</v>
      </c>
      <c r="U10" s="1566">
        <f t="shared" si="1"/>
        <v>100</v>
      </c>
      <c r="V10" s="1565" t="s">
        <v>8</v>
      </c>
      <c r="W10" s="1566">
        <f t="shared" si="2"/>
        <v>100</v>
      </c>
      <c r="X10" s="1567"/>
      <c r="Y10" s="3628"/>
      <c r="Z10" s="1148" t="str">
        <f t="shared" si="7"/>
        <v>土地使用年限（年）</v>
      </c>
      <c r="AA10" s="1568">
        <f t="shared" si="3"/>
        <v>1</v>
      </c>
      <c r="AB10" s="1568">
        <f t="shared" si="4"/>
        <v>1</v>
      </c>
      <c r="AC10" s="1568">
        <f t="shared" si="5"/>
        <v>1</v>
      </c>
    </row>
    <row r="11" spans="1:29" ht="15">
      <c r="A11" s="2915"/>
      <c r="B11" s="2921">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671"/>
      <c r="Q11" s="1149">
        <f t="shared" si="6"/>
        <v>111</v>
      </c>
      <c r="R11" s="1565" t="s">
        <v>8</v>
      </c>
      <c r="S11" s="1566">
        <f t="shared" si="0"/>
        <v>100</v>
      </c>
      <c r="T11" s="1565" t="s">
        <v>8</v>
      </c>
      <c r="U11" s="1566">
        <f t="shared" si="1"/>
        <v>100</v>
      </c>
      <c r="V11" s="1565" t="s">
        <v>8</v>
      </c>
      <c r="W11" s="1566">
        <f t="shared" si="2"/>
        <v>100</v>
      </c>
      <c r="X11" s="1567"/>
      <c r="Y11" s="3628"/>
      <c r="Z11" s="1148">
        <f t="shared" si="7"/>
        <v>111</v>
      </c>
      <c r="AA11" s="1568">
        <f t="shared" si="3"/>
        <v>1</v>
      </c>
      <c r="AB11" s="1568">
        <f t="shared" si="4"/>
        <v>1</v>
      </c>
      <c r="AC11" s="1568">
        <f t="shared" si="5"/>
        <v>1</v>
      </c>
    </row>
    <row r="12" spans="1:29" s="1218" customFormat="1" ht="15">
      <c r="A12" s="2915"/>
      <c r="B12" s="2921">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671"/>
      <c r="Q12" s="1149">
        <f t="shared" si="6"/>
        <v>111</v>
      </c>
      <c r="R12" s="1565" t="s">
        <v>8</v>
      </c>
      <c r="S12" s="1566">
        <f t="shared" si="0"/>
        <v>100</v>
      </c>
      <c r="T12" s="1565" t="s">
        <v>8</v>
      </c>
      <c r="U12" s="1566">
        <f t="shared" si="1"/>
        <v>100</v>
      </c>
      <c r="V12" s="1565" t="s">
        <v>8</v>
      </c>
      <c r="W12" s="1566">
        <f t="shared" si="2"/>
        <v>100</v>
      </c>
      <c r="X12" s="1567"/>
      <c r="Y12" s="3628"/>
      <c r="Z12" s="1148">
        <f t="shared" si="7"/>
        <v>111</v>
      </c>
      <c r="AA12" s="1568">
        <f>D12/F12</f>
        <v>1</v>
      </c>
      <c r="AB12" s="1568">
        <f>D12/H12</f>
        <v>1</v>
      </c>
      <c r="AC12" s="1568">
        <f>D12/J12</f>
        <v>1</v>
      </c>
    </row>
    <row r="13" spans="1:29" ht="15.75" thickBot="1">
      <c r="A13" s="2916"/>
      <c r="B13" s="2922">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671"/>
      <c r="Q13" s="1149">
        <f t="shared" si="6"/>
        <v>111</v>
      </c>
      <c r="R13" s="1565" t="s">
        <v>8</v>
      </c>
      <c r="S13" s="1566">
        <f t="shared" si="0"/>
        <v>100</v>
      </c>
      <c r="T13" s="1565" t="s">
        <v>8</v>
      </c>
      <c r="U13" s="1566">
        <f t="shared" si="1"/>
        <v>100</v>
      </c>
      <c r="V13" s="1565" t="s">
        <v>8</v>
      </c>
      <c r="W13" s="1566">
        <f t="shared" si="2"/>
        <v>100</v>
      </c>
      <c r="X13" s="1567"/>
      <c r="Y13" s="3628"/>
      <c r="Z13" s="1148">
        <f t="shared" si="7"/>
        <v>111</v>
      </c>
      <c r="AA13" s="1568">
        <f t="shared" si="3"/>
        <v>1</v>
      </c>
      <c r="AB13" s="1568">
        <f t="shared" si="4"/>
        <v>1</v>
      </c>
      <c r="AC13" s="1568">
        <f t="shared" si="5"/>
        <v>1</v>
      </c>
    </row>
    <row r="14" spans="1:29" ht="85.5">
      <c r="A14" s="2908" t="s">
        <v>2753</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673" t="s">
        <v>540</v>
      </c>
      <c r="Q14" s="1569" t="str">
        <f t="shared" si="6"/>
        <v>交通便捷度</v>
      </c>
      <c r="R14" s="1570" t="s">
        <v>8</v>
      </c>
      <c r="S14" s="1571">
        <f t="shared" si="0"/>
        <v>100</v>
      </c>
      <c r="T14" s="1570" t="s">
        <v>8</v>
      </c>
      <c r="U14" s="1571">
        <f t="shared" si="1"/>
        <v>100</v>
      </c>
      <c r="V14" s="1570" t="s">
        <v>8</v>
      </c>
      <c r="W14" s="1571">
        <f t="shared" si="2"/>
        <v>100</v>
      </c>
      <c r="X14" s="1564"/>
      <c r="Y14" s="3673" t="s">
        <v>540</v>
      </c>
      <c r="Z14" s="1572" t="str">
        <f t="shared" si="7"/>
        <v>交通便捷度</v>
      </c>
      <c r="AA14" s="1573">
        <f t="shared" si="3"/>
        <v>1</v>
      </c>
      <c r="AB14" s="1573">
        <f t="shared" si="4"/>
        <v>1</v>
      </c>
      <c r="AC14" s="1573">
        <f t="shared" si="5"/>
        <v>1</v>
      </c>
    </row>
    <row r="15" spans="1:29" ht="15">
      <c r="A15" s="514"/>
      <c r="B15" s="922"/>
      <c r="C15" s="575"/>
      <c r="D15" s="554"/>
      <c r="E15" s="575"/>
      <c r="F15" s="556"/>
      <c r="G15" s="575"/>
      <c r="H15" s="558"/>
      <c r="I15" s="575"/>
      <c r="J15" s="554"/>
      <c r="K15" s="897"/>
      <c r="L15" s="2140"/>
      <c r="M15" s="2132"/>
      <c r="N15" s="2132"/>
      <c r="O15" s="2139"/>
      <c r="P15" s="3674"/>
      <c r="Q15" s="1569"/>
      <c r="R15" s="1570"/>
      <c r="S15" s="1571"/>
      <c r="T15" s="1570"/>
      <c r="U15" s="1571"/>
      <c r="V15" s="1570"/>
      <c r="W15" s="1571"/>
      <c r="X15" s="1564"/>
      <c r="Y15" s="3674"/>
      <c r="Z15" s="1572"/>
      <c r="AA15" s="1573">
        <v>1</v>
      </c>
      <c r="AB15" s="1573">
        <v>1</v>
      </c>
      <c r="AC15" s="1573">
        <v>1</v>
      </c>
    </row>
    <row r="16" spans="1:29" ht="42.75">
      <c r="A16" s="514"/>
      <c r="B16" s="2601"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674"/>
      <c r="Q16" s="1569" t="str">
        <f>B16</f>
        <v>公共配套设施</v>
      </c>
      <c r="R16" s="1570" t="s">
        <v>8</v>
      </c>
      <c r="S16" s="1571">
        <f>F16</f>
        <v>100</v>
      </c>
      <c r="T16" s="1570" t="s">
        <v>8</v>
      </c>
      <c r="U16" s="1571">
        <f>H16</f>
        <v>100</v>
      </c>
      <c r="V16" s="1570" t="s">
        <v>8</v>
      </c>
      <c r="W16" s="1571">
        <f>J16</f>
        <v>100</v>
      </c>
      <c r="X16" s="1564"/>
      <c r="Y16" s="3674"/>
      <c r="Z16" s="1572" t="str">
        <f>Q16</f>
        <v>公共配套设施</v>
      </c>
      <c r="AA16" s="1573">
        <f t="shared" si="3"/>
        <v>1</v>
      </c>
      <c r="AB16" s="1573">
        <f t="shared" si="4"/>
        <v>1</v>
      </c>
      <c r="AC16" s="1573">
        <f t="shared" si="5"/>
        <v>1</v>
      </c>
    </row>
    <row r="17" spans="1:29" ht="15">
      <c r="A17" s="514"/>
      <c r="B17" s="565"/>
      <c r="C17" s="872"/>
      <c r="D17" s="554"/>
      <c r="E17" s="575"/>
      <c r="F17" s="556"/>
      <c r="G17" s="575"/>
      <c r="H17" s="554"/>
      <c r="I17" s="575"/>
      <c r="J17" s="554"/>
      <c r="K17" s="897"/>
      <c r="L17" s="2140"/>
      <c r="M17" s="2132"/>
      <c r="N17" s="2132"/>
      <c r="O17" s="2139"/>
      <c r="P17" s="3674"/>
      <c r="Q17" s="1569"/>
      <c r="R17" s="1570"/>
      <c r="S17" s="1571"/>
      <c r="T17" s="1570"/>
      <c r="U17" s="1571"/>
      <c r="V17" s="1570"/>
      <c r="W17" s="1571"/>
      <c r="X17" s="1564"/>
      <c r="Y17" s="3674"/>
      <c r="Z17" s="1572"/>
      <c r="AA17" s="1573">
        <v>1</v>
      </c>
      <c r="AB17" s="1573">
        <v>1</v>
      </c>
      <c r="AC17" s="1573">
        <v>1</v>
      </c>
    </row>
    <row r="18" spans="1:29" ht="28.5">
      <c r="A18" s="514"/>
      <c r="B18" s="2589"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674"/>
      <c r="Q18" s="2577" t="str">
        <f>B18</f>
        <v>基础设施水平</v>
      </c>
      <c r="R18" s="1570" t="s">
        <v>8</v>
      </c>
      <c r="S18" s="1571">
        <f>F18</f>
        <v>100</v>
      </c>
      <c r="T18" s="1570" t="s">
        <v>8</v>
      </c>
      <c r="U18" s="1571">
        <f>H18</f>
        <v>100</v>
      </c>
      <c r="V18" s="1570" t="s">
        <v>8</v>
      </c>
      <c r="W18" s="1571">
        <f>J18</f>
        <v>100</v>
      </c>
      <c r="X18" s="2579"/>
      <c r="Y18" s="3674"/>
      <c r="Z18" s="2578" t="str">
        <f>Q18</f>
        <v>基础设施水平</v>
      </c>
      <c r="AA18" s="1573">
        <f t="shared" ref="AA18" si="8">D18/F18</f>
        <v>1</v>
      </c>
      <c r="AB18" s="1573">
        <f t="shared" ref="AB18" si="9">D18/H18</f>
        <v>1</v>
      </c>
      <c r="AC18" s="1573">
        <f t="shared" ref="AC18" si="10">D18/J18</f>
        <v>1</v>
      </c>
    </row>
    <row r="19" spans="1:29" ht="15">
      <c r="A19" s="514"/>
      <c r="B19" s="577"/>
      <c r="C19" s="872"/>
      <c r="D19" s="558"/>
      <c r="E19" s="575"/>
      <c r="F19" s="556"/>
      <c r="G19" s="575"/>
      <c r="H19" s="554"/>
      <c r="I19" s="575"/>
      <c r="J19" s="554"/>
      <c r="K19" s="2600"/>
      <c r="L19" s="2140"/>
      <c r="M19" s="2132"/>
      <c r="N19" s="2132"/>
      <c r="O19" s="2139"/>
      <c r="P19" s="3674"/>
      <c r="Q19" s="2577"/>
      <c r="R19" s="1570"/>
      <c r="S19" s="1571"/>
      <c r="T19" s="1570"/>
      <c r="U19" s="1571"/>
      <c r="V19" s="1570"/>
      <c r="W19" s="1571"/>
      <c r="X19" s="2579"/>
      <c r="Y19" s="3674"/>
      <c r="Z19" s="2578"/>
      <c r="AA19" s="1573">
        <v>1</v>
      </c>
      <c r="AB19" s="1573">
        <v>1</v>
      </c>
      <c r="AC19" s="1573">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674"/>
      <c r="Q20" s="1569" t="str">
        <f>B20</f>
        <v>自然及人文环境</v>
      </c>
      <c r="R20" s="1570" t="s">
        <v>8</v>
      </c>
      <c r="S20" s="1571">
        <f>F20</f>
        <v>100</v>
      </c>
      <c r="T20" s="1570" t="s">
        <v>8</v>
      </c>
      <c r="U20" s="1571">
        <f>H20</f>
        <v>100</v>
      </c>
      <c r="V20" s="1570" t="s">
        <v>8</v>
      </c>
      <c r="W20" s="1571">
        <f>J20</f>
        <v>100</v>
      </c>
      <c r="X20" s="1564"/>
      <c r="Y20" s="3674"/>
      <c r="Z20" s="1572" t="str">
        <f>Q20</f>
        <v>自然及人文环境</v>
      </c>
      <c r="AA20" s="1573">
        <f t="shared" si="3"/>
        <v>1</v>
      </c>
      <c r="AB20" s="1573">
        <f t="shared" si="4"/>
        <v>1</v>
      </c>
      <c r="AC20" s="1573">
        <f t="shared" si="5"/>
        <v>1</v>
      </c>
    </row>
    <row r="21" spans="1:29" ht="15">
      <c r="A21" s="514"/>
      <c r="B21" s="565"/>
      <c r="C21" s="575"/>
      <c r="D21" s="554"/>
      <c r="E21" s="575"/>
      <c r="F21" s="556"/>
      <c r="G21" s="575"/>
      <c r="H21" s="554"/>
      <c r="I21" s="575"/>
      <c r="J21" s="554"/>
      <c r="K21" s="897"/>
      <c r="L21" s="2140"/>
      <c r="M21" s="2132"/>
      <c r="N21" s="2132"/>
      <c r="O21" s="2139"/>
      <c r="P21" s="3674"/>
      <c r="Q21" s="1569"/>
      <c r="R21" s="1570"/>
      <c r="S21" s="1571"/>
      <c r="T21" s="1570"/>
      <c r="U21" s="1571"/>
      <c r="V21" s="1570"/>
      <c r="W21" s="1571"/>
      <c r="X21" s="1564"/>
      <c r="Y21" s="3674"/>
      <c r="Z21" s="1572"/>
      <c r="AA21" s="1573">
        <v>1</v>
      </c>
      <c r="AB21" s="1573">
        <v>1</v>
      </c>
      <c r="AC21" s="1573">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674"/>
      <c r="Q22" s="1569" t="str">
        <f>B22</f>
        <v>楼层</v>
      </c>
      <c r="R22" s="1570" t="s">
        <v>8</v>
      </c>
      <c r="S22" s="1571">
        <f>F22</f>
        <v>100</v>
      </c>
      <c r="T22" s="1570" t="s">
        <v>8</v>
      </c>
      <c r="U22" s="1571">
        <f>H22</f>
        <v>100</v>
      </c>
      <c r="V22" s="1570" t="s">
        <v>8</v>
      </c>
      <c r="W22" s="1571">
        <f>J22</f>
        <v>100</v>
      </c>
      <c r="X22" s="1564"/>
      <c r="Y22" s="3674"/>
      <c r="Z22" s="1572" t="str">
        <f>Q22</f>
        <v>楼层</v>
      </c>
      <c r="AA22" s="1573">
        <f t="shared" si="3"/>
        <v>1</v>
      </c>
      <c r="AB22" s="1573">
        <f t="shared" si="4"/>
        <v>1</v>
      </c>
      <c r="AC22" s="1573">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674"/>
      <c r="Q23" s="1569">
        <f>B23</f>
        <v>111</v>
      </c>
      <c r="R23" s="1570" t="s">
        <v>8</v>
      </c>
      <c r="S23" s="1571">
        <f>F23</f>
        <v>100</v>
      </c>
      <c r="T23" s="1570" t="s">
        <v>8</v>
      </c>
      <c r="U23" s="1571">
        <f>H23</f>
        <v>100</v>
      </c>
      <c r="V23" s="1570" t="s">
        <v>8</v>
      </c>
      <c r="W23" s="1571">
        <f>J23</f>
        <v>100</v>
      </c>
      <c r="X23" s="1564"/>
      <c r="Y23" s="3674"/>
      <c r="Z23" s="1572">
        <f>Q23</f>
        <v>111</v>
      </c>
      <c r="AA23" s="1573">
        <f t="shared" si="3"/>
        <v>1</v>
      </c>
      <c r="AB23" s="1573">
        <f t="shared" si="4"/>
        <v>1</v>
      </c>
      <c r="AC23" s="1573">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674"/>
      <c r="Q24" s="1569">
        <f t="shared" ref="Q24:Q36" si="11">B24</f>
        <v>111</v>
      </c>
      <c r="R24" s="1570" t="s">
        <v>8</v>
      </c>
      <c r="S24" s="1571">
        <f>F24</f>
        <v>100</v>
      </c>
      <c r="T24" s="1570" t="s">
        <v>8</v>
      </c>
      <c r="U24" s="1571">
        <f>H24</f>
        <v>100</v>
      </c>
      <c r="V24" s="1570" t="s">
        <v>8</v>
      </c>
      <c r="W24" s="1571">
        <f>J24</f>
        <v>100</v>
      </c>
      <c r="X24" s="1564"/>
      <c r="Y24" s="3674"/>
      <c r="Z24" s="1572">
        <f>Q24</f>
        <v>111</v>
      </c>
      <c r="AA24" s="1573">
        <f t="shared" si="3"/>
        <v>1</v>
      </c>
      <c r="AB24" s="1573">
        <f t="shared" si="4"/>
        <v>1</v>
      </c>
      <c r="AC24" s="1573">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674"/>
      <c r="Q25" s="1149">
        <f t="shared" si="11"/>
        <v>111</v>
      </c>
      <c r="R25" s="1565" t="s">
        <v>8</v>
      </c>
      <c r="S25" s="1566">
        <f>F25</f>
        <v>100</v>
      </c>
      <c r="T25" s="1565" t="s">
        <v>8</v>
      </c>
      <c r="U25" s="1566">
        <f>H25</f>
        <v>100</v>
      </c>
      <c r="V25" s="1565" t="s">
        <v>8</v>
      </c>
      <c r="W25" s="1566">
        <f>J25</f>
        <v>100</v>
      </c>
      <c r="X25" s="1567"/>
      <c r="Y25" s="3674"/>
      <c r="Z25" s="1148">
        <f>Q25</f>
        <v>111</v>
      </c>
      <c r="AA25" s="1573">
        <f>D25/F25</f>
        <v>1</v>
      </c>
      <c r="AB25" s="1573">
        <f>D25/H25</f>
        <v>1</v>
      </c>
      <c r="AC25" s="1573">
        <f>D25/J25</f>
        <v>1</v>
      </c>
    </row>
    <row r="26" spans="1:29" ht="15">
      <c r="A26" s="2905" t="s">
        <v>2754</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675"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676" t="s">
        <v>550</v>
      </c>
      <c r="Z26" s="1572" t="str">
        <f t="shared" ref="Z26:Z36" si="15">Q26</f>
        <v>配套类型</v>
      </c>
      <c r="AA26" s="1573">
        <f t="shared" si="3"/>
        <v>1</v>
      </c>
      <c r="AB26" s="1573">
        <f t="shared" si="4"/>
        <v>1</v>
      </c>
      <c r="AC26" s="1573">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676"/>
      <c r="Q27" s="1602" t="str">
        <f t="shared" si="11"/>
        <v>项目停车位配比</v>
      </c>
      <c r="R27" s="1574" t="s">
        <v>8</v>
      </c>
      <c r="S27" s="1575">
        <f t="shared" si="12"/>
        <v>100</v>
      </c>
      <c r="T27" s="1574" t="s">
        <v>8</v>
      </c>
      <c r="U27" s="1575">
        <f t="shared" si="13"/>
        <v>100</v>
      </c>
      <c r="V27" s="1574" t="s">
        <v>8</v>
      </c>
      <c r="W27" s="1575">
        <f t="shared" si="14"/>
        <v>100</v>
      </c>
      <c r="X27" s="1576"/>
      <c r="Y27" s="3676"/>
      <c r="Z27" s="1577" t="str">
        <f t="shared" si="15"/>
        <v>项目停车位配比</v>
      </c>
      <c r="AA27" s="1573">
        <f t="shared" si="3"/>
        <v>1</v>
      </c>
      <c r="AB27" s="1573">
        <f t="shared" si="4"/>
        <v>1</v>
      </c>
      <c r="AC27" s="1573">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676"/>
      <c r="Q28" s="1569" t="str">
        <f t="shared" si="11"/>
        <v>公共部分装修</v>
      </c>
      <c r="R28" s="1570" t="s">
        <v>8</v>
      </c>
      <c r="S28" s="1571">
        <f t="shared" si="12"/>
        <v>100</v>
      </c>
      <c r="T28" s="1570" t="s">
        <v>8</v>
      </c>
      <c r="U28" s="1571">
        <f t="shared" si="13"/>
        <v>100</v>
      </c>
      <c r="V28" s="1570" t="s">
        <v>8</v>
      </c>
      <c r="W28" s="1571">
        <f t="shared" si="14"/>
        <v>100</v>
      </c>
      <c r="X28" s="1564"/>
      <c r="Y28" s="3676"/>
      <c r="Z28" s="1572" t="str">
        <f t="shared" si="15"/>
        <v>公共部分装修</v>
      </c>
      <c r="AA28" s="1573">
        <f t="shared" si="3"/>
        <v>1</v>
      </c>
      <c r="AB28" s="1573">
        <f t="shared" si="4"/>
        <v>1</v>
      </c>
      <c r="AC28" s="1573">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676"/>
      <c r="Q29" s="1569" t="str">
        <f t="shared" si="11"/>
        <v>成新率</v>
      </c>
      <c r="R29" s="1570" t="s">
        <v>8</v>
      </c>
      <c r="S29" s="1571" t="e">
        <f t="shared" si="12"/>
        <v>#N/A</v>
      </c>
      <c r="T29" s="1570" t="s">
        <v>8</v>
      </c>
      <c r="U29" s="1571" t="e">
        <f t="shared" si="13"/>
        <v>#N/A</v>
      </c>
      <c r="V29" s="1570" t="s">
        <v>8</v>
      </c>
      <c r="W29" s="1571" t="e">
        <f t="shared" si="14"/>
        <v>#N/A</v>
      </c>
      <c r="X29" s="1564"/>
      <c r="Y29" s="3676"/>
      <c r="Z29" s="1572" t="str">
        <f t="shared" si="15"/>
        <v>成新率</v>
      </c>
      <c r="AA29" s="1573" t="e">
        <f t="shared" si="3"/>
        <v>#N/A</v>
      </c>
      <c r="AB29" s="1573" t="e">
        <f t="shared" si="4"/>
        <v>#N/A</v>
      </c>
      <c r="AC29" s="1573"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676"/>
      <c r="Q30" s="1569" t="str">
        <f t="shared" si="11"/>
        <v>物业等级</v>
      </c>
      <c r="R30" s="1570" t="s">
        <v>8</v>
      </c>
      <c r="S30" s="1571">
        <f t="shared" si="12"/>
        <v>100</v>
      </c>
      <c r="T30" s="1570" t="s">
        <v>8</v>
      </c>
      <c r="U30" s="1571">
        <f t="shared" si="13"/>
        <v>100</v>
      </c>
      <c r="V30" s="1570" t="s">
        <v>8</v>
      </c>
      <c r="W30" s="1571">
        <f t="shared" si="14"/>
        <v>100</v>
      </c>
      <c r="X30" s="1564"/>
      <c r="Y30" s="3676"/>
      <c r="Z30" s="1572" t="str">
        <f t="shared" si="15"/>
        <v>物业等级</v>
      </c>
      <c r="AA30" s="1573">
        <f t="shared" si="3"/>
        <v>1</v>
      </c>
      <c r="AB30" s="1573">
        <f t="shared" si="4"/>
        <v>1</v>
      </c>
      <c r="AC30" s="1573">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676"/>
      <c r="Q31" s="1149" t="str">
        <f t="shared" si="11"/>
        <v>停车位面积</v>
      </c>
      <c r="R31" s="1565" t="s">
        <v>8</v>
      </c>
      <c r="S31" s="1566" t="e">
        <f t="shared" si="12"/>
        <v>#N/A</v>
      </c>
      <c r="T31" s="1565" t="s">
        <v>8</v>
      </c>
      <c r="U31" s="1566" t="e">
        <f t="shared" si="13"/>
        <v>#N/A</v>
      </c>
      <c r="V31" s="1565" t="s">
        <v>8</v>
      </c>
      <c r="W31" s="1566" t="e">
        <f t="shared" si="14"/>
        <v>#N/A</v>
      </c>
      <c r="X31" s="1567"/>
      <c r="Y31" s="3676"/>
      <c r="Z31" s="1148" t="str">
        <f t="shared" si="15"/>
        <v>停车位面积</v>
      </c>
      <c r="AA31" s="1568" t="e">
        <f t="shared" si="3"/>
        <v>#N/A</v>
      </c>
      <c r="AB31" s="1568" t="e">
        <f t="shared" si="4"/>
        <v>#N/A</v>
      </c>
      <c r="AC31" s="1568"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676" t="s">
        <v>550</v>
      </c>
      <c r="Q32" s="1569" t="str">
        <f t="shared" si="11"/>
        <v>车位类型</v>
      </c>
      <c r="R32" s="1570" t="s">
        <v>8</v>
      </c>
      <c r="S32" s="1571">
        <f t="shared" si="12"/>
        <v>100</v>
      </c>
      <c r="T32" s="1570" t="s">
        <v>8</v>
      </c>
      <c r="U32" s="1571">
        <f t="shared" si="13"/>
        <v>100</v>
      </c>
      <c r="V32" s="1570" t="s">
        <v>8</v>
      </c>
      <c r="W32" s="1571">
        <f t="shared" si="14"/>
        <v>100</v>
      </c>
      <c r="X32" s="1564"/>
      <c r="Y32" s="3676" t="s">
        <v>550</v>
      </c>
      <c r="Z32" s="1572" t="str">
        <f t="shared" si="15"/>
        <v>车位类型</v>
      </c>
      <c r="AA32" s="1573">
        <f t="shared" si="3"/>
        <v>1</v>
      </c>
      <c r="AB32" s="1573">
        <f t="shared" si="4"/>
        <v>1</v>
      </c>
      <c r="AC32" s="1573">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676"/>
      <c r="Q33" s="1569" t="str">
        <f t="shared" si="11"/>
        <v>是否直接入户</v>
      </c>
      <c r="R33" s="1570" t="s">
        <v>8</v>
      </c>
      <c r="S33" s="1571">
        <f t="shared" si="12"/>
        <v>100</v>
      </c>
      <c r="T33" s="1570" t="s">
        <v>8</v>
      </c>
      <c r="U33" s="1571">
        <f t="shared" si="13"/>
        <v>100</v>
      </c>
      <c r="V33" s="1570" t="s">
        <v>8</v>
      </c>
      <c r="W33" s="1571">
        <f t="shared" si="14"/>
        <v>100</v>
      </c>
      <c r="X33" s="1564"/>
      <c r="Y33" s="3676"/>
      <c r="Z33" s="1572" t="str">
        <f t="shared" si="15"/>
        <v>是否直接入户</v>
      </c>
      <c r="AA33" s="1573">
        <f t="shared" si="3"/>
        <v>1</v>
      </c>
      <c r="AB33" s="1573">
        <f t="shared" si="4"/>
        <v>1</v>
      </c>
      <c r="AC33" s="1573">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676"/>
      <c r="Q34" s="1569">
        <f t="shared" si="11"/>
        <v>111</v>
      </c>
      <c r="R34" s="1570" t="s">
        <v>8</v>
      </c>
      <c r="S34" s="1571">
        <f t="shared" si="12"/>
        <v>100</v>
      </c>
      <c r="T34" s="1570" t="s">
        <v>8</v>
      </c>
      <c r="U34" s="1571">
        <f t="shared" si="13"/>
        <v>100</v>
      </c>
      <c r="V34" s="1570" t="s">
        <v>8</v>
      </c>
      <c r="W34" s="1571">
        <f t="shared" si="14"/>
        <v>100</v>
      </c>
      <c r="X34" s="1564"/>
      <c r="Y34" s="3676"/>
      <c r="Z34" s="1572">
        <f t="shared" si="15"/>
        <v>111</v>
      </c>
      <c r="AA34" s="1573">
        <f t="shared" si="3"/>
        <v>1</v>
      </c>
      <c r="AB34" s="1573">
        <f t="shared" si="4"/>
        <v>1</v>
      </c>
      <c r="AC34" s="1573">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676"/>
      <c r="Q35" s="1602">
        <f t="shared" si="11"/>
        <v>111</v>
      </c>
      <c r="R35" s="1574" t="s">
        <v>8</v>
      </c>
      <c r="S35" s="1575">
        <f t="shared" si="12"/>
        <v>100</v>
      </c>
      <c r="T35" s="1574" t="s">
        <v>8</v>
      </c>
      <c r="U35" s="1575">
        <f t="shared" si="13"/>
        <v>100</v>
      </c>
      <c r="V35" s="1574" t="s">
        <v>8</v>
      </c>
      <c r="W35" s="1575">
        <f t="shared" si="14"/>
        <v>100</v>
      </c>
      <c r="X35" s="1576"/>
      <c r="Y35" s="3676"/>
      <c r="Z35" s="1577">
        <f t="shared" si="15"/>
        <v>111</v>
      </c>
      <c r="AA35" s="1573">
        <f t="shared" si="3"/>
        <v>1</v>
      </c>
      <c r="AB35" s="1573">
        <f t="shared" si="4"/>
        <v>1</v>
      </c>
      <c r="AC35" s="1573">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676"/>
      <c r="Q36" s="1569">
        <f t="shared" si="11"/>
        <v>111</v>
      </c>
      <c r="R36" s="1570" t="s">
        <v>8</v>
      </c>
      <c r="S36" s="1571">
        <f t="shared" si="12"/>
        <v>100</v>
      </c>
      <c r="T36" s="1570" t="s">
        <v>8</v>
      </c>
      <c r="U36" s="1571">
        <f t="shared" si="13"/>
        <v>100</v>
      </c>
      <c r="V36" s="1570" t="s">
        <v>8</v>
      </c>
      <c r="W36" s="1571">
        <f t="shared" si="14"/>
        <v>100</v>
      </c>
      <c r="X36" s="1564"/>
      <c r="Y36" s="3676"/>
      <c r="Z36" s="1572">
        <f t="shared" si="15"/>
        <v>111</v>
      </c>
      <c r="AA36" s="1573">
        <f t="shared" si="3"/>
        <v>1</v>
      </c>
      <c r="AB36" s="1573">
        <f t="shared" si="4"/>
        <v>1</v>
      </c>
      <c r="AC36" s="1573">
        <f t="shared" si="5"/>
        <v>1</v>
      </c>
    </row>
    <row r="37" spans="1:29" ht="15">
      <c r="A37" s="1844" t="s">
        <v>2077</v>
      </c>
      <c r="B37" s="1845" t="s">
        <v>2078</v>
      </c>
      <c r="C37" s="2625" t="s">
        <v>1</v>
      </c>
      <c r="D37" s="2626"/>
      <c r="E37" s="2627"/>
      <c r="F37" s="2628"/>
      <c r="G37" s="2629"/>
      <c r="H37" s="2630"/>
      <c r="I37" s="2627"/>
      <c r="J37" s="2630"/>
      <c r="K37" s="1608"/>
      <c r="L37" s="2142"/>
      <c r="M37" s="2143"/>
      <c r="N37" s="2132"/>
      <c r="O37" s="2143"/>
      <c r="P37" s="3671" t="str">
        <f>A37</f>
        <v>成交单价</v>
      </c>
      <c r="Q37" s="3671"/>
      <c r="R37" s="3755">
        <f>E37</f>
        <v>0</v>
      </c>
      <c r="S37" s="3755"/>
      <c r="T37" s="3755">
        <f>G37</f>
        <v>0</v>
      </c>
      <c r="U37" s="3755"/>
      <c r="V37" s="3755">
        <f>I37</f>
        <v>0</v>
      </c>
      <c r="W37" s="3755"/>
      <c r="X37" s="1556"/>
      <c r="Y37" s="1578"/>
      <c r="Z37" s="1556"/>
      <c r="AA37" s="1556"/>
      <c r="AB37" s="1556"/>
      <c r="AC37" s="1556"/>
    </row>
    <row r="38" spans="1:29" ht="15.75" thickBot="1">
      <c r="A38" s="614" t="s">
        <v>2759</v>
      </c>
      <c r="B38" s="886"/>
      <c r="C38" s="2631" t="e">
        <f>R39</f>
        <v>#DIV/0!</v>
      </c>
      <c r="D38" s="2632"/>
      <c r="E38" s="2633" t="e">
        <f>R38</f>
        <v>#DIV/0!</v>
      </c>
      <c r="F38" s="2633"/>
      <c r="G38" s="2631" t="e">
        <f>T38</f>
        <v>#DIV/0!</v>
      </c>
      <c r="H38" s="2632"/>
      <c r="I38" s="2633" t="e">
        <f>V38</f>
        <v>#DIV/0!</v>
      </c>
      <c r="J38" s="2632"/>
      <c r="K38" s="1609"/>
      <c r="L38" s="2142"/>
      <c r="M38" s="2143"/>
      <c r="N38" s="2143"/>
      <c r="O38" s="2143"/>
      <c r="P38" s="3671" t="str">
        <f>A38</f>
        <v>比较价格（元/平方米）</v>
      </c>
      <c r="Q38" s="3671"/>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1556"/>
      <c r="Y38" s="1556"/>
      <c r="Z38" s="1556"/>
      <c r="AA38" s="1556"/>
      <c r="AB38" s="1556"/>
      <c r="AC38" s="1556"/>
    </row>
    <row r="39" spans="1:29" ht="15.75" thickBot="1">
      <c r="A39" s="620" t="s">
        <v>2934</v>
      </c>
      <c r="B39" s="621"/>
      <c r="C39" s="2634" t="e">
        <f>R39</f>
        <v>#DIV/0!</v>
      </c>
      <c r="D39" s="2634"/>
      <c r="E39" s="2634"/>
      <c r="F39" s="2634"/>
      <c r="G39" s="2634"/>
      <c r="H39" s="2634"/>
      <c r="I39" s="2634"/>
      <c r="J39" s="2634"/>
      <c r="K39" s="1610"/>
      <c r="L39" s="2142"/>
      <c r="M39" s="2143"/>
      <c r="N39" s="2143"/>
      <c r="O39" s="2143"/>
      <c r="P39" s="3692" t="str">
        <f>A39</f>
        <v>估价对象XX用房的比较价格（楼面单价，元/平方米）</v>
      </c>
      <c r="Q39" s="3693"/>
      <c r="R39" s="3754" t="e">
        <f>IF(F1="售价",ROUND(AVERAGE(R38:V38),0),ROUND(AVERAGE(R38:V38),1))</f>
        <v>#DIV/0!</v>
      </c>
      <c r="S39" s="3754"/>
      <c r="T39" s="3754"/>
      <c r="U39" s="3754"/>
      <c r="V39" s="3754"/>
      <c r="W39" s="3754"/>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800" t="str">
        <f>YEAR(C7)&amp;"-"&amp;MONTH(C7)</f>
        <v>2018-9</v>
      </c>
      <c r="D48" s="2802">
        <f>EDATE(C48,-1)</f>
        <v>43313</v>
      </c>
      <c r="E48" s="2802">
        <f t="shared" ref="E48:O48" si="16">EDATE(D48,-1)</f>
        <v>43282</v>
      </c>
      <c r="F48" s="2802">
        <f t="shared" si="16"/>
        <v>43252</v>
      </c>
      <c r="G48" s="2802">
        <f t="shared" si="16"/>
        <v>43221</v>
      </c>
      <c r="H48" s="2802">
        <f t="shared" si="16"/>
        <v>43191</v>
      </c>
      <c r="I48" s="2802">
        <f t="shared" si="16"/>
        <v>43160</v>
      </c>
      <c r="J48" s="2802">
        <f t="shared" si="16"/>
        <v>43132</v>
      </c>
      <c r="K48" s="2802">
        <f t="shared" si="16"/>
        <v>43101</v>
      </c>
      <c r="L48" s="2802">
        <f t="shared" si="16"/>
        <v>43070</v>
      </c>
      <c r="M48" s="2802">
        <f t="shared" si="16"/>
        <v>43040</v>
      </c>
      <c r="N48" s="2802">
        <f t="shared" si="16"/>
        <v>43009</v>
      </c>
      <c r="O48" s="2802">
        <f t="shared" si="16"/>
        <v>42979</v>
      </c>
      <c r="P48" s="2158"/>
      <c r="Q48" s="2159"/>
      <c r="R48" s="2159"/>
      <c r="S48" s="2159"/>
      <c r="T48" s="2159"/>
      <c r="U48" s="2159"/>
      <c r="V48" s="2159"/>
      <c r="W48" s="2159"/>
      <c r="X48" s="2159"/>
      <c r="Y48" s="2159"/>
      <c r="Z48" s="2159"/>
      <c r="AA48" s="2159"/>
      <c r="AB48" s="2159"/>
      <c r="AC48" s="2159"/>
    </row>
    <row r="49" spans="1:29" s="1218"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2558</v>
      </c>
      <c r="C67" s="2596" t="s">
        <v>2559</v>
      </c>
      <c r="D67" s="2596" t="s">
        <v>2560</v>
      </c>
      <c r="E67" s="2596" t="s">
        <v>2561</v>
      </c>
      <c r="F67" s="2596" t="s">
        <v>2562</v>
      </c>
      <c r="G67" s="2596" t="s">
        <v>2563</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5"/>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797</v>
      </c>
      <c r="B4" s="512"/>
      <c r="C4" s="3677" t="s">
        <v>798</v>
      </c>
      <c r="D4" s="3678"/>
      <c r="E4" s="3702" t="s">
        <v>799</v>
      </c>
      <c r="F4" s="3703"/>
      <c r="G4" s="3677" t="s">
        <v>800</v>
      </c>
      <c r="H4" s="3678"/>
      <c r="I4" s="3677" t="s">
        <v>801</v>
      </c>
      <c r="J4" s="3678"/>
      <c r="K4" s="513" t="s">
        <v>802</v>
      </c>
      <c r="L4" s="2131"/>
      <c r="M4" s="2132"/>
      <c r="N4" s="2132"/>
      <c r="O4" s="2132"/>
      <c r="P4" s="3679" t="s">
        <v>803</v>
      </c>
      <c r="Q4" s="3680"/>
      <c r="R4" s="3665" t="s">
        <v>799</v>
      </c>
      <c r="S4" s="3666"/>
      <c r="T4" s="3665" t="s">
        <v>800</v>
      </c>
      <c r="U4" s="3666"/>
      <c r="V4" s="3685" t="s">
        <v>801</v>
      </c>
      <c r="W4" s="3685"/>
      <c r="X4" s="1564"/>
      <c r="Y4" s="3665" t="s">
        <v>803</v>
      </c>
      <c r="Z4" s="3666"/>
      <c r="AA4" s="3660" t="s">
        <v>799</v>
      </c>
      <c r="AB4" s="3661" t="s">
        <v>800</v>
      </c>
      <c r="AC4" s="3660" t="s">
        <v>801</v>
      </c>
    </row>
    <row r="5" spans="1:29" ht="15">
      <c r="A5" s="514"/>
      <c r="B5" s="515"/>
      <c r="C5" s="3688" t="s">
        <v>2928</v>
      </c>
      <c r="D5" s="3689"/>
      <c r="E5" s="3704" t="s">
        <v>2929</v>
      </c>
      <c r="F5" s="3705"/>
      <c r="G5" s="3688" t="s">
        <v>2930</v>
      </c>
      <c r="H5" s="3689"/>
      <c r="I5" s="3688" t="s">
        <v>2931</v>
      </c>
      <c r="J5" s="3689"/>
      <c r="K5" s="513"/>
      <c r="L5" s="2131"/>
      <c r="M5" s="2132"/>
      <c r="N5" s="2132"/>
      <c r="O5" s="2132"/>
      <c r="P5" s="3681"/>
      <c r="Q5" s="3682"/>
      <c r="R5" s="3667"/>
      <c r="S5" s="3668"/>
      <c r="T5" s="3667"/>
      <c r="U5" s="3668"/>
      <c r="V5" s="3685"/>
      <c r="W5" s="3685"/>
      <c r="X5" s="1564"/>
      <c r="Y5" s="3667"/>
      <c r="Z5" s="3668"/>
      <c r="AA5" s="3661"/>
      <c r="AB5" s="3661"/>
      <c r="AC5" s="3661"/>
    </row>
    <row r="6" spans="1:29" ht="15.75" thickBot="1">
      <c r="A6" s="516"/>
      <c r="B6" s="517"/>
      <c r="C6" s="3686" t="s">
        <v>2932</v>
      </c>
      <c r="D6" s="3687"/>
      <c r="E6" s="3706" t="s">
        <v>2932</v>
      </c>
      <c r="F6" s="3707"/>
      <c r="G6" s="3686" t="s">
        <v>2932</v>
      </c>
      <c r="H6" s="3687"/>
      <c r="I6" s="3686" t="s">
        <v>2932</v>
      </c>
      <c r="J6" s="3687"/>
      <c r="K6" s="513" t="s">
        <v>528</v>
      </c>
      <c r="L6" s="2131"/>
      <c r="M6" s="2132"/>
      <c r="N6" s="2132"/>
      <c r="O6" s="2132"/>
      <c r="P6" s="3683"/>
      <c r="Q6" s="3684"/>
      <c r="R6" s="3667"/>
      <c r="S6" s="3668"/>
      <c r="T6" s="3669"/>
      <c r="U6" s="3670"/>
      <c r="V6" s="3685"/>
      <c r="W6" s="3685"/>
      <c r="X6" s="1564"/>
      <c r="Y6" s="3669"/>
      <c r="Z6" s="3670"/>
      <c r="AA6" s="3662"/>
      <c r="AB6" s="3662"/>
      <c r="AC6" s="3662"/>
    </row>
    <row r="7" spans="1:29" s="1218" customFormat="1" ht="15.75" thickBot="1">
      <c r="A7" s="2910"/>
      <c r="B7" s="2917" t="s">
        <v>529</v>
      </c>
      <c r="C7" s="518">
        <f>'数据-取费表'!B2</f>
        <v>43346</v>
      </c>
      <c r="D7" s="519">
        <v>100</v>
      </c>
      <c r="E7" s="520"/>
      <c r="F7" s="521">
        <f>SUMIF(46:46,YEAR(E7)&amp;"-"&amp;MONTH(E7),47:47)</f>
        <v>0</v>
      </c>
      <c r="G7" s="522"/>
      <c r="H7" s="519">
        <f>SUMIF(46:46,YEAR(G7)&amp;"-"&amp;MONTH(G7),47:47)</f>
        <v>0</v>
      </c>
      <c r="I7" s="522"/>
      <c r="J7" s="519">
        <f>SUMIF(46:46,YEAR(I7)&amp;"-"&amp;MONTH(I7),47:47)</f>
        <v>0</v>
      </c>
      <c r="K7" s="523"/>
      <c r="L7" s="2133"/>
      <c r="M7" s="2134"/>
      <c r="N7" s="2134"/>
      <c r="O7" s="2134"/>
      <c r="P7" s="3663" t="s">
        <v>530</v>
      </c>
      <c r="Q7" s="3672"/>
      <c r="R7" s="1565" t="s">
        <v>8</v>
      </c>
      <c r="S7" s="1566">
        <f t="shared" ref="S7:S14" si="0">F7</f>
        <v>0</v>
      </c>
      <c r="T7" s="1565" t="s">
        <v>8</v>
      </c>
      <c r="U7" s="1566">
        <f t="shared" ref="U7:U14" si="1">H7</f>
        <v>0</v>
      </c>
      <c r="V7" s="1565" t="s">
        <v>8</v>
      </c>
      <c r="W7" s="1566">
        <f t="shared" ref="W7:W14" si="2">J7</f>
        <v>0</v>
      </c>
      <c r="X7" s="1567"/>
      <c r="Y7" s="3663" t="s">
        <v>530</v>
      </c>
      <c r="Z7" s="3664"/>
      <c r="AA7" s="1568" t="e">
        <f>D7/F7</f>
        <v>#DIV/0!</v>
      </c>
      <c r="AB7" s="1568" t="e">
        <f>D7/H7</f>
        <v>#DIV/0!</v>
      </c>
      <c r="AC7" s="1568" t="e">
        <f>D7/J7</f>
        <v>#DIV/0!</v>
      </c>
    </row>
    <row r="8" spans="1:29" s="1218" customFormat="1" ht="15.75" thickBot="1">
      <c r="A8" s="2911"/>
      <c r="B8" s="2918"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663" t="s">
        <v>533</v>
      </c>
      <c r="Q8" s="3664"/>
      <c r="R8" s="1565" t="s">
        <v>8</v>
      </c>
      <c r="S8" s="1566">
        <f t="shared" si="0"/>
        <v>0</v>
      </c>
      <c r="T8" s="1565" t="s">
        <v>8</v>
      </c>
      <c r="U8" s="1566">
        <f t="shared" si="1"/>
        <v>0</v>
      </c>
      <c r="V8" s="1565" t="s">
        <v>8</v>
      </c>
      <c r="W8" s="1566">
        <f t="shared" si="2"/>
        <v>0</v>
      </c>
      <c r="X8" s="1567"/>
      <c r="Y8" s="3663" t="s">
        <v>533</v>
      </c>
      <c r="Z8" s="3664"/>
      <c r="AA8" s="1568" t="e">
        <f t="shared" ref="AA8:AA34" si="3">D8/F8</f>
        <v>#DIV/0!</v>
      </c>
      <c r="AB8" s="1568" t="e">
        <f t="shared" ref="AB8:AB34" si="4">D8/H8</f>
        <v>#DIV/0!</v>
      </c>
      <c r="AC8" s="1568" t="e">
        <f t="shared" ref="AC8:AC34" si="5">D8/J8</f>
        <v>#DIV/0!</v>
      </c>
    </row>
    <row r="9" spans="1:29" s="1218" customFormat="1" ht="15">
      <c r="A9" s="2912"/>
      <c r="B9" s="2919" t="s">
        <v>2755</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671" t="s">
        <v>535</v>
      </c>
      <c r="Q9" s="1149" t="str">
        <f t="shared" ref="Q9:Q14" si="6">B9</f>
        <v>用途</v>
      </c>
      <c r="R9" s="1565" t="s">
        <v>8</v>
      </c>
      <c r="S9" s="1566">
        <f t="shared" si="0"/>
        <v>100</v>
      </c>
      <c r="T9" s="1565" t="s">
        <v>8</v>
      </c>
      <c r="U9" s="1566">
        <f t="shared" si="1"/>
        <v>100</v>
      </c>
      <c r="V9" s="1565" t="s">
        <v>8</v>
      </c>
      <c r="W9" s="1566">
        <f t="shared" si="2"/>
        <v>100</v>
      </c>
      <c r="X9" s="1567"/>
      <c r="Y9" s="3628" t="s">
        <v>536</v>
      </c>
      <c r="Z9" s="1148" t="str">
        <f t="shared" ref="Z9:Z14" si="7">Q9</f>
        <v>用途</v>
      </c>
      <c r="AA9" s="1568">
        <f t="shared" si="3"/>
        <v>1</v>
      </c>
      <c r="AB9" s="1568">
        <f t="shared" si="4"/>
        <v>1</v>
      </c>
      <c r="AC9" s="1568">
        <f t="shared" si="5"/>
        <v>1</v>
      </c>
    </row>
    <row r="10" spans="1:29" s="1336" customFormat="1" ht="27">
      <c r="A10" s="2913"/>
      <c r="B10" s="2918" t="s">
        <v>2756</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671"/>
      <c r="Q10" s="1149" t="str">
        <f t="shared" si="6"/>
        <v>土地使用年限（年）</v>
      </c>
      <c r="R10" s="1565" t="s">
        <v>8</v>
      </c>
      <c r="S10" s="1566">
        <f t="shared" si="0"/>
        <v>100</v>
      </c>
      <c r="T10" s="1565" t="s">
        <v>8</v>
      </c>
      <c r="U10" s="1566">
        <f t="shared" si="1"/>
        <v>100</v>
      </c>
      <c r="V10" s="1565" t="s">
        <v>8</v>
      </c>
      <c r="W10" s="1566">
        <f t="shared" si="2"/>
        <v>100</v>
      </c>
      <c r="X10" s="1567"/>
      <c r="Y10" s="3628"/>
      <c r="Z10" s="1148" t="str">
        <f t="shared" si="7"/>
        <v>土地使用年限（年）</v>
      </c>
      <c r="AA10" s="1568">
        <f t="shared" si="3"/>
        <v>1</v>
      </c>
      <c r="AB10" s="1568">
        <f t="shared" si="4"/>
        <v>1</v>
      </c>
      <c r="AC10" s="1568">
        <f t="shared" si="5"/>
        <v>1</v>
      </c>
    </row>
    <row r="11" spans="1:29" ht="15">
      <c r="A11" s="2915"/>
      <c r="B11" s="2921">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671"/>
      <c r="Q11" s="1149">
        <f t="shared" si="6"/>
        <v>111</v>
      </c>
      <c r="R11" s="1565" t="s">
        <v>8</v>
      </c>
      <c r="S11" s="1566">
        <f t="shared" si="0"/>
        <v>100</v>
      </c>
      <c r="T11" s="1565" t="s">
        <v>8</v>
      </c>
      <c r="U11" s="1566">
        <f t="shared" si="1"/>
        <v>100</v>
      </c>
      <c r="V11" s="1565" t="s">
        <v>8</v>
      </c>
      <c r="W11" s="1566">
        <f t="shared" si="2"/>
        <v>100</v>
      </c>
      <c r="X11" s="1567"/>
      <c r="Y11" s="3628"/>
      <c r="Z11" s="1148">
        <f t="shared" si="7"/>
        <v>111</v>
      </c>
      <c r="AA11" s="1568">
        <f t="shared" si="3"/>
        <v>1</v>
      </c>
      <c r="AB11" s="1568">
        <f t="shared" si="4"/>
        <v>1</v>
      </c>
      <c r="AC11" s="1568">
        <f t="shared" si="5"/>
        <v>1</v>
      </c>
    </row>
    <row r="12" spans="1:29" s="1218" customFormat="1" ht="15">
      <c r="A12" s="2915"/>
      <c r="B12" s="2921">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671"/>
      <c r="Q12" s="1149">
        <f t="shared" si="6"/>
        <v>111</v>
      </c>
      <c r="R12" s="1565" t="s">
        <v>8</v>
      </c>
      <c r="S12" s="1566">
        <f t="shared" si="0"/>
        <v>100</v>
      </c>
      <c r="T12" s="1565" t="s">
        <v>8</v>
      </c>
      <c r="U12" s="1566">
        <f t="shared" si="1"/>
        <v>100</v>
      </c>
      <c r="V12" s="1565" t="s">
        <v>8</v>
      </c>
      <c r="W12" s="1566">
        <f t="shared" si="2"/>
        <v>100</v>
      </c>
      <c r="X12" s="1567"/>
      <c r="Y12" s="3628"/>
      <c r="Z12" s="1148">
        <f t="shared" si="7"/>
        <v>111</v>
      </c>
      <c r="AA12" s="1568">
        <f>D12/F12</f>
        <v>1</v>
      </c>
      <c r="AB12" s="1568">
        <f>D12/H12</f>
        <v>1</v>
      </c>
      <c r="AC12" s="1568">
        <f>D12/J12</f>
        <v>1</v>
      </c>
    </row>
    <row r="13" spans="1:29" ht="15.75" thickBot="1">
      <c r="A13" s="2916"/>
      <c r="B13" s="2922">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671"/>
      <c r="Q13" s="1149">
        <f t="shared" si="6"/>
        <v>111</v>
      </c>
      <c r="R13" s="1565" t="s">
        <v>8</v>
      </c>
      <c r="S13" s="1566">
        <f t="shared" si="0"/>
        <v>100</v>
      </c>
      <c r="T13" s="1565" t="s">
        <v>8</v>
      </c>
      <c r="U13" s="1566">
        <f t="shared" si="1"/>
        <v>100</v>
      </c>
      <c r="V13" s="1565" t="s">
        <v>8</v>
      </c>
      <c r="W13" s="1566">
        <f t="shared" si="2"/>
        <v>100</v>
      </c>
      <c r="X13" s="1567"/>
      <c r="Y13" s="3628"/>
      <c r="Z13" s="1148">
        <f t="shared" si="7"/>
        <v>111</v>
      </c>
      <c r="AA13" s="1568">
        <f t="shared" si="3"/>
        <v>1</v>
      </c>
      <c r="AB13" s="1568">
        <f t="shared" si="4"/>
        <v>1</v>
      </c>
      <c r="AC13" s="1568">
        <f t="shared" si="5"/>
        <v>1</v>
      </c>
    </row>
    <row r="14" spans="1:29" ht="85.5">
      <c r="A14" s="2908" t="s">
        <v>2753</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673" t="s">
        <v>540</v>
      </c>
      <c r="Q14" s="1569" t="str">
        <f t="shared" si="6"/>
        <v>交通便捷度</v>
      </c>
      <c r="R14" s="1570" t="s">
        <v>8</v>
      </c>
      <c r="S14" s="1571">
        <f t="shared" si="0"/>
        <v>100</v>
      </c>
      <c r="T14" s="1570" t="s">
        <v>8</v>
      </c>
      <c r="U14" s="1571">
        <f t="shared" si="1"/>
        <v>100</v>
      </c>
      <c r="V14" s="1570" t="s">
        <v>8</v>
      </c>
      <c r="W14" s="1571">
        <f t="shared" si="2"/>
        <v>100</v>
      </c>
      <c r="X14" s="1564"/>
      <c r="Y14" s="3673" t="s">
        <v>540</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40"/>
      <c r="M15" s="2132"/>
      <c r="N15" s="2132"/>
      <c r="O15" s="2139"/>
      <c r="P15" s="3674"/>
      <c r="Q15" s="1569"/>
      <c r="R15" s="1570"/>
      <c r="S15" s="1571"/>
      <c r="T15" s="1570"/>
      <c r="U15" s="1571"/>
      <c r="V15" s="1570"/>
      <c r="W15" s="1571"/>
      <c r="X15" s="1564"/>
      <c r="Y15" s="3674"/>
      <c r="Z15" s="1572"/>
      <c r="AA15" s="1573">
        <v>1</v>
      </c>
      <c r="AB15" s="1573">
        <v>1</v>
      </c>
      <c r="AC15" s="1573">
        <v>1</v>
      </c>
    </row>
    <row r="16" spans="1:29" ht="42.75">
      <c r="A16" s="531"/>
      <c r="B16" s="2601"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674"/>
      <c r="Q16" s="1569" t="str">
        <f>B16</f>
        <v>公共配套设施</v>
      </c>
      <c r="R16" s="1570" t="s">
        <v>8</v>
      </c>
      <c r="S16" s="1571">
        <f>F16</f>
        <v>100</v>
      </c>
      <c r="T16" s="1570" t="s">
        <v>8</v>
      </c>
      <c r="U16" s="1571">
        <f>H16</f>
        <v>100</v>
      </c>
      <c r="V16" s="1570" t="s">
        <v>8</v>
      </c>
      <c r="W16" s="1571">
        <f>J16</f>
        <v>100</v>
      </c>
      <c r="X16" s="1564"/>
      <c r="Y16" s="3674"/>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40"/>
      <c r="M17" s="2132"/>
      <c r="N17" s="2132"/>
      <c r="O17" s="2139"/>
      <c r="P17" s="3674"/>
      <c r="Q17" s="1569"/>
      <c r="R17" s="1570"/>
      <c r="S17" s="1571"/>
      <c r="T17" s="1570"/>
      <c r="U17" s="1571"/>
      <c r="V17" s="1570"/>
      <c r="W17" s="1571"/>
      <c r="X17" s="1564"/>
      <c r="Y17" s="3674"/>
      <c r="Z17" s="1572"/>
      <c r="AA17" s="1573">
        <v>1</v>
      </c>
      <c r="AB17" s="1573">
        <v>1</v>
      </c>
      <c r="AC17" s="1573">
        <v>1</v>
      </c>
    </row>
    <row r="18" spans="1:29" ht="28.5">
      <c r="A18" s="531"/>
      <c r="B18" s="2589"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674"/>
      <c r="Q18" s="2577" t="str">
        <f>B18</f>
        <v>基础设施水平</v>
      </c>
      <c r="R18" s="1570" t="s">
        <v>8</v>
      </c>
      <c r="S18" s="1571">
        <f>F18</f>
        <v>100</v>
      </c>
      <c r="T18" s="1570" t="s">
        <v>8</v>
      </c>
      <c r="U18" s="1571">
        <f>H18</f>
        <v>100</v>
      </c>
      <c r="V18" s="1570" t="s">
        <v>8</v>
      </c>
      <c r="W18" s="1571">
        <f>J18</f>
        <v>100</v>
      </c>
      <c r="X18" s="2579"/>
      <c r="Y18" s="3674"/>
      <c r="Z18" s="2578"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00"/>
      <c r="L19" s="2140"/>
      <c r="M19" s="2132"/>
      <c r="N19" s="2132"/>
      <c r="O19" s="2139"/>
      <c r="P19" s="3674"/>
      <c r="Q19" s="2577"/>
      <c r="R19" s="1570"/>
      <c r="S19" s="1571"/>
      <c r="T19" s="1570"/>
      <c r="U19" s="1571"/>
      <c r="V19" s="1570"/>
      <c r="W19" s="1571"/>
      <c r="X19" s="2579"/>
      <c r="Y19" s="3674"/>
      <c r="Z19" s="2578"/>
      <c r="AA19" s="1573">
        <v>1</v>
      </c>
      <c r="AB19" s="1573">
        <v>1</v>
      </c>
      <c r="AC19" s="1573">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674"/>
      <c r="Q20" s="1569" t="str">
        <f>B20</f>
        <v>自然及人文环境</v>
      </c>
      <c r="R20" s="1570" t="s">
        <v>8</v>
      </c>
      <c r="S20" s="1571">
        <f>F20</f>
        <v>100</v>
      </c>
      <c r="T20" s="1570" t="s">
        <v>8</v>
      </c>
      <c r="U20" s="1571">
        <f>H20</f>
        <v>100</v>
      </c>
      <c r="V20" s="1570" t="s">
        <v>8</v>
      </c>
      <c r="W20" s="1571">
        <f>J20</f>
        <v>100</v>
      </c>
      <c r="X20" s="1564"/>
      <c r="Y20" s="3674"/>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40"/>
      <c r="M21" s="2132"/>
      <c r="N21" s="2132"/>
      <c r="O21" s="2139"/>
      <c r="P21" s="3674"/>
      <c r="Q21" s="1569"/>
      <c r="R21" s="1570"/>
      <c r="S21" s="1571"/>
      <c r="T21" s="1570"/>
      <c r="U21" s="1571"/>
      <c r="V21" s="1570"/>
      <c r="W21" s="1571"/>
      <c r="X21" s="1564"/>
      <c r="Y21" s="3674"/>
      <c r="Z21" s="1572"/>
      <c r="AA21" s="1573">
        <v>1</v>
      </c>
      <c r="AB21" s="1573">
        <v>1</v>
      </c>
      <c r="AC21" s="1573">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674"/>
      <c r="Q22" s="1569" t="str">
        <f>B22</f>
        <v>楼层</v>
      </c>
      <c r="R22" s="1570" t="s">
        <v>8</v>
      </c>
      <c r="S22" s="1571">
        <f>F22</f>
        <v>100</v>
      </c>
      <c r="T22" s="1570" t="s">
        <v>8</v>
      </c>
      <c r="U22" s="1571">
        <f>H22</f>
        <v>100</v>
      </c>
      <c r="V22" s="1570" t="s">
        <v>8</v>
      </c>
      <c r="W22" s="1571">
        <f>J22</f>
        <v>100</v>
      </c>
      <c r="X22" s="1564"/>
      <c r="Y22" s="3674"/>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674"/>
      <c r="Q23" s="1569">
        <f>B23</f>
        <v>111</v>
      </c>
      <c r="R23" s="1570" t="s">
        <v>8</v>
      </c>
      <c r="S23" s="1571">
        <f>F23</f>
        <v>100</v>
      </c>
      <c r="T23" s="1570" t="s">
        <v>8</v>
      </c>
      <c r="U23" s="1571">
        <f>H23</f>
        <v>100</v>
      </c>
      <c r="V23" s="1570" t="s">
        <v>8</v>
      </c>
      <c r="W23" s="1571">
        <f>J23</f>
        <v>100</v>
      </c>
      <c r="X23" s="1564"/>
      <c r="Y23" s="3674"/>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674"/>
      <c r="Q24" s="1569">
        <f t="shared" ref="Q24:Q34" si="11">B24</f>
        <v>111</v>
      </c>
      <c r="R24" s="1570" t="s">
        <v>8</v>
      </c>
      <c r="S24" s="1571">
        <f>F24</f>
        <v>100</v>
      </c>
      <c r="T24" s="1570" t="s">
        <v>8</v>
      </c>
      <c r="U24" s="1571">
        <f>H24</f>
        <v>100</v>
      </c>
      <c r="V24" s="1570" t="s">
        <v>8</v>
      </c>
      <c r="W24" s="1571">
        <f>J24</f>
        <v>100</v>
      </c>
      <c r="X24" s="1564"/>
      <c r="Y24" s="3674"/>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674"/>
      <c r="Q25" s="1149">
        <f t="shared" si="11"/>
        <v>111</v>
      </c>
      <c r="R25" s="1565" t="s">
        <v>8</v>
      </c>
      <c r="S25" s="1566">
        <f>F25</f>
        <v>100</v>
      </c>
      <c r="T25" s="1565" t="s">
        <v>8</v>
      </c>
      <c r="U25" s="1566">
        <f>H25</f>
        <v>100</v>
      </c>
      <c r="V25" s="1565" t="s">
        <v>8</v>
      </c>
      <c r="W25" s="1566">
        <f>J25</f>
        <v>100</v>
      </c>
      <c r="X25" s="1567"/>
      <c r="Y25" s="3674"/>
      <c r="Z25" s="1148">
        <f>Q25</f>
        <v>111</v>
      </c>
      <c r="AA25" s="1573">
        <f>D25/F25</f>
        <v>1</v>
      </c>
      <c r="AB25" s="1573">
        <f>D25/H25</f>
        <v>1</v>
      </c>
      <c r="AC25" s="1573">
        <f>D25/J25</f>
        <v>1</v>
      </c>
    </row>
    <row r="26" spans="1:29" ht="15">
      <c r="A26" s="2905" t="s">
        <v>2754</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675"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676" t="s">
        <v>821</v>
      </c>
      <c r="Z26" s="1572" t="str">
        <f t="shared" ref="Z26:Z34" si="15">Q26</f>
        <v>公共部分装修</v>
      </c>
      <c r="AA26" s="1573">
        <f t="shared" si="3"/>
        <v>1</v>
      </c>
      <c r="AB26" s="1573">
        <f t="shared" si="4"/>
        <v>1</v>
      </c>
      <c r="AC26" s="1573">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676"/>
      <c r="Q27" s="1602" t="str">
        <f t="shared" si="11"/>
        <v>成新率</v>
      </c>
      <c r="R27" s="1574" t="s">
        <v>8</v>
      </c>
      <c r="S27" s="1575" t="e">
        <f t="shared" si="12"/>
        <v>#N/A</v>
      </c>
      <c r="T27" s="1574" t="s">
        <v>8</v>
      </c>
      <c r="U27" s="1575" t="e">
        <f t="shared" si="13"/>
        <v>#N/A</v>
      </c>
      <c r="V27" s="1574" t="s">
        <v>8</v>
      </c>
      <c r="W27" s="1575" t="e">
        <f t="shared" si="14"/>
        <v>#N/A</v>
      </c>
      <c r="X27" s="1576"/>
      <c r="Y27" s="3676"/>
      <c r="Z27" s="1577" t="str">
        <f t="shared" si="15"/>
        <v>成新率</v>
      </c>
      <c r="AA27" s="1573" t="e">
        <f t="shared" si="3"/>
        <v>#N/A</v>
      </c>
      <c r="AB27" s="1573" t="e">
        <f t="shared" si="4"/>
        <v>#N/A</v>
      </c>
      <c r="AC27" s="1573"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676"/>
      <c r="Q28" s="1569" t="str">
        <f t="shared" si="11"/>
        <v>物业等级</v>
      </c>
      <c r="R28" s="1570" t="s">
        <v>8</v>
      </c>
      <c r="S28" s="1571">
        <f t="shared" si="12"/>
        <v>100</v>
      </c>
      <c r="T28" s="1570" t="s">
        <v>8</v>
      </c>
      <c r="U28" s="1571">
        <f t="shared" si="13"/>
        <v>100</v>
      </c>
      <c r="V28" s="1570" t="s">
        <v>8</v>
      </c>
      <c r="W28" s="1571">
        <f t="shared" si="14"/>
        <v>100</v>
      </c>
      <c r="X28" s="1564"/>
      <c r="Y28" s="3676"/>
      <c r="Z28" s="1572" t="str">
        <f t="shared" si="15"/>
        <v>物业等级</v>
      </c>
      <c r="AA28" s="1573">
        <f t="shared" si="3"/>
        <v>1</v>
      </c>
      <c r="AB28" s="1573">
        <f t="shared" si="4"/>
        <v>1</v>
      </c>
      <c r="AC28" s="1573">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676"/>
      <c r="Q29" s="1569" t="str">
        <f t="shared" si="11"/>
        <v>有无电梯</v>
      </c>
      <c r="R29" s="1570" t="s">
        <v>8</v>
      </c>
      <c r="S29" s="1571">
        <f t="shared" si="12"/>
        <v>100</v>
      </c>
      <c r="T29" s="1570" t="s">
        <v>8</v>
      </c>
      <c r="U29" s="1571">
        <f t="shared" si="13"/>
        <v>100</v>
      </c>
      <c r="V29" s="1570" t="s">
        <v>8</v>
      </c>
      <c r="W29" s="1571">
        <f t="shared" si="14"/>
        <v>100</v>
      </c>
      <c r="X29" s="1564"/>
      <c r="Y29" s="3676"/>
      <c r="Z29" s="1572" t="str">
        <f t="shared" si="15"/>
        <v>有无电梯</v>
      </c>
      <c r="AA29" s="1573">
        <f t="shared" si="3"/>
        <v>1</v>
      </c>
      <c r="AB29" s="1573">
        <f t="shared" si="4"/>
        <v>1</v>
      </c>
      <c r="AC29" s="1573">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676"/>
      <c r="Q30" s="1569" t="str">
        <f t="shared" si="11"/>
        <v>建筑面积</v>
      </c>
      <c r="R30" s="1570" t="s">
        <v>8</v>
      </c>
      <c r="S30" s="1571" t="e">
        <f t="shared" si="12"/>
        <v>#N/A</v>
      </c>
      <c r="T30" s="1570" t="s">
        <v>8</v>
      </c>
      <c r="U30" s="1571" t="e">
        <f t="shared" si="13"/>
        <v>#N/A</v>
      </c>
      <c r="V30" s="1570" t="s">
        <v>8</v>
      </c>
      <c r="W30" s="1571" t="e">
        <f t="shared" si="14"/>
        <v>#N/A</v>
      </c>
      <c r="X30" s="1564"/>
      <c r="Y30" s="3676"/>
      <c r="Z30" s="1572" t="str">
        <f t="shared" si="15"/>
        <v>建筑面积</v>
      </c>
      <c r="AA30" s="1573" t="e">
        <f t="shared" si="3"/>
        <v>#N/A</v>
      </c>
      <c r="AB30" s="1573" t="e">
        <f t="shared" si="4"/>
        <v>#N/A</v>
      </c>
      <c r="AC30" s="1573"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676"/>
      <c r="Q31" s="1149" t="str">
        <f t="shared" si="11"/>
        <v>是否封闭</v>
      </c>
      <c r="R31" s="1565" t="s">
        <v>8</v>
      </c>
      <c r="S31" s="1566">
        <f t="shared" si="12"/>
        <v>100</v>
      </c>
      <c r="T31" s="1565" t="s">
        <v>8</v>
      </c>
      <c r="U31" s="1566">
        <f t="shared" si="13"/>
        <v>100</v>
      </c>
      <c r="V31" s="1565" t="s">
        <v>8</v>
      </c>
      <c r="W31" s="1566">
        <f t="shared" si="14"/>
        <v>100</v>
      </c>
      <c r="X31" s="1567"/>
      <c r="Y31" s="3676"/>
      <c r="Z31" s="1148" t="str">
        <f t="shared" si="15"/>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676" t="s">
        <v>550</v>
      </c>
      <c r="Q32" s="1569">
        <f t="shared" si="11"/>
        <v>111</v>
      </c>
      <c r="R32" s="1570" t="s">
        <v>8</v>
      </c>
      <c r="S32" s="1571">
        <f t="shared" si="12"/>
        <v>100</v>
      </c>
      <c r="T32" s="1570" t="s">
        <v>8</v>
      </c>
      <c r="U32" s="1571">
        <f t="shared" si="13"/>
        <v>100</v>
      </c>
      <c r="V32" s="1570" t="s">
        <v>8</v>
      </c>
      <c r="W32" s="1571">
        <f t="shared" si="14"/>
        <v>100</v>
      </c>
      <c r="X32" s="1564"/>
      <c r="Y32" s="3676" t="s">
        <v>550</v>
      </c>
      <c r="Z32" s="1572">
        <f t="shared" si="15"/>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676"/>
      <c r="Q33" s="1569">
        <f t="shared" si="11"/>
        <v>111</v>
      </c>
      <c r="R33" s="1570" t="s">
        <v>8</v>
      </c>
      <c r="S33" s="1571">
        <f t="shared" si="12"/>
        <v>100</v>
      </c>
      <c r="T33" s="1570" t="s">
        <v>8</v>
      </c>
      <c r="U33" s="1571">
        <f t="shared" si="13"/>
        <v>100</v>
      </c>
      <c r="V33" s="1570" t="s">
        <v>8</v>
      </c>
      <c r="W33" s="1571">
        <f t="shared" si="14"/>
        <v>100</v>
      </c>
      <c r="X33" s="1564"/>
      <c r="Y33" s="3676"/>
      <c r="Z33" s="1572">
        <f t="shared" si="15"/>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676"/>
      <c r="Q34" s="1569">
        <f t="shared" si="11"/>
        <v>111</v>
      </c>
      <c r="R34" s="1570" t="s">
        <v>8</v>
      </c>
      <c r="S34" s="1571">
        <f t="shared" si="12"/>
        <v>100</v>
      </c>
      <c r="T34" s="1570" t="s">
        <v>8</v>
      </c>
      <c r="U34" s="1571">
        <f t="shared" si="13"/>
        <v>100</v>
      </c>
      <c r="V34" s="1570" t="s">
        <v>8</v>
      </c>
      <c r="W34" s="1571">
        <f t="shared" si="14"/>
        <v>100</v>
      </c>
      <c r="X34" s="1564"/>
      <c r="Y34" s="3676"/>
      <c r="Z34" s="1572">
        <f t="shared" si="15"/>
        <v>111</v>
      </c>
      <c r="AA34" s="1573">
        <f t="shared" si="3"/>
        <v>1</v>
      </c>
      <c r="AB34" s="1573">
        <f t="shared" si="4"/>
        <v>1</v>
      </c>
      <c r="AC34" s="1573">
        <f t="shared" si="5"/>
        <v>1</v>
      </c>
    </row>
    <row r="35" spans="1:29" ht="15">
      <c r="A35" s="606" t="s">
        <v>736</v>
      </c>
      <c r="B35" s="885"/>
      <c r="C35" s="2625" t="s">
        <v>1</v>
      </c>
      <c r="D35" s="2626"/>
      <c r="E35" s="2627"/>
      <c r="F35" s="2628"/>
      <c r="G35" s="2629"/>
      <c r="H35" s="2630"/>
      <c r="I35" s="2627"/>
      <c r="J35" s="2630"/>
      <c r="K35" s="1608"/>
      <c r="L35" s="2142"/>
      <c r="M35" s="2143"/>
      <c r="N35" s="2132"/>
      <c r="O35" s="2143"/>
      <c r="P35" s="3671" t="str">
        <f>A35</f>
        <v>成交单价（元/平方米）</v>
      </c>
      <c r="Q35" s="3671"/>
      <c r="R35" s="3755">
        <f>E35</f>
        <v>0</v>
      </c>
      <c r="S35" s="3755"/>
      <c r="T35" s="3755">
        <f>G35</f>
        <v>0</v>
      </c>
      <c r="U35" s="3755"/>
      <c r="V35" s="3755">
        <f>I35</f>
        <v>0</v>
      </c>
      <c r="W35" s="3755"/>
      <c r="X35" s="1556"/>
      <c r="Y35" s="1578"/>
      <c r="Z35" s="1556"/>
      <c r="AA35" s="1556"/>
      <c r="AB35" s="1556"/>
      <c r="AC35" s="1556"/>
    </row>
    <row r="36" spans="1:29" ht="15.75" thickBot="1">
      <c r="A36" s="614" t="s">
        <v>2759</v>
      </c>
      <c r="B36" s="886"/>
      <c r="C36" s="2631" t="e">
        <f>R37</f>
        <v>#DIV/0!</v>
      </c>
      <c r="D36" s="2632"/>
      <c r="E36" s="2633" t="e">
        <f>R36</f>
        <v>#DIV/0!</v>
      </c>
      <c r="F36" s="2633"/>
      <c r="G36" s="2631" t="e">
        <f>T36</f>
        <v>#DIV/0!</v>
      </c>
      <c r="H36" s="2632"/>
      <c r="I36" s="2633" t="e">
        <f>V36</f>
        <v>#DIV/0!</v>
      </c>
      <c r="J36" s="2632"/>
      <c r="K36" s="1609"/>
      <c r="L36" s="2142"/>
      <c r="M36" s="2143"/>
      <c r="N36" s="2132"/>
      <c r="O36" s="2143"/>
      <c r="P36" s="3671" t="str">
        <f>A36</f>
        <v>比较价格（元/平方米）</v>
      </c>
      <c r="Q36" s="3671"/>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556"/>
      <c r="Y36" s="1556"/>
      <c r="Z36" s="1556"/>
      <c r="AA36" s="1556"/>
      <c r="AB36" s="1556"/>
      <c r="AC36" s="1556"/>
    </row>
    <row r="37" spans="1:29" ht="15.75" thickBot="1">
      <c r="A37" s="620" t="s">
        <v>2934</v>
      </c>
      <c r="B37" s="621"/>
      <c r="C37" s="2634" t="e">
        <f>R37</f>
        <v>#DIV/0!</v>
      </c>
      <c r="D37" s="2634"/>
      <c r="E37" s="2634"/>
      <c r="F37" s="2634"/>
      <c r="G37" s="2634"/>
      <c r="H37" s="2634"/>
      <c r="I37" s="2634"/>
      <c r="J37" s="2634"/>
      <c r="K37" s="1610"/>
      <c r="L37" s="2142"/>
      <c r="M37" s="2143"/>
      <c r="N37" s="2143"/>
      <c r="O37" s="2143"/>
      <c r="P37" s="3692" t="str">
        <f>A37</f>
        <v>估价对象XX用房的比较价格（楼面单价，元/平方米）</v>
      </c>
      <c r="Q37" s="3693"/>
      <c r="R37" s="3754" t="e">
        <f>IF(F1="售价",ROUND(AVERAGE(R36:V36),0),ROUND(AVERAGE(R36:V36),1))</f>
        <v>#DIV/0!</v>
      </c>
      <c r="S37" s="3754"/>
      <c r="T37" s="3754"/>
      <c r="U37" s="3754"/>
      <c r="V37" s="3754"/>
      <c r="W37" s="3754"/>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5" customFormat="1" ht="15">
      <c r="A46" s="644" t="s">
        <v>529</v>
      </c>
      <c r="B46" s="645"/>
      <c r="C46" s="2800" t="str">
        <f>YEAR(C7)&amp;"-"&amp;MONTH(C7)</f>
        <v>2018-9</v>
      </c>
      <c r="D46" s="2802">
        <f>EDATE(C46,-1)</f>
        <v>43313</v>
      </c>
      <c r="E46" s="2802">
        <f t="shared" ref="E46:O46" si="16">EDATE(D46,-1)</f>
        <v>43282</v>
      </c>
      <c r="F46" s="2802">
        <f t="shared" si="16"/>
        <v>43252</v>
      </c>
      <c r="G46" s="2802">
        <f t="shared" si="16"/>
        <v>43221</v>
      </c>
      <c r="H46" s="2802">
        <f t="shared" si="16"/>
        <v>43191</v>
      </c>
      <c r="I46" s="2802">
        <f t="shared" si="16"/>
        <v>43160</v>
      </c>
      <c r="J46" s="2802">
        <f t="shared" si="16"/>
        <v>43132</v>
      </c>
      <c r="K46" s="2802">
        <f t="shared" si="16"/>
        <v>43101</v>
      </c>
      <c r="L46" s="2802">
        <f t="shared" si="16"/>
        <v>43070</v>
      </c>
      <c r="M46" s="2802">
        <f t="shared" si="16"/>
        <v>43040</v>
      </c>
      <c r="N46" s="2802">
        <f t="shared" si="16"/>
        <v>43009</v>
      </c>
      <c r="O46" s="2802">
        <f t="shared" si="16"/>
        <v>42979</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2558</v>
      </c>
      <c r="C65" s="2596" t="s">
        <v>2559</v>
      </c>
      <c r="D65" s="2596" t="s">
        <v>2560</v>
      </c>
      <c r="E65" s="2596" t="s">
        <v>2561</v>
      </c>
      <c r="F65" s="2596" t="s">
        <v>2562</v>
      </c>
      <c r="G65" s="2596" t="s">
        <v>2563</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2" t="s">
        <v>2303</v>
      </c>
      <c r="C1" s="3796" t="s">
        <v>2304</v>
      </c>
      <c r="D1" s="3797"/>
      <c r="E1" s="3797"/>
      <c r="F1" s="3797"/>
      <c r="G1" s="3797"/>
      <c r="H1" s="3797"/>
      <c r="I1" s="3797"/>
      <c r="J1" s="3797"/>
      <c r="K1" s="3797"/>
      <c r="L1" s="3797"/>
      <c r="M1" s="3797"/>
      <c r="N1" s="3797"/>
      <c r="O1" s="3797"/>
      <c r="P1" s="3797"/>
      <c r="Q1" s="3797"/>
      <c r="R1" s="3797"/>
      <c r="S1" s="3798"/>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8"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90" t="s">
        <v>2926</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90" t="s">
        <v>2925</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8"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8"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8"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793" t="s">
        <v>20</v>
      </c>
      <c r="D22" s="3794"/>
      <c r="E22" s="3794"/>
      <c r="F22" s="3794"/>
      <c r="G22" s="3794"/>
      <c r="H22" s="3794"/>
      <c r="I22" s="3794"/>
      <c r="J22" s="3794"/>
      <c r="K22" s="3794"/>
      <c r="L22" s="3794"/>
      <c r="M22" s="3794"/>
      <c r="N22" s="3794"/>
      <c r="O22" s="3794"/>
      <c r="P22" s="3794"/>
      <c r="Q22" s="3795"/>
      <c r="R22" s="489"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43346</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1.5</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9" t="s">
        <v>2038</v>
      </c>
      <c r="B1" s="3479"/>
      <c r="C1" s="3479"/>
      <c r="D1" s="3479"/>
      <c r="E1" s="3479"/>
      <c r="F1" s="3479"/>
      <c r="G1" s="3479"/>
      <c r="H1" s="3479"/>
      <c r="I1" s="3479"/>
      <c r="J1" s="3479"/>
      <c r="K1" s="3479"/>
      <c r="L1" s="3479"/>
      <c r="M1" s="3479"/>
      <c r="N1" s="3479"/>
      <c r="O1" s="3479"/>
      <c r="P1" s="3479"/>
      <c r="Q1" s="3479"/>
      <c r="R1" s="3479"/>
    </row>
    <row r="2" spans="1:18">
      <c r="A2" s="1805" t="s">
        <v>2040</v>
      </c>
      <c r="B2" s="1805"/>
      <c r="C2" s="1805"/>
      <c r="D2" s="1805"/>
      <c r="E2" s="1805"/>
      <c r="F2" s="1805"/>
      <c r="G2" s="1805"/>
      <c r="H2" s="1805"/>
      <c r="I2" s="1806"/>
      <c r="J2" s="1806"/>
      <c r="K2" s="1807" t="str">
        <f>"估价期日："&amp;TEXT(项目基本情况!D3,"yyyy年m月d日;;")</f>
        <v>估价期日：2018年9月3日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480" t="s">
        <v>2029</v>
      </c>
      <c r="B3" s="3480" t="s">
        <v>2730</v>
      </c>
      <c r="C3" s="3481" t="s">
        <v>2030</v>
      </c>
      <c r="D3" s="3480" t="s">
        <v>2734</v>
      </c>
      <c r="E3" s="3475" t="s">
        <v>2031</v>
      </c>
      <c r="F3" s="3475"/>
      <c r="G3" s="3475"/>
      <c r="H3" s="3475" t="s">
        <v>2032</v>
      </c>
      <c r="I3" s="3475"/>
      <c r="J3" s="3475"/>
      <c r="K3" s="3481" t="s">
        <v>2033</v>
      </c>
      <c r="L3" s="3481" t="s">
        <v>2034</v>
      </c>
      <c r="M3" s="3480" t="s">
        <v>2731</v>
      </c>
      <c r="N3" s="3482" t="str">
        <f>"（分摊）"&amp;项目基本情况!B16&amp;"国有建设用地使用权面积/㎡"</f>
        <v>（分摊）出让国有建设用地使用权面积/㎡</v>
      </c>
      <c r="O3" s="3480" t="s">
        <v>2063</v>
      </c>
      <c r="P3" s="3481" t="s">
        <v>2043</v>
      </c>
      <c r="Q3" s="3481" t="s">
        <v>2064</v>
      </c>
      <c r="R3" s="3481" t="s">
        <v>2035</v>
      </c>
    </row>
    <row r="4" spans="1:18" ht="36.75" customHeight="1">
      <c r="A4" s="3480"/>
      <c r="B4" s="3480"/>
      <c r="C4" s="3481"/>
      <c r="D4" s="3480"/>
      <c r="E4" s="2647" t="s">
        <v>2042</v>
      </c>
      <c r="F4" s="2647" t="s">
        <v>2743</v>
      </c>
      <c r="G4" s="2647" t="s">
        <v>2036</v>
      </c>
      <c r="H4" s="2647" t="s">
        <v>2037</v>
      </c>
      <c r="I4" s="2647" t="s">
        <v>2744</v>
      </c>
      <c r="J4" s="2647" t="s">
        <v>2036</v>
      </c>
      <c r="K4" s="3481"/>
      <c r="L4" s="3481"/>
      <c r="M4" s="3480"/>
      <c r="N4" s="3482"/>
      <c r="O4" s="3480"/>
      <c r="P4" s="3481"/>
      <c r="Q4" s="3481"/>
      <c r="R4" s="3481"/>
    </row>
    <row r="5" spans="1:18" ht="135" customHeight="1">
      <c r="A5" s="1941" t="s">
        <v>2654</v>
      </c>
      <c r="B5" s="2865" t="s">
        <v>2652</v>
      </c>
      <c r="C5" s="2646">
        <v>22</v>
      </c>
      <c r="D5" s="2645" t="s">
        <v>2653</v>
      </c>
      <c r="E5" s="1808" t="str">
        <f>项目基本情况!B12</f>
        <v>其他普通商品住房、批发零售</v>
      </c>
      <c r="F5" s="2645">
        <v>258</v>
      </c>
      <c r="G5" s="1808" t="str">
        <f>项目基本情况!B13</f>
        <v>其他普通商品住房、批发零售</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72846.2</v>
      </c>
      <c r="O5" s="1808">
        <f>项目基本情况!C21</f>
        <v>180792</v>
      </c>
      <c r="P5" s="1808">
        <f ca="1">结果表!E42</f>
        <v>10539</v>
      </c>
      <c r="Q5" s="1808">
        <f ca="1">结果表!D42</f>
        <v>4247</v>
      </c>
      <c r="R5" s="1809">
        <f ca="1">结果表!C42</f>
        <v>76775</v>
      </c>
    </row>
    <row r="6" spans="1:18">
      <c r="A6" s="3476" t="str">
        <f>IF(项目基本情况!B9="市场价格","——","抵押价格")</f>
        <v>抵押价格</v>
      </c>
      <c r="B6" s="3477"/>
      <c r="C6" s="3477"/>
      <c r="D6" s="3477"/>
      <c r="E6" s="3477"/>
      <c r="F6" s="3477"/>
      <c r="G6" s="3477"/>
      <c r="H6" s="3477"/>
      <c r="I6" s="3477"/>
      <c r="J6" s="3477"/>
      <c r="K6" s="3477"/>
      <c r="L6" s="3477"/>
      <c r="M6" s="3477"/>
      <c r="N6" s="3477"/>
      <c r="O6" s="3477"/>
      <c r="P6" s="3477"/>
      <c r="Q6" s="3478"/>
      <c r="R6" s="1810">
        <f ca="1">结果表!O39</f>
        <v>76775</v>
      </c>
    </row>
    <row r="7" spans="1:18">
      <c r="A7" s="3476" t="str">
        <f>IF(项目基本情况!B9="市场价格","——",IF(项目基本情况!E8="已注销及未注销","抵押担保权已注销时的抵押价格","——"))</f>
        <v>——</v>
      </c>
      <c r="B7" s="3477"/>
      <c r="C7" s="3477"/>
      <c r="D7" s="3477"/>
      <c r="E7" s="3477"/>
      <c r="F7" s="3477"/>
      <c r="G7" s="3477"/>
      <c r="H7" s="3477"/>
      <c r="I7" s="3477"/>
      <c r="J7" s="3477"/>
      <c r="K7" s="3477"/>
      <c r="L7" s="3477"/>
      <c r="M7" s="3477"/>
      <c r="N7" s="3477"/>
      <c r="O7" s="3477"/>
      <c r="P7" s="3477"/>
      <c r="Q7" s="3478"/>
      <c r="R7" s="1810" t="str">
        <f>结果表!O40</f>
        <v>——</v>
      </c>
    </row>
    <row r="8" spans="1:18">
      <c r="A8" s="3476">
        <f>IF(项目基本情况!B9="市场价格","——",项目基本情况!E9)</f>
        <v>0</v>
      </c>
      <c r="B8" s="3477"/>
      <c r="C8" s="3477"/>
      <c r="D8" s="3477"/>
      <c r="E8" s="3477"/>
      <c r="F8" s="3477"/>
      <c r="G8" s="3477"/>
      <c r="H8" s="3477"/>
      <c r="I8" s="3477"/>
      <c r="J8" s="3477"/>
      <c r="K8" s="3477"/>
      <c r="L8" s="3477"/>
      <c r="M8" s="3477"/>
      <c r="N8" s="3477"/>
      <c r="O8" s="3477"/>
      <c r="P8" s="3477"/>
      <c r="Q8" s="3478"/>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483" t="s">
        <v>2065</v>
      </c>
      <c r="B1" s="3483"/>
      <c r="C1" s="3483"/>
      <c r="D1" s="3483"/>
    </row>
    <row r="2" spans="1:4" ht="47.25" customHeight="1">
      <c r="A2" s="3487" t="str">
        <f>"1.权利限制："&amp;项目基本情况!L24&amp;"未设定租赁等其他他项权利。"</f>
        <v>1.权利限制：根据估价对象《不动产权证书》复印件、，截至估价期日，估价对象抵押权未见登记。未设定租赁等其他他项权利。</v>
      </c>
      <c r="B2" s="3487"/>
      <c r="C2" s="3487"/>
      <c r="D2" s="3487"/>
    </row>
    <row r="3" spans="1:4" ht="48" customHeight="1">
      <c r="A3" s="348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3"/>
      <c r="C3" s="3483"/>
      <c r="D3" s="3483"/>
    </row>
    <row r="4" spans="1:4" ht="36.75" customHeight="1">
      <c r="A4" s="3483" t="str">
        <f>"3.估价规划限制条件：详见"&amp;项目基本情况!E21&amp;"。"</f>
        <v>3.估价规划限制条件：详见《国有建设用地使用权出让合同》[]及附件、《北京市规划委员会关于同意XX项目的规划设计方案的规划意见复函》[]以及《建设工程规划许可证》[]。</v>
      </c>
      <c r="B4" s="3483"/>
      <c r="C4" s="3483"/>
      <c r="D4" s="3483"/>
    </row>
    <row r="5" spans="1:4">
      <c r="A5" s="3486" t="s">
        <v>2066</v>
      </c>
      <c r="B5" s="3486"/>
      <c r="C5" s="3486"/>
      <c r="D5" s="3486"/>
    </row>
    <row r="6" spans="1:4">
      <c r="A6" s="3483" t="s">
        <v>2044</v>
      </c>
      <c r="B6" s="3483"/>
      <c r="C6" s="3483"/>
      <c r="D6" s="3483"/>
    </row>
    <row r="7" spans="1:4" ht="33" customHeight="1">
      <c r="A7" s="3483" t="s">
        <v>2575</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5" t="str">
        <f>IF(项目基本情况!B8="抵押","（1）"&amp;CONCATENATE(项目基本情况!L24,项目基本情况!L25,项目基本情况!L26),"——")</f>
        <v>（1）根据估价对象《不动产权证书》复印件、，截至估价期日，估价对象抵押权未见登记。</v>
      </c>
      <c r="B11" s="3485"/>
      <c r="C11" s="3485"/>
      <c r="D11" s="3485"/>
    </row>
    <row r="12" spans="1:4" ht="168" customHeight="1">
      <c r="A12" s="3486" t="s">
        <v>2068</v>
      </c>
      <c r="B12" s="3486"/>
      <c r="C12" s="3486"/>
      <c r="D12" s="3486"/>
    </row>
    <row r="13" spans="1:4">
      <c r="A13" s="3484" t="s">
        <v>2745</v>
      </c>
      <c r="B13" s="3484"/>
      <c r="C13" s="3484"/>
      <c r="D13" s="3484"/>
    </row>
    <row r="14" spans="1:4">
      <c r="A14" s="3485" t="str">
        <f>IF(项目基本情况!B8="抵押","综上，"&amp;结果表!K47,"——")</f>
        <v>综上，本次评估不存在估价师知悉的法定优先受偿款</v>
      </c>
      <c r="B14" s="3485"/>
      <c r="C14" s="3485"/>
      <c r="D14" s="3485"/>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2701</v>
      </c>
      <c r="B17" s="3483"/>
      <c r="C17" s="3483"/>
      <c r="D17" s="3483"/>
    </row>
    <row r="18" spans="1:4">
      <c r="A18" s="3483" t="s">
        <v>2693</v>
      </c>
      <c r="B18" s="3483"/>
      <c r="C18" s="3483"/>
      <c r="D18" s="3483"/>
    </row>
    <row r="19" spans="1:4">
      <c r="A19" s="2866" t="s">
        <v>2694</v>
      </c>
      <c r="B19" s="2866" t="s">
        <v>2695</v>
      </c>
      <c r="C19" s="2866" t="s">
        <v>2696</v>
      </c>
      <c r="D19" s="2866" t="s">
        <v>2697</v>
      </c>
    </row>
    <row r="20" spans="1:4">
      <c r="A20" s="2866" t="str">
        <f>项目基本情况!B4</f>
        <v>王鹏</v>
      </c>
      <c r="B20" s="2866">
        <f ca="1">项目基本情况!C4</f>
        <v>2002110030</v>
      </c>
      <c r="C20" s="2868"/>
      <c r="D20" s="1798" t="s">
        <v>2702</v>
      </c>
    </row>
    <row r="21" spans="1:4">
      <c r="A21" s="2866" t="str">
        <f>项目基本情况!D4</f>
        <v>崔锴</v>
      </c>
      <c r="B21" s="2866">
        <f ca="1">项目基本情况!E4</f>
        <v>2010110070</v>
      </c>
      <c r="C21" s="2868"/>
      <c r="D21" s="1798" t="s">
        <v>2703</v>
      </c>
    </row>
    <row r="23" spans="1:4">
      <c r="A23" s="3483" t="s">
        <v>2698</v>
      </c>
      <c r="B23" s="3483"/>
      <c r="C23" s="3483"/>
      <c r="D23" s="3483"/>
    </row>
    <row r="24" spans="1:4">
      <c r="A24" s="2866" t="s">
        <v>2694</v>
      </c>
      <c r="B24" s="2866" t="s">
        <v>2699</v>
      </c>
      <c r="C24" s="2866" t="s">
        <v>2696</v>
      </c>
      <c r="D24" s="2866" t="s">
        <v>2697</v>
      </c>
    </row>
    <row r="25" spans="1:4">
      <c r="A25" s="2869" t="s">
        <v>2700</v>
      </c>
      <c r="B25" s="2866" t="s">
        <v>952</v>
      </c>
      <c r="C25" s="2868"/>
      <c r="D25" s="1798" t="s">
        <v>2703</v>
      </c>
    </row>
    <row r="29" spans="1:4">
      <c r="D29" s="2867" t="s">
        <v>2039</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495" t="s">
        <v>53</v>
      </c>
      <c r="B15" s="3496" t="s">
        <v>846</v>
      </c>
      <c r="C15" s="3492"/>
    </row>
    <row r="16" spans="1:7" ht="14.25">
      <c r="A16" s="3495"/>
      <c r="B16" s="3493" t="s">
        <v>54</v>
      </c>
      <c r="C16" s="1170" t="s">
        <v>53</v>
      </c>
    </row>
    <row r="17" spans="1:3" ht="14.25">
      <c r="A17" s="3495"/>
      <c r="B17" s="3493"/>
      <c r="C17" s="1170" t="s">
        <v>55</v>
      </c>
    </row>
    <row r="18" spans="1:3" ht="14.25">
      <c r="A18" s="3495"/>
      <c r="B18" s="3493"/>
      <c r="C18" s="1170" t="s">
        <v>56</v>
      </c>
    </row>
    <row r="19" spans="1:3" ht="14.25">
      <c r="A19" s="3495"/>
      <c r="B19" s="3491" t="s">
        <v>57</v>
      </c>
      <c r="C19" s="3492"/>
    </row>
    <row r="20" spans="1:3" ht="14.25">
      <c r="A20" s="1171" t="s">
        <v>58</v>
      </c>
      <c r="B20" s="1172"/>
      <c r="C20" s="1173"/>
    </row>
    <row r="21" spans="1:3" ht="14.25">
      <c r="A21" s="3494" t="s">
        <v>59</v>
      </c>
      <c r="B21" s="3491" t="s">
        <v>60</v>
      </c>
      <c r="C21" s="3492"/>
    </row>
    <row r="22" spans="1:3" ht="14.25">
      <c r="A22" s="3494"/>
      <c r="B22" s="3491" t="s">
        <v>61</v>
      </c>
      <c r="C22" s="3492"/>
    </row>
    <row r="23" spans="1:3" ht="14.25">
      <c r="A23" s="3494"/>
      <c r="B23" s="3491" t="s">
        <v>62</v>
      </c>
      <c r="C23" s="3492"/>
    </row>
    <row r="24" spans="1:3" ht="14.25">
      <c r="A24" s="3494"/>
      <c r="B24" s="3497" t="s">
        <v>63</v>
      </c>
      <c r="C24" s="1174" t="s">
        <v>837</v>
      </c>
    </row>
    <row r="25" spans="1:3" ht="14.25">
      <c r="A25" s="3494"/>
      <c r="B25" s="3498"/>
      <c r="C25" s="1174" t="s">
        <v>838</v>
      </c>
    </row>
    <row r="26" spans="1:3" ht="14.25">
      <c r="A26" s="3494"/>
      <c r="B26" s="3498"/>
      <c r="C26" s="1174" t="s">
        <v>839</v>
      </c>
    </row>
    <row r="27" spans="1:3" ht="14.25">
      <c r="A27" s="3494"/>
      <c r="B27" s="3498"/>
      <c r="C27" s="1174" t="s">
        <v>840</v>
      </c>
    </row>
    <row r="28" spans="1:3" ht="14.25">
      <c r="A28" s="3494"/>
      <c r="B28" s="3498"/>
      <c r="C28" s="1174" t="s">
        <v>841</v>
      </c>
    </row>
    <row r="29" spans="1:3" ht="14.25">
      <c r="A29" s="3494"/>
      <c r="B29" s="3498"/>
      <c r="C29" s="1174" t="s">
        <v>842</v>
      </c>
    </row>
    <row r="30" spans="1:3" ht="14.25">
      <c r="A30" s="3494"/>
      <c r="B30" s="3498"/>
      <c r="C30" s="1174" t="s">
        <v>843</v>
      </c>
    </row>
    <row r="31" spans="1:3" ht="14.25">
      <c r="A31" s="3494"/>
      <c r="B31" s="3498"/>
      <c r="C31" s="1174" t="s">
        <v>844</v>
      </c>
    </row>
    <row r="32" spans="1:3" ht="14.25">
      <c r="A32" s="3494"/>
      <c r="B32" s="3498"/>
      <c r="C32" s="1174" t="s">
        <v>1647</v>
      </c>
    </row>
    <row r="33" spans="1:3" ht="14.25">
      <c r="A33" s="3494"/>
      <c r="B33" s="3488" t="s">
        <v>1653</v>
      </c>
      <c r="C33" s="1174" t="s">
        <v>1648</v>
      </c>
    </row>
    <row r="34" spans="1:3" ht="14.25">
      <c r="A34" s="3494"/>
      <c r="B34" s="3489"/>
      <c r="C34" s="1179" t="s">
        <v>1649</v>
      </c>
    </row>
    <row r="35" spans="1:3" ht="14.25">
      <c r="A35" s="3494"/>
      <c r="B35" s="3489"/>
      <c r="C35" s="1180" t="s">
        <v>1650</v>
      </c>
    </row>
    <row r="36" spans="1:3" ht="14.25">
      <c r="A36" s="3494"/>
      <c r="B36" s="3489"/>
      <c r="C36" s="1180" t="s">
        <v>1651</v>
      </c>
    </row>
    <row r="37" spans="1:3" ht="14.25">
      <c r="A37" s="3494"/>
      <c r="B37" s="3490"/>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43349</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4">
        <v>43849</v>
      </c>
      <c r="D4" s="2341" t="s">
        <v>1915</v>
      </c>
      <c r="E4" s="2341">
        <f ca="1">IF(F4&lt;B2,"已过期",96010014)</f>
        <v>96010014</v>
      </c>
      <c r="F4" s="3005">
        <v>47118</v>
      </c>
    </row>
    <row r="5" spans="1:6" ht="20.25" customHeight="1">
      <c r="A5" s="2341" t="s">
        <v>1916</v>
      </c>
      <c r="B5" s="2341">
        <f ca="1">IF(C5&lt;B2,"已过期",1119970074)</f>
        <v>1119970074</v>
      </c>
      <c r="C5" s="3004">
        <v>43849</v>
      </c>
      <c r="D5" s="2341" t="s">
        <v>1916</v>
      </c>
      <c r="E5" s="2341">
        <f ca="1">IF(F5&lt;B2,"已过期",2002110027)</f>
        <v>2002110027</v>
      </c>
      <c r="F5" s="3005">
        <v>46752</v>
      </c>
    </row>
    <row r="6" spans="1:6" ht="20.25" customHeight="1">
      <c r="A6" s="2341" t="s">
        <v>1917</v>
      </c>
      <c r="B6" s="2341">
        <f ca="1">IF(C6&lt;B2,"已过期",1119970111)</f>
        <v>1119970111</v>
      </c>
      <c r="C6" s="3004">
        <v>43849</v>
      </c>
      <c r="D6" s="2341" t="s">
        <v>1917</v>
      </c>
      <c r="E6" s="2341">
        <f ca="1">IF(F6&lt;B2,"已过期",94010078)</f>
        <v>94010078</v>
      </c>
      <c r="F6" s="3005">
        <v>46387</v>
      </c>
    </row>
    <row r="7" spans="1:6" ht="20.25" customHeight="1">
      <c r="A7" s="2341" t="s">
        <v>1918</v>
      </c>
      <c r="B7" s="2341">
        <f ca="1">IF(C7&lt;B2,"已过期",1120050019)</f>
        <v>1120050019</v>
      </c>
      <c r="C7" s="3004">
        <v>44395</v>
      </c>
      <c r="D7" s="2341" t="s">
        <v>1918</v>
      </c>
      <c r="E7" s="2341">
        <f ca="1">IF(F7&lt;B2,"已过期",2002110030)</f>
        <v>2002110030</v>
      </c>
      <c r="F7" s="3005">
        <v>46387</v>
      </c>
    </row>
    <row r="8" spans="1:6" ht="20.25" customHeight="1">
      <c r="A8" s="2341" t="s">
        <v>1919</v>
      </c>
      <c r="B8" s="2341">
        <f ca="1">IF(C8&lt;B2,"已过期",1120000080)</f>
        <v>1120000080</v>
      </c>
      <c r="C8" s="3004">
        <v>43849</v>
      </c>
      <c r="D8" s="2341" t="s">
        <v>1919</v>
      </c>
      <c r="E8" s="2341">
        <f ca="1">IF(F8&lt;B2,"已过期",2000110082)</f>
        <v>2000110082</v>
      </c>
      <c r="F8" s="3005">
        <v>46387</v>
      </c>
    </row>
    <row r="9" spans="1:6" ht="20.25" customHeight="1">
      <c r="A9" s="2341" t="s">
        <v>1920</v>
      </c>
      <c r="B9" s="2341">
        <f ca="1">IF(C9&lt;B2,"已过期",1419970001)</f>
        <v>1419970001</v>
      </c>
      <c r="C9" s="3004">
        <v>43867</v>
      </c>
      <c r="D9" s="2341" t="s">
        <v>1920</v>
      </c>
      <c r="E9" s="2341">
        <f ca="1">IF(F9&lt;B2,"已过期",2002110125)</f>
        <v>2002110125</v>
      </c>
      <c r="F9" s="3005">
        <v>47118</v>
      </c>
    </row>
    <row r="10" spans="1:6" ht="20.25" customHeight="1">
      <c r="A10" s="2341" t="s">
        <v>1921</v>
      </c>
      <c r="B10" s="2341">
        <f ca="1">IF(C10&lt;B2,"已过期",1120060040)</f>
        <v>1120060040</v>
      </c>
      <c r="C10" s="3004">
        <v>43483</v>
      </c>
      <c r="D10" s="2341" t="s">
        <v>1921</v>
      </c>
      <c r="E10" s="2341">
        <f ca="1">IF(F10&lt;B2,"已过期",2004110096)</f>
        <v>2004110096</v>
      </c>
      <c r="F10" s="3005">
        <v>47118</v>
      </c>
    </row>
    <row r="11" spans="1:6" ht="20.25" customHeight="1">
      <c r="A11" s="2341" t="s">
        <v>1922</v>
      </c>
      <c r="B11" s="2341">
        <f ca="1">IF(C11&lt;B2,"已过期",1120100036)</f>
        <v>1120100036</v>
      </c>
      <c r="C11" s="3004">
        <v>43622</v>
      </c>
      <c r="D11" s="2341" t="s">
        <v>1922</v>
      </c>
      <c r="E11" s="2341">
        <f ca="1">IF(F11&lt;B2,"已过期",2010110070)</f>
        <v>2010110070</v>
      </c>
      <c r="F11" s="3005">
        <v>47907</v>
      </c>
    </row>
    <row r="12" spans="1:6" ht="20.25" customHeight="1">
      <c r="A12" s="2341" t="s">
        <v>2978</v>
      </c>
      <c r="B12" s="2341">
        <v>1120110054</v>
      </c>
      <c r="C12" s="3004">
        <v>43937</v>
      </c>
      <c r="D12" s="2341" t="s">
        <v>2978</v>
      </c>
      <c r="E12" s="2341">
        <v>2008110060</v>
      </c>
      <c r="F12" s="3005">
        <v>47177</v>
      </c>
    </row>
    <row r="13" spans="1:6" ht="20.25" customHeight="1">
      <c r="A13" s="2341" t="s">
        <v>1923</v>
      </c>
      <c r="B13" s="2341">
        <f ca="1">IF(C13&lt;B2,"已过期",1120070131)</f>
        <v>1120070131</v>
      </c>
      <c r="C13" s="3004">
        <v>43814</v>
      </c>
      <c r="D13" s="2341" t="s">
        <v>1923</v>
      </c>
      <c r="E13" s="2341">
        <v>2014110011</v>
      </c>
      <c r="F13" s="3005">
        <v>49302</v>
      </c>
    </row>
    <row r="14" spans="1:6" ht="20.25" customHeight="1">
      <c r="A14" s="2341" t="s">
        <v>1924</v>
      </c>
      <c r="B14" s="2341">
        <f ca="1">IF(C14&lt;B2,"已过期",1120130020)</f>
        <v>1120130020</v>
      </c>
      <c r="C14" s="3004">
        <v>43622</v>
      </c>
      <c r="D14" s="2341"/>
      <c r="E14" s="2341"/>
      <c r="F14" s="2341"/>
    </row>
    <row r="15" spans="1:6" ht="20.25" customHeight="1">
      <c r="A15" s="2341" t="s">
        <v>2574</v>
      </c>
      <c r="B15" s="2341">
        <v>1120070085</v>
      </c>
      <c r="C15" s="3004">
        <v>43814</v>
      </c>
      <c r="D15" s="2341" t="s">
        <v>2574</v>
      </c>
      <c r="E15" s="2341">
        <v>2004110128</v>
      </c>
      <c r="F15" s="3005">
        <v>47118</v>
      </c>
    </row>
    <row r="16" spans="1:6" ht="20.25" customHeight="1">
      <c r="A16" s="2341" t="s">
        <v>1925</v>
      </c>
      <c r="B16" s="2341">
        <f ca="1">IF(C16&lt;B2,"已过期",1120140022)</f>
        <v>1120140022</v>
      </c>
      <c r="C16" s="3004">
        <v>44029</v>
      </c>
      <c r="D16" s="2341" t="s">
        <v>1925</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1926</v>
      </c>
      <c r="E21" s="2341">
        <f ca="1">IF(F21&lt;B2,"已过期",2011110090)</f>
        <v>2011110090</v>
      </c>
      <c r="F21" s="3005">
        <v>48302</v>
      </c>
    </row>
    <row r="22" spans="1:7" ht="20.25" customHeight="1">
      <c r="A22" s="2341" t="s">
        <v>1927</v>
      </c>
      <c r="B22" s="2341">
        <f ca="1">IF(C22&lt;B2,"已过期",1120020033)</f>
        <v>1120020033</v>
      </c>
      <c r="C22" s="3004">
        <v>44339</v>
      </c>
      <c r="D22" s="2341" t="s">
        <v>1927</v>
      </c>
      <c r="E22" s="2341">
        <f ca="1">IF(F22&lt;B2,"已过期",2000110137)</f>
        <v>2000110137</v>
      </c>
      <c r="F22" s="3005">
        <v>46387</v>
      </c>
    </row>
    <row r="23" spans="1:7" ht="20.25" customHeight="1">
      <c r="A23" s="2341" t="s">
        <v>1928</v>
      </c>
      <c r="B23" s="2341">
        <f ca="1">IF(C23&lt;B2,"已过期",1120130048)</f>
        <v>1120130048</v>
      </c>
      <c r="C23" s="3004">
        <v>43686</v>
      </c>
      <c r="D23" s="2341"/>
      <c r="E23" s="2341"/>
      <c r="F23" s="2341"/>
    </row>
    <row r="24" spans="1:7" s="2345" customFormat="1" ht="20.25" customHeight="1">
      <c r="A24" s="2343" t="s">
        <v>2053</v>
      </c>
      <c r="B24" s="2343" t="s">
        <v>2053</v>
      </c>
      <c r="C24" s="3004"/>
      <c r="D24" s="3006" t="s">
        <v>2053</v>
      </c>
      <c r="E24" s="2343" t="s">
        <v>2053</v>
      </c>
      <c r="F24" s="2344"/>
    </row>
    <row r="25" spans="1:7" ht="20.25" customHeight="1">
      <c r="A25" s="3499" t="s">
        <v>1929</v>
      </c>
      <c r="B25" s="3499"/>
      <c r="C25" s="3499"/>
      <c r="D25" s="3499"/>
      <c r="E25" s="3499"/>
      <c r="F25" s="3499"/>
      <c r="G25" s="3499"/>
    </row>
    <row r="26" spans="1:7" ht="20.25" customHeight="1">
      <c r="A26" s="3500" t="s">
        <v>1930</v>
      </c>
      <c r="B26" s="3500"/>
      <c r="C26" s="3500"/>
      <c r="D26" s="3500" t="s">
        <v>1931</v>
      </c>
      <c r="E26" s="3500"/>
      <c r="F26" s="3500"/>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2545</v>
      </c>
      <c r="R1" s="2580" t="s">
        <v>2539</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8"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11" t="s">
        <v>2956</v>
      </c>
      <c r="C18" s="1551"/>
    </row>
    <row r="19" spans="1:3">
      <c r="A19" s="8" t="s">
        <v>120</v>
      </c>
      <c r="B19" s="3111" t="s">
        <v>2964</v>
      </c>
      <c r="C19" s="1551"/>
    </row>
    <row r="20" spans="1:3">
      <c r="A20" s="8" t="s">
        <v>121</v>
      </c>
      <c r="B20" s="8" t="s">
        <v>1642</v>
      </c>
      <c r="C20" s="1551"/>
    </row>
    <row r="21" spans="1:3">
      <c r="A21" s="8" t="s">
        <v>122</v>
      </c>
      <c r="B21" s="3111" t="s">
        <v>3190</v>
      </c>
      <c r="C21" s="1551"/>
    </row>
    <row r="22" spans="1:3">
      <c r="A22" s="8" t="s">
        <v>123</v>
      </c>
      <c r="B22" s="3111" t="s">
        <v>3191</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501"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c r="D53" s="1765"/>
      <c r="E53" s="1765"/>
    </row>
    <row r="54" spans="1:5">
      <c r="A54" s="3501"/>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01"/>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01"/>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01"/>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建设投资估算</vt:lpstr>
      <vt:lpstr>估价对象房地状况</vt:lpstr>
      <vt:lpstr>系统读取表</vt:lpstr>
      <vt:lpstr>结果表</vt:lpstr>
      <vt:lpstr>剩余法-现房</vt:lpstr>
      <vt:lpstr>比较法-住宅、综合</vt:lpstr>
      <vt:lpstr>土地案例1</vt:lpstr>
      <vt:lpstr>土地案例2</vt:lpstr>
      <vt:lpstr>案例位置</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经营收入及税金</vt:lpstr>
      <vt:lpstr>不动产比较法-住宅（高层）</vt:lpstr>
      <vt:lpstr>不动产比较法-住宅（联排）</vt:lpstr>
      <vt:lpstr>世茂公园美地已成交数据</vt:lpstr>
      <vt:lpstr>不动产收益法（商业）</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建设投资估算!Print_Area</vt:lpstr>
      <vt:lpstr>经营收入及税金!Print_Area</vt:lpstr>
      <vt:lpstr>经营收入及税金!Print_Titles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'不动产比较法-住宅（联排）'!住宅朝向</vt:lpstr>
      <vt:lpstr>住宅朝向</vt:lpstr>
      <vt:lpstr>'不动产比较法-住宅（联排）'!住宅房型</vt:lpstr>
      <vt:lpstr>住宅房型</vt:lpstr>
      <vt:lpstr>'不动产比较法-住宅（联排）'!住宅公共部分装修</vt:lpstr>
      <vt:lpstr>住宅公共部分装修</vt:lpstr>
      <vt:lpstr>'不动产比较法-住宅（联排）'!住宅基础设施水平</vt:lpstr>
      <vt:lpstr>住宅基础设施水平</vt:lpstr>
      <vt:lpstr>'不动产比较法-住宅（联排）'!住宅建筑结构</vt:lpstr>
      <vt:lpstr>住宅建筑结构</vt:lpstr>
      <vt:lpstr>'不动产比较法-住宅（联排）'!住宅建筑类型</vt:lpstr>
      <vt:lpstr>住宅建筑类型</vt:lpstr>
      <vt:lpstr>'不动产比较法-住宅（联排）'!住宅建筑品质</vt:lpstr>
      <vt:lpstr>住宅建筑品质</vt:lpstr>
      <vt:lpstr>'不动产比较法-住宅（联排）'!住宅交易情况</vt:lpstr>
      <vt:lpstr>住宅交易情况</vt:lpstr>
      <vt:lpstr>'不动产比较法-住宅（联排）'!住宅楼层</vt:lpstr>
      <vt:lpstr>住宅楼层</vt:lpstr>
      <vt:lpstr>'不动产比较法-住宅（联排）'!住宅内部装修</vt:lpstr>
      <vt:lpstr>住宅内部装修</vt:lpstr>
      <vt:lpstr>'不动产比较法-住宅（联排）'!住宅物业管理</vt:lpstr>
      <vt:lpstr>住宅物业管理</vt:lpstr>
      <vt:lpstr>'不动产比较法-住宅（联排）'!住宅用途</vt:lpstr>
      <vt:lpstr>住宅用途</vt:lpstr>
      <vt:lpstr>'不动产比较法-住宅（联排）'!住宅主力户型面积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2018-09-06T07:28:21Z</dcterms:modified>
</cp:coreProperties>
</file>