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2" i="59" l="1"/>
  <c r="D29" i="43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B12" i="67" l="1"/>
  <c r="S12" i="67" s="1"/>
  <c r="F12" i="67"/>
  <c r="V12" i="67" s="1"/>
  <c r="E12" i="67"/>
  <c r="U12" i="67" s="1"/>
  <c r="C12" i="67"/>
  <c r="T12" i="67" s="1"/>
  <c r="C11" i="67" l="1"/>
  <c r="C10" i="67" s="1"/>
  <c r="D10" i="67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3" i="66"/>
  <c r="Y62" i="66" s="1"/>
  <c r="A70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G2" i="66" s="1"/>
  <c r="N20" i="43" s="1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17" i="66" l="1"/>
  <c r="L2" i="66" s="1"/>
  <c r="L18" i="66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H5" i="65"/>
  <c r="E8" i="65"/>
  <c r="E7" i="65"/>
  <c r="D5" i="65"/>
  <c r="G5" i="65"/>
  <c r="D4" i="65"/>
  <c r="G6" i="65"/>
  <c r="E4" i="65"/>
  <c r="E5" i="65"/>
  <c r="H7" i="65"/>
  <c r="D8" i="65"/>
  <c r="H8" i="65"/>
  <c r="H6" i="65"/>
  <c r="E6" i="65"/>
  <c r="G7" i="65"/>
  <c r="G4" i="65"/>
  <c r="D6" i="65"/>
  <c r="D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G2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F70" i="43"/>
  <c r="H72" i="43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W21" i="39"/>
  <c r="AB19" i="39"/>
  <c r="U17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M5" i="43"/>
  <c r="M9" i="43"/>
  <c r="C6" i="43" s="1"/>
  <c r="N4" i="43"/>
  <c r="N8" i="43"/>
  <c r="F48" i="43" s="1"/>
  <c r="N12" i="43"/>
  <c r="H14" i="44"/>
  <c r="H13" i="44"/>
  <c r="H16" i="44"/>
  <c r="H11" i="44"/>
  <c r="H76" i="43"/>
  <c r="H75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S27" i="39"/>
  <c r="W27" i="39"/>
  <c r="AC17" i="39"/>
  <c r="U42" i="39"/>
  <c r="AC31" i="39"/>
  <c r="AB25" i="39" l="1"/>
  <c r="H70" i="43"/>
  <c r="H71" i="43"/>
  <c r="H78" i="43"/>
  <c r="H74" i="43"/>
  <c r="AC15" i="39"/>
  <c r="S23" i="39"/>
  <c r="W35" i="39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C36" i="43"/>
  <c r="G36" i="43" s="1"/>
  <c r="C34" i="43"/>
  <c r="G34" i="43" s="1"/>
  <c r="C37" i="43"/>
  <c r="C39" i="43"/>
  <c r="C38" i="43"/>
  <c r="I34" i="43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9" i="43" l="1"/>
  <c r="G39" i="43"/>
  <c r="E38" i="43"/>
  <c r="G38" i="43"/>
  <c r="E37" i="43"/>
  <c r="G37" i="43"/>
  <c r="I37" i="43" s="1"/>
  <c r="C30" i="43"/>
  <c r="F7" i="59" s="1"/>
  <c r="E34" i="43"/>
  <c r="I35" i="43"/>
  <c r="G33" i="43"/>
  <c r="I33" i="43" s="1"/>
  <c r="I38" i="43"/>
  <c r="E29" i="43"/>
  <c r="C26" i="43" s="1"/>
  <c r="B2" i="43" s="1"/>
  <c r="I39" i="43"/>
  <c r="I36" i="43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<sst xmlns="http://schemas.openxmlformats.org/spreadsheetml/2006/main" count="3942" uniqueCount="1779">
  <si>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</si>
  <si>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</si>
  <si>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</si>
  <si>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</si>
  <si>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</si>
  <si>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</si>
  <si>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</si>
  <si>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</si>
  <si>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</si>
  <si>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</si>
  <si>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</si>
  <si>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</si>
  <si>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</si>
  <si>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</si>
  <si>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</si>
  <si>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</si>
  <si>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</si>
  <si>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</si>
  <si>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</si>
  <si>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</si>
  <si>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</si>
  <si>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</si>
  <si>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</si>
  <si>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</si>
  <si>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</si>
  <si>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</si>
  <si>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</si>
  <si>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</si>
  <si>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</si>
  <si>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</si>
  <si>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</si>
  <si>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</si>
  <si>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</si>
  <si>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</si>
  <si>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</si>
  <si>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</si>
  <si>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</si>
  <si>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</si>
  <si>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</si>
  <si>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</si>
  <si>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</si>
  <si>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</si>
  <si>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</si>
  <si>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</si>
  <si>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</si>
  <si>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</si>
  <si>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</si>
  <si>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</si>
  <si>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</si>
  <si>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</si>
  <si>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</si>
  <si>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</si>
  <si>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</si>
  <si>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</si>
  <si>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</si>
  <si>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</si>
  <si>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</si>
  <si>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</si>
  <si>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</si>
  <si>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</si>
  <si>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</si>
  <si>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</si>
  <si>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</si>
  <si>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</si>
  <si>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</si>
  <si>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</si>
  <si>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</si>
  <si>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</si>
  <si>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</si>
  <si>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</si>
  <si>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</si>
  <si>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</si>
  <si>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</si>
  <si>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</si>
  <si>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</si>
  <si>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</si>
  <si>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</si>
  <si>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</si>
  <si>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</si>
  <si>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</si>
  <si>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</si>
  <si>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</si>
  <si>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</si>
  <si>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</si>
  <si>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</si>
  <si>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</si>
  <si>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</si>
  <si>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</si>
  <si>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</si>
  <si>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</si>
  <si>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</si>
  <si>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</si>
  <si>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</si>
  <si>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</si>
  <si>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</si>
  <si>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</si>
  <si>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</si>
  <si>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</si>
  <si>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</si>
  <si>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</si>
  <si>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</si>
  <si>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</si>
  <si>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</si>
  <si>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</si>
  <si>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</si>
  <si>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</si>
  <si>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</si>
  <si>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</si>
  <si>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</si>
  <si>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</si>
  <si>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</si>
  <si>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</si>
  <si>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</si>
  <si>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</si>
  <si>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</si>
  <si>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</si>
  <si>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</si>
  <si>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</si>
  <si>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</si>
  <si>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</si>
  <si>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</si>
  <si>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</si>
  <si>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</si>
  <si>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</si>
  <si>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</si>
  <si>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</si>
  <si>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</si>
  <si>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</si>
  <si>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</si>
  <si>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</si>
  <si>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</si>
  <si>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</si>
  <si>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</si>
  <si>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</si>
  <si>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</si>
  <si>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</si>
  <si>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</si>
  <si>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</si>
  <si>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</si>
  <si>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</si>
  <si>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</si>
  <si>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</si>
  <si>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</si>
  <si>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</si>
  <si>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</si>
  <si>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</si>
  <si>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</si>
  <si>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</si>
  <si>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</si>
  <si>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</si>
  <si>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</si>
  <si>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</si>
  <si>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</si>
  <si>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</si>
  <si>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</si>
  <si>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</si>
  <si>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</si>
  <si>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</si>
  <si>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</si>
  <si>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</si>
  <si>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</si>
  <si>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</si>
  <si>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</si>
  <si>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</si>
  <si>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</si>
  <si>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</si>
  <si>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</si>
  <si>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</si>
  <si>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</si>
  <si>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</si>
  <si>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</si>
  <si>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</si>
  <si>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</si>
  <si>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</si>
  <si>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</si>
  <si>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</si>
  <si>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</si>
  <si>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</si>
  <si>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</si>
  <si>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</si>
  <si>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</si>
  <si>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</si>
  <si>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</si>
  <si>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</si>
  <si>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</si>
  <si>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</si>
  <si>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</si>
  <si>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</si>
  <si>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</si>
  <si>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</si>
  <si>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</si>
  <si>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</si>
  <si>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</si>
  <si>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</si>
  <si>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</si>
  <si>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</si>
  <si>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</si>
  <si>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</si>
  <si>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</si>
  <si>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</si>
  <si>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</si>
  <si>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</si>
  <si>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</si>
  <si>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</si>
  <si>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</si>
  <si>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</si>
  <si>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</si>
  <si>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</si>
  <si>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</si>
  <si>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</si>
  <si>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</si>
  <si>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</si>
  <si>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</si>
  <si>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</si>
  <si>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</si>
  <si>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</si>
  <si>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</si>
  <si>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</si>
  <si>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</si>
  <si>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</si>
  <si>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</si>
  <si>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</si>
  <si>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</si>
  <si>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</si>
  <si>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</si>
  <si>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</si>
  <si>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</si>
  <si>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</si>
  <si>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</si>
  <si>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</si>
  <si>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</si>
  <si>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</si>
  <si>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</si>
  <si>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</si>
  <si>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</si>
  <si>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</si>
  <si>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</si>
  <si>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</si>
  <si>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</si>
  <si>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</si>
  <si>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</si>
  <si>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</si>
  <si>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</si>
  <si>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</si>
  <si>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</si>
  <si>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</si>
  <si>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</si>
  <si>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</si>
  <si>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</si>
  <si>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</si>
  <si>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</si>
  <si>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</si>
  <si>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</si>
  <si>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</si>
  <si>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</si>
  <si>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</si>
  <si>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</si>
  <si>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</si>
  <si>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</si>
  <si>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</si>
  <si>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</si>
  <si>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</si>
  <si>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</si>
  <si>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</si>
  <si>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</si>
  <si>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</si>
  <si>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</si>
  <si>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</si>
  <si>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</si>
  <si>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</si>
  <si>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</si>
  <si>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</si>
  <si>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</si>
  <si>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</si>
  <si>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</si>
  <si>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</si>
  <si>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</si>
  <si>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</si>
  <si>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</si>
  <si>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</si>
  <si>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</si>
  <si>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</si>
  <si>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</si>
  <si>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</si>
  <si>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</si>
  <si>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</si>
  <si>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</si>
  <si>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</si>
  <si>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</si>
  <si>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</si>
  <si>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</si>
  <si>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</si>
  <si>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</si>
  <si>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</si>
  <si>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</si>
  <si>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</si>
  <si>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</si>
  <si>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</si>
  <si>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</si>
  <si>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</si>
  <si>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</si>
  <si>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</si>
  <si>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</si>
  <si>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</si>
  <si>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</si>
  <si>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</si>
  <si>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</si>
  <si>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</si>
  <si>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</si>
  <si>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</si>
  <si>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</si>
  <si>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</si>
  <si>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</si>
  <si>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</si>
  <si>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</si>
  <si>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</si>
  <si>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</si>
  <si>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</si>
  <si>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</si>
  <si>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</si>
  <si>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</si>
  <si>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</si>
  <si>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</si>
  <si>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</si>
  <si>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</si>
  <si>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</si>
  <si>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</si>
  <si>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</si>
  <si>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</si>
  <si>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</si>
  <si>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</si>
  <si>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</si>
  <si>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</si>
  <si>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</si>
  <si>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</si>
  <si>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</si>
  <si>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</si>
  <si>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</si>
  <si>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</si>
  <si>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</si>
  <si>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</si>
  <si>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</si>
  <si>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</si>
  <si>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</si>
  <si>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</si>
  <si>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</si>
  <si>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</si>
  <si>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</si>
  <si>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</si>
  <si>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</si>
  <si>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</si>
  <si>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</si>
  <si>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</si>
  <si>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</si>
  <si>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</si>
  <si>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</si>
  <si>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</si>
  <si>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</si>
  <si>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</si>
  <si>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</si>
  <si>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</si>
  <si>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</si>
  <si>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</si>
  <si>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</si>
  <si>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</si>
  <si>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</si>
  <si>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</si>
  <si>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</si>
  <si>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</si>
  <si>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</si>
  <si>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</si>
  <si>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</si>
  <si>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</si>
  <si>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</si>
  <si>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</si>
  <si>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</si>
  <si>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</si>
  <si>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</si>
  <si>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</si>
  <si>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</si>
  <si>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</si>
  <si>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</si>
  <si>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</si>
  <si>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</si>
  <si>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</si>
  <si>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</si>
  <si>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</si>
  <si>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</si>
  <si>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</si>
  <si>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</si>
  <si>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</si>
  <si>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</si>
  <si>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</si>
  <si>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</si>
  <si>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</si>
  <si>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</si>
  <si>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</si>
  <si>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</si>
  <si>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</si>
  <si>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</si>
  <si>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</si>
  <si>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</si>
  <si>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</si>
  <si>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</si>
  <si>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</si>
  <si>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</si>
  <si>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</si>
  <si>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</si>
  <si>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</si>
  <si>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</si>
  <si>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</si>
  <si>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</si>
  <si>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</si>
  <si>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</si>
  <si>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</si>
  <si>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</si>
  <si>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</si>
  <si>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</si>
  <si>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</si>
  <si>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</si>
  <si>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</si>
  <si>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</si>
  <si>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</si>
  <si>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</si>
  <si>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</si>
  <si>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</si>
  <si>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</si>
  <si>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</si>
  <si>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</si>
  <si>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</si>
  <si>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</si>
  <si>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</si>
  <si>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</si>
  <si>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</si>
  <si>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</si>
  <si>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</si>
  <si>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</si>
  <si>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</si>
  <si>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</si>
  <si>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</si>
  <si>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</si>
  <si>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</si>
  <si>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</si>
  <si>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</si>
  <si>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</si>
  <si>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</si>
  <si>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</si>
  <si>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</si>
  <si>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</si>
  <si>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</si>
  <si>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</si>
  <si>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</si>
  <si>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</si>
  <si>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</si>
  <si>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</si>
  <si>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</si>
  <si>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</si>
  <si>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</si>
  <si>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</si>
  <si>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</si>
  <si>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</si>
  <si>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</si>
  <si>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</si>
  <si>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</si>
  <si>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</si>
  <si>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</si>
  <si>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</si>
  <si>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</si>
  <si>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</si>
  <si>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</si>
  <si>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</si>
  <si>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</si>
  <si>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</si>
  <si>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</si>
  <si>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</si>
  <si>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</si>
  <si>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</si>
  <si>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</si>
  <si>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</si>
  <si>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</si>
  <si>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</si>
  <si>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</si>
  <si>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</si>
  <si>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</si>
  <si>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</si>
  <si>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</si>
  <si>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</si>
  <si>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</si>
  <si>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</si>
  <si>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</si>
  <si>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</si>
  <si>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</si>
  <si>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</si>
  <si>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</si>
  <si>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</si>
  <si>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</si>
  <si>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</si>
  <si>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</si>
  <si>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</si>
  <si>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</si>
  <si>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</si>
  <si>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</si>
  <si>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</si>
  <si>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</si>
  <si>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</si>
  <si>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</si>
  <si>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</si>
  <si>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</si>
  <si>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</si>
  <si>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</si>
  <si>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</si>
  <si>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</si>
  <si>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</si>
  <si>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</si>
  <si>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</si>
  <si>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</si>
  <si>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</si>
  <si>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</si>
  <si>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</si>
  <si>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</si>
  <si>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</si>
  <si>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</si>
  <si>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</si>
  <si>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</si>
  <si>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</si>
  <si>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</si>
  <si>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</si>
  <si>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</si>
  <si>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</si>
  <si>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</si>
  <si>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</si>
  <si>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</si>
  <si>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</si>
  <si>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</si>
  <si>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</si>
  <si>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</si>
  <si>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</si>
  <si>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</si>
  <si>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</si>
  <si>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</si>
  <si>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</si>
  <si>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</si>
  <si>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</si>
  <si>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</si>
  <si>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</si>
  <si>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</si>
  <si>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</si>
  <si>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</si>
  <si>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</si>
  <si>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</si>
  <si>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</si>
  <si>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</si>
  <si>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</si>
  <si>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</si>
  <si>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</si>
  <si>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</si>
  <si>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</si>
  <si>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</si>
  <si>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</si>
  <si>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</si>
  <si>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</si>
  <si>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</si>
  <si>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</si>
  <si>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</si>
  <si>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</si>
  <si>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</si>
  <si>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</si>
  <si>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</si>
  <si>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</si>
  <si>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</si>
  <si>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</si>
  <si>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</si>
  <si>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</si>
  <si>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</si>
  <si>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</si>
  <si>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</si>
  <si>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</si>
  <si>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</si>
  <si>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</si>
  <si>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</si>
  <si>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</si>
  <si>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</si>
  <si>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</si>
  <si>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</si>
  <si>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</si>
  <si>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</si>
  <si>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</si>
  <si>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</si>
  <si>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</si>
  <si>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</si>
  <si>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</si>
  <si>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</si>
  <si>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</si>
  <si>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</si>
  <si>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</si>
  <si>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</si>
  <si>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</si>
  <si>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</si>
  <si>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</si>
  <si>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</si>
  <si>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</si>
  <si>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</si>
  <si>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</si>
  <si>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</si>
  <si>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</si>
  <si>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</si>
  <si>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</si>
  <si>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</si>
  <si>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</si>
  <si>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</si>
  <si>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</si>
  <si>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</si>
  <si>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</si>
  <si>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</si>
  <si>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</si>
  <si>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</si>
  <si>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</si>
  <si>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</si>
  <si>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</si>
  <si>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</si>
  <si>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</si>
  <si>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</si>
  <si>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</si>
  <si>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</si>
  <si>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</si>
  <si>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</si>
  <si>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</si>
  <si>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</si>
  <si>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</si>
  <si>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</si>
  <si>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</si>
  <si>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</si>
  <si>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</si>
  <si>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</si>
  <si>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</si>
  <si>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</si>
  <si>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</si>
  <si>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</si>
  <si>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</si>
  <si>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</si>
  <si>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</si>
  <si>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</si>
  <si>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</si>
  <si>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</si>
  <si>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</si>
  <si>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</si>
  <si>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</si>
  <si>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</si>
  <si>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</si>
  <si>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</si>
  <si>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</si>
  <si>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</si>
  <si>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</si>
  <si>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</si>
  <si>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</si>
  <si>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</si>
  <si>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</si>
  <si>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</si>
  <si>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</si>
  <si>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</si>
  <si>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</si>
  <si>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</si>
  <si>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</si>
  <si>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</si>
  <si>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</si>
  <si>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</si>
  <si>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</si>
  <si>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</si>
  <si>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</si>
  <si>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</si>
  <si>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</si>
  <si>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</si>
  <si>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</si>
  <si>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</si>
  <si>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</si>
  <si>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</si>
  <si>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</si>
  <si>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</si>
  <si>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</si>
  <si>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</si>
  <si>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</si>
  <si>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</si>
  <si>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</si>
  <si>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</si>
  <si>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</si>
  <si>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</si>
  <si>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</si>
  <si>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</si>
  <si>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</si>
  <si>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</si>
  <si>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</si>
  <si>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</si>
  <si>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</si>
  <si>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</si>
  <si>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</si>
  <si>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</si>
  <si>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</si>
  <si>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</si>
  <si>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</si>
  <si>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</si>
  <si>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</si>
  <si>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</si>
  <si>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</si>
  <si>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</si>
  <si>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</si>
  <si>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</si>
  <si>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</si>
  <si>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</si>
  <si>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</si>
  <si>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</si>
  <si>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</si>
  <si>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</si>
  <si>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</si>
  <si>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</si>
  <si>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</si>
  <si>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</si>
  <si>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</si>
  <si>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</si>
  <si>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</si>
  <si>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</si>
  <si>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</si>
  <si>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</si>
  <si>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</si>
  <si>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</si>
  <si>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</si>
  <si>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</si>
  <si>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</si>
  <si>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</si>
  <si>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</si>
  <si>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</si>
  <si>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</si>
  <si>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</si>
  <si>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</si>
  <si>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</si>
  <si>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</si>
  <si>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</si>
  <si>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</si>
  <si>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</si>
  <si>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</si>
  <si>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</si>
  <si>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</si>
  <si>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</si>
  <si>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</si>
  <si>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</si>
  <si>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</si>
  <si>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</si>
  <si>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</si>
  <si>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</si>
  <si>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</si>
  <si>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</si>
  <si>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</si>
  <si>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</si>
  <si>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</si>
  <si>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</si>
  <si>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</si>
  <si>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</si>
  <si>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</si>
  <si>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</si>
  <si>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</si>
  <si>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</si>
  <si>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</si>
  <si>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</si>
  <si>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</si>
  <si>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</si>
  <si>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</si>
  <si>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</si>
  <si>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</si>
  <si>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</si>
  <si>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</si>
  <si>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</si>
  <si>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</si>
  <si>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</si>
  <si>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</si>
  <si>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</si>
  <si>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</si>
  <si>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</si>
  <si>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</si>
  <si>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</si>
  <si>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</si>
  <si>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</si>
  <si>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</si>
  <si>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</si>
  <si>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</si>
  <si>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</si>
  <si>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</si>
  <si>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</si>
  <si>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</si>
  <si>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</si>
  <si>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</si>
  <si>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</si>
  <si>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</si>
  <si>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</si>
  <si>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</si>
  <si>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</si>
  <si>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</si>
  <si>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</si>
  <si>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</si>
  <si>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</si>
  <si>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</si>
  <si>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</si>
  <si>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</si>
  <si>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</si>
  <si>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</si>
  <si>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</si>
  <si>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</si>
  <si>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</si>
  <si>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</si>
  <si>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</si>
  <si>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</si>
  <si>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</si>
  <si>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</si>
  <si>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</si>
  <si>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</si>
  <si>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</si>
  <si>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</si>
  <si>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</si>
  <si>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</si>
  <si>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</si>
  <si>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</si>
  <si>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</si>
  <si>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</si>
  <si>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</si>
  <si>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</si>
  <si>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</si>
  <si>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</si>
  <si>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</si>
  <si>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</si>
  <si>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</si>
  <si>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</si>
  <si>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</si>
  <si>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</si>
  <si>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</si>
  <si>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</si>
  <si>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</si>
  <si>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</si>
  <si>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</si>
  <si>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</si>
  <si>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</si>
  <si>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</si>
  <si>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</si>
  <si>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</si>
  <si>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</si>
  <si>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</si>
  <si>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</si>
  <si>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</si>
  <si>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</si>
  <si>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</si>
  <si>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</si>
  <si>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</si>
  <si>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</si>
  <si>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</si>
  <si>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</si>
  <si>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</si>
  <si>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</si>
  <si>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</si>
  <si>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</si>
  <si>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</si>
  <si>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</si>
  <si>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</si>
  <si>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</si>
  <si>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</si>
  <si>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</si>
  <si>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</si>
  <si>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</si>
  <si>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</si>
  <si>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</si>
  <si>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</si>
  <si>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</si>
  <si>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</si>
  <si>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</si>
  <si>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</si>
  <si>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</si>
  <si>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</si>
  <si>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</si>
  <si>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</si>
  <si>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</si>
  <si>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</si>
  <si>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</si>
  <si>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</si>
  <si>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</si>
  <si>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</si>
  <si>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</si>
  <si>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</si>
  <si>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</si>
  <si>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</si>
  <si>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</si>
  <si>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</si>
  <si>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</si>
  <si>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</si>
  <si>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</si>
  <si>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</si>
  <si>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</si>
  <si>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</si>
  <si>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</si>
  <si>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</si>
  <si>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</si>
  <si>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</si>
  <si>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</si>
  <si>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</si>
  <si>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</si>
  <si>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</si>
  <si>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</si>
  <si>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</si>
  <si>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</si>
  <si>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</si>
  <si>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</si>
  <si>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</si>
  <si>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</si>
  <si>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</si>
  <si>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</si>
  <si>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</si>
  <si>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</si>
  <si>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</si>
  <si>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</si>
  <si>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</si>
  <si>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</si>
  <si>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</si>
  <si>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</si>
  <si>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</si>
  <si>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</si>
  <si>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</si>
  <si>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</si>
  <si>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</si>
  <si>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</si>
  <si>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</si>
  <si>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</si>
  <si>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</si>
  <si>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</si>
  <si>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</si>
  <si>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</si>
  <si>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</si>
  <si>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</si>
  <si>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</si>
  <si>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</si>
  <si>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</si>
  <si>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</si>
  <si>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</si>
  <si>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</si>
  <si>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</si>
  <si>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</si>
  <si>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</si>
  <si>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</si>
  <si>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</si>
  <si>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</si>
  <si>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</si>
  <si>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</si>
  <si>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</si>
  <si>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</si>
  <si>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</si>
  <si>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</si>
  <si>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</si>
  <si>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</si>
  <si>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</si>
  <si>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</si>
  <si>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</si>
  <si>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</si>
  <si>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</si>
  <si>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</si>
  <si>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</si>
  <si>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</si>
  <si>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</si>
  <si>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</si>
  <si>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</si>
  <si>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</si>
  <si>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</si>
  <si>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</si>
  <si>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</si>
  <si>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</si>
  <si>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</si>
  <si>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</si>
  <si>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</si>
  <si>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</si>
  <si>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</si>
  <si>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</si>
  <si>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</si>
  <si>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</si>
  <si>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</si>
  <si>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</si>
  <si>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</si>
  <si>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</si>
  <si>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</si>
  <si>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</si>
  <si>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</si>
  <si>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</si>
  <si>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</si>
  <si>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</si>
  <si>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</si>
  <si>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</si>
  <si>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</si>
  <si>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</si>
  <si>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</si>
  <si>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</si>
  <si>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</si>
  <si>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</si>
  <si>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</si>
  <si>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</si>
  <si>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</si>
  <si>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</si>
  <si>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</si>
  <si>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</si>
  <si>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</si>
  <si>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</si>
  <si>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</si>
  <si>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</si>
  <si>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</si>
  <si>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</si>
  <si>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</si>
  <si>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</si>
  <si>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</si>
  <si>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</si>
  <si>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</si>
  <si>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</si>
  <si>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</si>
  <si>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</si>
  <si>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</si>
  <si>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</si>
  <si>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</si>
  <si>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</si>
  <si>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</si>
  <si>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</si>
  <si>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</si>
  <si>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</si>
  <si>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</si>
  <si>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</si>
  <si>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</si>
  <si>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</si>
  <si>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</si>
  <si>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</si>
  <si>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</si>
  <si>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</si>
  <si>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</si>
  <si>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</si>
  <si>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</si>
  <si>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</si>
  <si>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</si>
  <si>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</si>
  <si>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</si>
  <si>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</si>
  <si>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</si>
  <si>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</si>
  <si>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</si>
  <si>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</si>
  <si>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</si>
  <si>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</si>
  <si>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</si>
  <si>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</si>
  <si>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</si>
  <si>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</si>
  <si>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</si>
  <si>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</si>
  <si>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</si>
  <si>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</si>
  <si>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</si>
  <si>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</si>
  <si>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</si>
  <si>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</si>
  <si>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</si>
  <si>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</si>
  <si>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</si>
  <si>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</si>
  <si>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</si>
  <si>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</si>
  <si>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</si>
  <si>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</si>
  <si>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</si>
  <si>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</si>
  <si>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</si>
  <si>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</si>
  <si>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</si>
  <si>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</si>
  <si>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</si>
  <si>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</si>
  <si>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</si>
  <si>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</si>
  <si>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</si>
  <si>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</si>
  <si>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</si>
  <si>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</si>
  <si>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</si>
  <si>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</si>
  <si>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</si>
  <si>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</si>
  <si>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</si>
  <si>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</si>
  <si>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</si>
  <si>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</si>
  <si>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</si>
  <si>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</si>
  <si>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</si>
  <si>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</si>
  <si>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</si>
  <si>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</si>
  <si>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</si>
  <si>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</si>
  <si>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</si>
  <si>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</si>
  <si>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</si>
  <si>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</si>
  <si>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</si>
  <si>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</si>
  <si>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</si>
  <si>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</si>
  <si>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</si>
  <si>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</si>
  <si>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</si>
  <si>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</si>
  <si>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</si>
  <si>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</si>
  <si>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</si>
  <si>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</si>
  <si>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</si>
  <si>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</si>
  <si>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</si>
  <si>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</si>
  <si>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</si>
  <si>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</si>
  <si>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</si>
  <si>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</si>
  <si>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</si>
  <si>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</si>
  <si>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</si>
  <si>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</si>
  <si>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</si>
  <si>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</si>
  <si>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</si>
  <si>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</si>
  <si>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</si>
  <si>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</si>
  <si>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</si>
  <si>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</si>
  <si>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</si>
  <si>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</si>
  <si>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</si>
  <si>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</si>
  <si>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</si>
  <si>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</si>
  <si>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</si>
  <si>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</si>
  <si>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</si>
  <si>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</si>
  <si>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</si>
  <si>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</si>
  <si>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</si>
  <si>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</si>
  <si>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</si>
  <si>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</si>
  <si>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</si>
  <si>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</si>
  <si>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</si>
  <si>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</si>
  <si>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</si>
  <si>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</si>
  <si>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</si>
  <si>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</si>
  <si>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</si>
  <si>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</si>
  <si>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</si>
  <si>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</si>
  <si>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</si>
  <si>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</si>
  <si>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</si>
  <si>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</si>
  <si>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</si>
  <si>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</si>
  <si>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</si>
  <si>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</si>
  <si>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</si>
  <si>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</si>
  <si>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</si>
  <si>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</si>
  <si>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</si>
  <si>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</si>
  <si>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</si>
  <si>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</si>
  <si>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</si>
  <si>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</si>
  <si>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</si>
  <si>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</si>
  <si>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</si>
  <si>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</si>
  <si>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</si>
  <si>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</si>
  <si>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</si>
  <si>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</si>
  <si>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</si>
  <si>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</si>
  <si>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</si>
  <si>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</si>
  <si>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</si>
  <si>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</si>
  <si>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</si>
  <si>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</si>
  <si>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</si>
  <si>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</si>
  <si>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</si>
  <si>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</si>
  <si>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</si>
  <si>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</si>
  <si>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</si>
  <si>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</si>
  <si>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</si>
  <si>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</si>
  <si>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</si>
  <si>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</si>
  <si>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</si>
  <si>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</si>
  <si>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</si>
  <si>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</si>
  <si>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</si>
  <si>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</si>
  <si>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</si>
  <si>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</si>
  <si>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</si>
  <si>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</si>
  <si>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</si>
  <si>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</si>
  <si>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</si>
  <si>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</si>
  <si>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</si>
  <si>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</si>
  <si>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</si>
  <si>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</si>
  <si>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</si>
  <si>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</si>
  <si>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</si>
  <si>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</si>
  <si>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</si>
  <si>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</si>
  <si>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</si>
  <si>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</si>
  <si>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</si>
  <si>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</si>
  <si>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</si>
  <si>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</si>
  <si>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</si>
  <si>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</si>
  <si>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</si>
  <si>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</si>
  <si>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</si>
  <si>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</si>
  <si>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</si>
  <si>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</si>
  <si>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</si>
  <si>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</si>
  <si>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</si>
  <si>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</si>
  <si>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</si>
  <si>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</si>
  <si>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</si>
  <si>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</si>
  <si>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</si>
  <si>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</si>
  <si>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</si>
  <si>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</si>
  <si>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</si>
  <si>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</si>
  <si>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</si>
  <si>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</si>
  <si>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</si>
  <si>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</si>
  <si>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</si>
  <si>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</si>
  <si>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</si>
  <si>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</si>
  <si>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</si>
  <si>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</si>
  <si>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</si>
  <si>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</si>
  <si>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</si>
  <si>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</si>
  <si>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</si>
  <si>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</si>
  <si>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</si>
  <si>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</si>
  <si>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</si>
  <si>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</si>
  <si>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</si>
  <si>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</si>
  <si>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</si>
  <si>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</si>
  <si>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</si>
  <si>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</si>
  <si>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</si>
  <si>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</si>
  <si>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</si>
  <si>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</si>
  <si>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</si>
  <si>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</si>
  <si>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</si>
  <si>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</si>
  <si>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</si>
  <si>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</si>
  <si>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</si>
  <si>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</si>
  <si>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</si>
  <si>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</si>
  <si>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</si>
  <si>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</si>
  <si>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</si>
  <si>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</si>
  <si>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</si>
  <si>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</si>
  <si>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</si>
  <si>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</si>
  <si>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</si>
  <si>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</si>
  <si>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</si>
  <si>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</si>
  <si>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</si>
  <si>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</si>
  <si>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</si>
  <si>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</si>
  <si>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</si>
  <si>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</si>
  <si>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</si>
  <si>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</si>
  <si>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</si>
  <si>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</si>
  <si>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</si>
  <si>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</si>
  <si>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</si>
  <si>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</si>
  <si>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</si>
  <si>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</si>
  <si>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</si>
  <si>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</si>
  <si>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</si>
  <si>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</si>
  <si>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</si>
  <si>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</si>
  <si>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</si>
  <si>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</si>
  <si>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</si>
  <si>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</si>
  <si>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</si>
  <si>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</si>
  <si>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</si>
  <si>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</si>
  <si>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</si>
  <si>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</si>
  <si>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</si>
  <si>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</si>
  <si>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</si>
  <si>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</si>
  <si>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</si>
  <si>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</si>
  <si>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</si>
  <si>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</si>
  <si>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</si>
  <si>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</si>
  <si>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</si>
  <si>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</si>
  <si>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</si>
  <si>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</si>
  <si>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</si>
  <si>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</si>
  <si>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</si>
  <si>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</si>
  <si>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</si>
  <si>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</si>
  <si>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</si>
  <si>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</si>
  <si>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</si>
  <si>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</si>
  <si>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</si>
  <si>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</si>
  <si>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</si>
  <si>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</si>
  <si>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</si>
  <si>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</si>
  <si>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</si>
  <si>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</si>
  <si>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</si>
  <si>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</si>
  <si>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</si>
  <si>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</si>
  <si>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</si>
  <si>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</si>
  <si>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</si>
  <si>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</si>
  <si>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</si>
  <si>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</si>
  <si>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</si>
  <si>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</si>
  <si>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</si>
  <si>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</si>
  <si>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</si>
  <si>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</si>
  <si>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</si>
  <si>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</si>
  <si>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</si>
  <si>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</si>
  <si>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</si>
  <si>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</si>
  <si>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</si>
  <si>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</si>
  <si>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</si>
  <si>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</si>
  <si>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</si>
  <si>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</si>
  <si>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</si>
  <si>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</si>
  <si>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</si>
  <si>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</si>
  <si>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</si>
  <si>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</si>
  <si>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</si>
  <si>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</si>
  <si>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</si>
  <si>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</si>
  <si>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</si>
  <si>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</si>
  <si>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</si>
  <si>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</si>
  <si>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</si>
  <si>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</si>
  <si>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</si>
  <si>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</si>
  <si>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</si>
  <si>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</si>
  <si>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</si>
  <si>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</si>
  <si>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</si>
  <si>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</si>
  <si>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</si>
  <si>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</si>
  <si>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</si>
  <si>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</si>
  <si>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</si>
  <si>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</si>
  <si>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</si>
  <si>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</si>
  <si>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</si>
  <si>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</si>
  <si>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</si>
  <si>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</si>
  <si>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</si>
  <si>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</si>
  <si>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</si>
  <si>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</si>
  <si>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</si>
  <si>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</si>
  <si>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</si>
  <si>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</si>
  <si>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</si>
  <si>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</si>
  <si>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</si>
  <si>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</si>
  <si>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</si>
  <si>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</si>
  <si>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</si>
  <si>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</si>
  <si>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</si>
  <si>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</si>
  <si>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</si>
  <si>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</si>
  <si>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</si>
  <si>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</si>
  <si>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</si>
  <si>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</si>
  <si>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</si>
  <si>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</si>
  <si>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</si>
  <si>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</si>
  <si>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</si>
  <si>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</si>
  <si>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</si>
  <si>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</si>
  <si>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</si>
  <si>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</si>
  <si>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</si>
  <si>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</si>
  <si>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</si>
  <si>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</si>
  <si>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</si>
  <si>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</si>
  <si>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</si>
  <si>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</si>
  <si>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</si>
  <si>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</si>
  <si>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</si>
  <si>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</si>
  <si>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</si>
  <si>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</si>
  <si>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</si>
  <si>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</si>
  <si>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</si>
  <si>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</si>
  <si>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</si>
  <si>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</si>
  <si>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</si>
  <si>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</si>
  <si>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</si>
  <si>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</si>
  <si>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</si>
  <si>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</si>
  <si>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</si>
  <si>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</si>
  <si>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</si>
  <si>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</si>
  <si>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</si>
  <si>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</si>
  <si>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</si>
  <si>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</si>
  <si>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</si>
  <si>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</si>
  <si>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</si>
  <si>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</si>
  <si>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</si>
  <si>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</si>
  <si>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</si>
  <si>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</si>
  <si>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</si>
  <si>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</si>
  <si>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</si>
  <si>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</si>
  <si>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</si>
  <si>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</si>
  <si>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</si>
  <si>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</si>
  <si>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</si>
  <si>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</si>
  <si>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</si>
  <si>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</si>
  <si>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</si>
  <si>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</si>
  <si>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</si>
  <si>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</si>
  <si>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</si>
  <si>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</si>
  <si>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</si>
  <si>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</si>
  <si>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</si>
  <si>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</si>
  <si>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</si>
  <si>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</si>
  <si>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</si>
  <si>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</si>
  <si>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</si>
  <si>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</si>
  <si>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</si>
  <si>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</si>
  <si>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</si>
  <si>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</si>
  <si>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</si>
  <si>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</si>
  <si>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</si>
  <si>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</si>
  <si>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</si>
  <si>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</si>
  <si>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</si>
  <si>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</si>
  <si>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</si>
  <si>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</si>
  <si>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</si>
  <si>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</si>
  <si>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</si>
  <si>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</si>
  <si>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</si>
  <si>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</si>
  <si>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</si>
  <si>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</si>
  <si>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</si>
  <si>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</si>
  <si>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</si>
  <si>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</si>
  <si>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</si>
  <si>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</si>
  <si>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</si>
  <si>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</si>
  <si>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</si>
  <si>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</si>
  <si>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</si>
  <si>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</si>
  <si>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</si>
  <si>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</si>
  <si>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</si>
  <si>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</si>
  <si>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</si>
  <si>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</si>
  <si>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</si>
  <si>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</si>
  <si>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</si>
  <si>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</si>
  <si>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</si>
  <si>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</si>
  <si>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</si>
  <si>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</si>
  <si>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</si>
  <si>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</si>
  <si>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</si>
  <si>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</si>
  <si>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</si>
  <si>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</si>
  <si>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</si>
  <si>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</si>
  <si>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</si>
  <si>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</si>
  <si>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</si>
  <si>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</si>
  <si>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</si>
  <si>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</si>
  <si>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</si>
  <si>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</si>
  <si>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</si>
  <si>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</si>
  <si>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</si>
  <si>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</si>
  <si>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</si>
  <si>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</si>
  <si>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</si>
  <si>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</si>
  <si>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</si>
  <si>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</si>
  <si>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</si>
  <si>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</si>
  <si>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</si>
  <si>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</si>
  <si>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</si>
  <si>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</si>
  <si>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</si>
  <si>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</si>
  <si>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</si>
  <si>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</si>
  <si>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</si>
  <si>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</si>
  <si>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</si>
  <si>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</si>
  <si>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</si>
  <si>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</si>
  <si>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</si>
  <si>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</si>
  <si>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</si>
  <si>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</si>
  <si>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</si>
  <si>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</si>
  <si>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</si>
  <si>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</si>
  <si>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</si>
  <si>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</si>
  <si>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</si>
  <si>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</si>
  <si>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</si>
  <si>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</si>
  <si>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</si>
  <si>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</si>
  <si>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</si>
  <si>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</si>
  <si>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</si>
  <si>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</si>
  <si>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</si>
  <si>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</si>
  <si>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</si>
  <si>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</si>
  <si>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</si>
  <si>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</si>
  <si>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</si>
  <si>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</si>
  <si>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</si>
  <si>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</si>
  <si>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</si>
  <si>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</si>
  <si>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</si>
  <si>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</si>
  <si>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</si>
  <si>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</si>
  <si>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</si>
  <si>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</si>
  <si>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</si>
  <si>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</si>
  <si>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</si>
  <si>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</si>
  <si>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</si>
  <si>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</si>
  <si>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</si>
  <si>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</si>
  <si>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</si>
  <si>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</si>
  <si>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</si>
  <si>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</si>
  <si>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</si>
  <si>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</si>
  <si>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</si>
  <si>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</si>
  <si>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</si>
  <si>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</si>
  <si>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</si>
  <si>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</si>
  <si>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</si>
  <si>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</si>
  <si>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</si>
  <si>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</si>
  <si>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</si>
  <si>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</si>
  <si>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</si>
  <si>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</si>
  <si>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</si>
  <si>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</si>
  <si>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</si>
  <si>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</si>
  <si>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</si>
  <si>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</si>
  <si>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</si>
  <si>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</si>
  <si>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</si>
  <si>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</si>
  <si>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</si>
  <si>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</si>
  <si>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</si>
  <si>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</si>
  <si>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</si>
  <si>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</si>
  <si>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</si>
  <si>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</si>
  <si>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</si>
  <si>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</si>
  <si>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</si>
  <si>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</si>
  <si>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</si>
  <si>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</si>
  <si>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</si>
  <si>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</si>
  <si>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</si>
  <si>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</si>
  <si>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</si>
  <si>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</si>
  <si>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</si>
  <si>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</si>
  <si>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</si>
  <si>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</si>
  <si>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</si>
  <si>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</si>
  <si>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</si>
  <si>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</si>
  <si>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</si>
  <si>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</si>
  <si>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</si>
  <si>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</si>
  <si>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</si>
  <si>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</si>
  <si>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</si>
  <si>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</si>
  <si>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</si>
  <si>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</si>
  <si>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</si>
  <si>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</si>
  <si>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</si>
  <si>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</si>
  <si>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</si>
  <si>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</si>
  <si>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</si>
  <si>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</si>
  <si>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</si>
  <si>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</si>
  <si>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</si>
  <si>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</si>
  <si>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</si>
  <si>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</si>
  <si>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</si>
  <si>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</si>
  <si>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</si>
  <si>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</si>
  <si>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</si>
  <si>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</si>
  <si>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</si>
  <si>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</si>
  <si>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</si>
  <si>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</si>
  <si>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砖混</t>
  </si>
  <si>
    <t>住宅/居住</t>
  </si>
  <si>
    <t>扣出让金</t>
  </si>
  <si>
    <t>居住用地（指二类居住用地）</t>
  </si>
  <si>
    <t>设定容积率</t>
  </si>
  <si>
    <t>地上</t>
  </si>
  <si>
    <t>1000米以外</t>
  </si>
  <si>
    <t>较好</t>
  </si>
  <si>
    <t>六通一平</t>
  </si>
  <si>
    <t>增加</t>
  </si>
  <si>
    <t>燃气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</si>
</sst>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1401</v>
      </c>
    </row>
    <row r="19" spans="1:2" ht="13.5">
      <c r="A19" s="1752"/>
      <c r="B19" s="666" t="s">
        <v>1402</v>
      </c>
    </row>
    <row r="20" spans="1:2" ht="13.5">
      <c r="A20" s="1752"/>
      <c r="B20" s="666" t="s">
        <v>1403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688</v>
      </c>
      <c r="B1" s="268" t="s">
        <v>292</v>
      </c>
      <c r="C1" s="268" t="s">
        <v>293</v>
      </c>
      <c r="D1" s="268" t="s">
        <v>294</v>
      </c>
      <c r="E1" s="268" t="s">
        <v>295</v>
      </c>
      <c r="F1" s="268" t="s">
        <v>296</v>
      </c>
      <c r="G1" s="268" t="s">
        <v>297</v>
      </c>
      <c r="H1" s="268" t="s">
        <v>298</v>
      </c>
      <c r="I1" s="268" t="s">
        <v>299</v>
      </c>
      <c r="J1" s="268" t="s">
        <v>300</v>
      </c>
      <c r="K1" s="268" t="s">
        <v>301</v>
      </c>
      <c r="L1" s="268" t="s">
        <v>302</v>
      </c>
      <c r="M1" s="269" t="s">
        <v>303</v>
      </c>
    </row>
    <row r="2" spans="1:13" ht="19.5" customHeight="1">
      <c r="A2" s="303" t="s">
        <v>318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1316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1317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319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689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690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691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692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693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694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695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696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697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698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699</v>
      </c>
      <c r="B17" s="324" t="s">
        <v>700</v>
      </c>
      <c r="C17" s="389" t="s">
        <v>972</v>
      </c>
      <c r="D17" s="325"/>
      <c r="E17" s="248" t="s">
        <v>701</v>
      </c>
      <c r="F17" s="326"/>
      <c r="G17" s="326"/>
    </row>
    <row r="18" spans="1:9" s="332" customFormat="1" ht="19.5" customHeight="1">
      <c r="A18" s="1790" t="s">
        <v>318</v>
      </c>
      <c r="B18" s="327" t="s">
        <v>702</v>
      </c>
      <c r="C18" s="328" t="s">
        <v>703</v>
      </c>
      <c r="D18" s="329"/>
      <c r="E18" s="327">
        <v>1</v>
      </c>
      <c r="F18" s="330" t="s">
        <v>704</v>
      </c>
      <c r="G18" s="331"/>
      <c r="H18" s="323"/>
      <c r="I18" s="323"/>
    </row>
    <row r="19" spans="1:9" s="332" customFormat="1" ht="19.5" customHeight="1">
      <c r="A19" s="1790"/>
      <c r="B19" s="1790" t="s">
        <v>705</v>
      </c>
      <c r="C19" s="328" t="s">
        <v>706</v>
      </c>
      <c r="D19" s="329"/>
      <c r="E19" s="327">
        <v>0.9</v>
      </c>
      <c r="F19" s="330" t="s">
        <v>707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708</v>
      </c>
      <c r="D20" s="329"/>
      <c r="E20" s="327">
        <v>1.1000000000000001</v>
      </c>
      <c r="F20" s="330" t="s">
        <v>709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710</v>
      </c>
      <c r="D21" s="329"/>
      <c r="E21" s="327">
        <v>0.8</v>
      </c>
      <c r="F21" s="330" t="s">
        <v>711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712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1316</v>
      </c>
      <c r="B23" s="327" t="s">
        <v>702</v>
      </c>
      <c r="C23" s="328" t="s">
        <v>713</v>
      </c>
      <c r="D23" s="329"/>
      <c r="E23" s="327">
        <v>1</v>
      </c>
      <c r="F23" s="330" t="s">
        <v>714</v>
      </c>
      <c r="G23" s="331"/>
      <c r="H23" s="323"/>
      <c r="I23" s="323"/>
    </row>
    <row r="24" spans="1:9" s="332" customFormat="1" ht="19.5" customHeight="1">
      <c r="A24" s="1790"/>
      <c r="B24" s="1790" t="s">
        <v>705</v>
      </c>
      <c r="C24" s="328" t="s">
        <v>715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716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717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718</v>
      </c>
      <c r="D27" s="329"/>
      <c r="E27" s="327">
        <v>0.9</v>
      </c>
      <c r="F27" s="330" t="s">
        <v>719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720</v>
      </c>
      <c r="D28" s="329"/>
      <c r="E28" s="327">
        <v>0.9</v>
      </c>
      <c r="F28" s="330" t="s">
        <v>721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722</v>
      </c>
      <c r="D29" s="329"/>
      <c r="E29" s="327">
        <v>0.9</v>
      </c>
      <c r="F29" s="330" t="s">
        <v>723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724</v>
      </c>
      <c r="D30" s="329"/>
      <c r="E30" s="327">
        <v>0.9</v>
      </c>
      <c r="F30" s="330" t="s">
        <v>725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726</v>
      </c>
      <c r="D31" s="329"/>
      <c r="E31" s="327">
        <v>0.8</v>
      </c>
      <c r="F31" s="330" t="s">
        <v>727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728</v>
      </c>
      <c r="D32" s="329"/>
      <c r="E32" s="327">
        <v>0.8</v>
      </c>
      <c r="F32" s="330" t="s">
        <v>729</v>
      </c>
      <c r="G32" s="331"/>
      <c r="H32" s="323"/>
      <c r="I32" s="323"/>
    </row>
    <row r="33" spans="1:9" s="332" customFormat="1" ht="19.5" customHeight="1">
      <c r="A33" s="1790" t="s">
        <v>1315</v>
      </c>
      <c r="B33" s="327" t="s">
        <v>702</v>
      </c>
      <c r="C33" s="328" t="s">
        <v>730</v>
      </c>
      <c r="D33" s="329"/>
      <c r="E33" s="327">
        <v>1</v>
      </c>
      <c r="F33" s="330" t="s">
        <v>731</v>
      </c>
      <c r="G33" s="331"/>
      <c r="H33" s="323"/>
      <c r="I33" s="323"/>
    </row>
    <row r="34" spans="1:9" s="332" customFormat="1" ht="19.5" customHeight="1">
      <c r="A34" s="1790"/>
      <c r="B34" s="327" t="s">
        <v>705</v>
      </c>
      <c r="C34" s="328" t="s">
        <v>732</v>
      </c>
      <c r="D34" s="329"/>
      <c r="E34" s="327">
        <v>1.5</v>
      </c>
      <c r="F34" s="330" t="s">
        <v>733</v>
      </c>
      <c r="G34" s="331"/>
      <c r="H34" s="323"/>
      <c r="I34" s="323"/>
    </row>
    <row r="35" spans="1:9" s="332" customFormat="1" ht="19.5" customHeight="1">
      <c r="A35" s="1790" t="s">
        <v>319</v>
      </c>
      <c r="B35" s="327" t="s">
        <v>702</v>
      </c>
      <c r="C35" s="328" t="s">
        <v>734</v>
      </c>
      <c r="D35" s="329"/>
      <c r="E35" s="327">
        <v>1</v>
      </c>
      <c r="F35" s="330" t="s">
        <v>735</v>
      </c>
      <c r="G35" s="331"/>
      <c r="H35" s="323"/>
      <c r="I35" s="323"/>
    </row>
    <row r="36" spans="1:9" s="332" customFormat="1" ht="19.5" customHeight="1">
      <c r="A36" s="1790"/>
      <c r="B36" s="1790" t="s">
        <v>705</v>
      </c>
      <c r="C36" s="328" t="s">
        <v>736</v>
      </c>
      <c r="D36" s="329"/>
      <c r="E36" s="327">
        <v>1</v>
      </c>
      <c r="F36" s="330" t="s">
        <v>737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738</v>
      </c>
      <c r="D37" s="329"/>
      <c r="E37" s="327">
        <v>1.5</v>
      </c>
      <c r="F37" s="330" t="s">
        <v>739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740</v>
      </c>
      <c r="D38" s="329"/>
      <c r="E38" s="327">
        <v>1</v>
      </c>
      <c r="F38" s="330" t="s">
        <v>741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742</v>
      </c>
      <c r="D39" s="329"/>
      <c r="E39" s="327">
        <v>1</v>
      </c>
      <c r="F39" s="330" t="s">
        <v>743</v>
      </c>
      <c r="G39" s="331"/>
      <c r="H39" s="323"/>
      <c r="I39" s="323"/>
    </row>
    <row r="40" spans="1:9" s="332" customFormat="1" ht="19.5" customHeight="1">
      <c r="A40" s="333" t="s">
        <v>744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745</v>
      </c>
      <c r="C42" s="248" t="s">
        <v>745</v>
      </c>
      <c r="D42" s="248" t="s">
        <v>745</v>
      </c>
      <c r="E42" s="257" t="s">
        <v>745</v>
      </c>
      <c r="F42" s="257" t="s">
        <v>745</v>
      </c>
      <c r="G42" s="257" t="s">
        <v>746</v>
      </c>
      <c r="H42" s="257" t="s">
        <v>745</v>
      </c>
    </row>
    <row r="43" spans="1:9" ht="19.5" customHeight="1">
      <c r="A43" s="336"/>
      <c r="B43" s="257" t="s">
        <v>318</v>
      </c>
      <c r="C43" s="257" t="s">
        <v>318</v>
      </c>
      <c r="D43" s="257" t="s">
        <v>318</v>
      </c>
      <c r="E43" s="257" t="s">
        <v>318</v>
      </c>
      <c r="F43" s="248" t="s">
        <v>1318</v>
      </c>
      <c r="G43" s="248" t="s">
        <v>319</v>
      </c>
      <c r="H43" s="248" t="s">
        <v>747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748</v>
      </c>
      <c r="G44" s="325" t="s">
        <v>748</v>
      </c>
      <c r="H44" s="325" t="s">
        <v>748</v>
      </c>
    </row>
    <row r="45" spans="1:9" ht="19.5" customHeight="1">
      <c r="A45" s="338" t="s">
        <v>292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293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294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295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296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297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298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299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300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301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302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303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749</v>
      </c>
      <c r="E58" s="321"/>
      <c r="F58" s="321"/>
    </row>
    <row r="59" spans="1:8" s="323" customFormat="1" ht="19.5" customHeight="1">
      <c r="A59" s="327" t="s">
        <v>750</v>
      </c>
      <c r="B59" s="327" t="s">
        <v>751</v>
      </c>
      <c r="C59" s="327" t="s">
        <v>752</v>
      </c>
      <c r="D59" s="327" t="s">
        <v>753</v>
      </c>
      <c r="E59" s="327" t="s">
        <v>754</v>
      </c>
      <c r="F59" s="327" t="s">
        <v>755</v>
      </c>
    </row>
    <row r="60" spans="1:8" ht="13.5">
      <c r="A60" s="394"/>
      <c r="B60" s="394"/>
      <c r="C60" s="394" t="s">
        <v>887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0" t="s">
        <v>756</v>
      </c>
      <c r="C61" s="248" t="s">
        <v>757</v>
      </c>
      <c r="D61" s="248" t="s">
        <v>758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759</v>
      </c>
      <c r="D62" s="248" t="s">
        <v>760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761</v>
      </c>
      <c r="D63" s="248" t="s">
        <v>762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763</v>
      </c>
      <c r="D64" s="248" t="s">
        <v>764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765</v>
      </c>
      <c r="D65" s="248" t="s">
        <v>766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767</v>
      </c>
      <c r="D66" s="248" t="s">
        <v>768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769</v>
      </c>
      <c r="D67" s="248" t="s">
        <v>770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771</v>
      </c>
      <c r="D68" s="248" t="s">
        <v>772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773</v>
      </c>
      <c r="D69" s="248" t="s">
        <v>774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775</v>
      </c>
      <c r="D70" s="248" t="s">
        <v>776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777</v>
      </c>
      <c r="D71" s="248" t="s">
        <v>778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779</v>
      </c>
      <c r="D72" s="248" t="s">
        <v>780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781</v>
      </c>
      <c r="D73" s="248" t="s">
        <v>782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783</v>
      </c>
      <c r="D74" s="248" t="s">
        <v>784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785</v>
      </c>
      <c r="D75" s="248" t="s">
        <v>786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787</v>
      </c>
      <c r="C76" s="248" t="s">
        <v>788</v>
      </c>
      <c r="D76" s="248" t="s">
        <v>789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790</v>
      </c>
      <c r="D77" s="248" t="s">
        <v>791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792</v>
      </c>
      <c r="D78" s="248" t="s">
        <v>793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794</v>
      </c>
      <c r="D79" s="248" t="s">
        <v>795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796</v>
      </c>
      <c r="D80" s="248" t="s">
        <v>797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798</v>
      </c>
      <c r="D81" s="248" t="s">
        <v>799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800</v>
      </c>
      <c r="D82" s="248" t="s">
        <v>801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802</v>
      </c>
      <c r="D83" s="248" t="s">
        <v>803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804</v>
      </c>
      <c r="D84" s="248" t="s">
        <v>805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806</v>
      </c>
      <c r="D85" s="248" t="s">
        <v>807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808</v>
      </c>
      <c r="D86" s="248" t="s">
        <v>809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810</v>
      </c>
      <c r="D87" s="248" t="s">
        <v>811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812</v>
      </c>
      <c r="D88" s="248" t="s">
        <v>813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814</v>
      </c>
      <c r="D89" s="248" t="s">
        <v>815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816</v>
      </c>
      <c r="D90" s="248" t="s">
        <v>817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818</v>
      </c>
      <c r="D91" s="248" t="s">
        <v>819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820</v>
      </c>
      <c r="C92" s="327" t="s">
        <v>821</v>
      </c>
      <c r="D92" s="248" t="s">
        <v>822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823</v>
      </c>
      <c r="D93" s="248" t="s">
        <v>824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825</v>
      </c>
      <c r="D94" s="248" t="s">
        <v>826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827</v>
      </c>
      <c r="D95" s="248" t="s">
        <v>828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829</v>
      </c>
      <c r="D96" s="248" t="s">
        <v>830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831</v>
      </c>
      <c r="D97" s="248" t="s">
        <v>832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833</v>
      </c>
      <c r="D98" s="248" t="s">
        <v>834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835</v>
      </c>
      <c r="C99" s="327" t="s">
        <v>836</v>
      </c>
      <c r="D99" s="248" t="s">
        <v>837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838</v>
      </c>
      <c r="D100" s="248" t="s">
        <v>839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840</v>
      </c>
      <c r="D101" s="248" t="s">
        <v>837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841</v>
      </c>
      <c r="C102" s="248" t="s">
        <v>842</v>
      </c>
      <c r="D102" s="248" t="s">
        <v>843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844</v>
      </c>
      <c r="C103" s="327" t="s">
        <v>845</v>
      </c>
      <c r="D103" s="248" t="s">
        <v>846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847</v>
      </c>
      <c r="C104" s="327" t="s">
        <v>848</v>
      </c>
      <c r="D104" s="248" t="s">
        <v>849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850</v>
      </c>
      <c r="C105" s="327" t="s">
        <v>851</v>
      </c>
      <c r="D105" s="248" t="s">
        <v>852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853</v>
      </c>
      <c r="D106" s="248" t="s">
        <v>854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855</v>
      </c>
      <c r="C107" s="327" t="s">
        <v>856</v>
      </c>
      <c r="D107" s="248" t="s">
        <v>857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858</v>
      </c>
      <c r="D108" s="248" t="s">
        <v>859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860</v>
      </c>
      <c r="C109" s="327" t="s">
        <v>861</v>
      </c>
      <c r="D109" s="248" t="s">
        <v>862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863</v>
      </c>
      <c r="C110" s="327" t="s">
        <v>864</v>
      </c>
      <c r="D110" s="248" t="s">
        <v>865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866</v>
      </c>
      <c r="C111" s="327" t="s">
        <v>867</v>
      </c>
      <c r="D111" s="248" t="s">
        <v>868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869</v>
      </c>
      <c r="D112" s="248" t="s">
        <v>870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871</v>
      </c>
      <c r="D113" s="248" t="s">
        <v>872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873</v>
      </c>
      <c r="C114" s="327" t="s">
        <v>874</v>
      </c>
      <c r="D114" s="248" t="s">
        <v>875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876</v>
      </c>
      <c r="C115" s="327" t="s">
        <v>877</v>
      </c>
      <c r="D115" s="248" t="s">
        <v>878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879</v>
      </c>
      <c r="C116" s="327" t="s">
        <v>880</v>
      </c>
      <c r="D116" s="248" t="s">
        <v>881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882</v>
      </c>
      <c r="D117" s="248" t="s">
        <v>883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884</v>
      </c>
      <c r="C118" s="327" t="s">
        <v>885</v>
      </c>
      <c r="D118" s="248" t="s">
        <v>886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887</v>
      </c>
      <c r="D119" s="327"/>
      <c r="E119" s="340" t="s">
        <v>697</v>
      </c>
      <c r="F119" s="327" t="s">
        <v>697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888</v>
      </c>
      <c r="B2" s="348" t="s">
        <v>292</v>
      </c>
      <c r="C2" s="348" t="s">
        <v>293</v>
      </c>
      <c r="D2" s="348" t="s">
        <v>294</v>
      </c>
      <c r="E2" s="348" t="s">
        <v>295</v>
      </c>
      <c r="F2" s="348" t="s">
        <v>296</v>
      </c>
      <c r="G2" s="348" t="s">
        <v>297</v>
      </c>
      <c r="H2" s="349" t="s">
        <v>298</v>
      </c>
      <c r="I2" s="349" t="s">
        <v>299</v>
      </c>
      <c r="J2" s="350" t="s">
        <v>300</v>
      </c>
      <c r="K2" s="350" t="s">
        <v>301</v>
      </c>
      <c r="L2" s="350" t="s">
        <v>302</v>
      </c>
      <c r="M2" s="350" t="s">
        <v>303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890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888</v>
      </c>
      <c r="B104" s="348" t="s">
        <v>292</v>
      </c>
      <c r="C104" s="348" t="s">
        <v>293</v>
      </c>
      <c r="D104" s="348" t="s">
        <v>294</v>
      </c>
      <c r="E104" s="348" t="s">
        <v>295</v>
      </c>
      <c r="F104" s="348" t="s">
        <v>296</v>
      </c>
      <c r="G104" s="348" t="s">
        <v>297</v>
      </c>
      <c r="H104" s="349" t="s">
        <v>298</v>
      </c>
      <c r="I104" s="349" t="s">
        <v>299</v>
      </c>
      <c r="J104" s="350" t="s">
        <v>300</v>
      </c>
      <c r="K104" s="350" t="s">
        <v>301</v>
      </c>
      <c r="L104" s="350" t="s">
        <v>302</v>
      </c>
      <c r="M104" s="350" t="s">
        <v>303</v>
      </c>
      <c r="N104" s="345">
        <f>SUMPRODUCT((A105:A204=ROUNDDOWN('2014基准地价'!G3,1))*(B104:M104='2014基准地价'!G2)*(B105:M204))</f>
        <v>1.0961000000000001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891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888</v>
      </c>
      <c r="B206" s="348" t="s">
        <v>292</v>
      </c>
      <c r="C206" s="348" t="s">
        <v>293</v>
      </c>
      <c r="D206" s="348" t="s">
        <v>294</v>
      </c>
      <c r="E206" s="348" t="s">
        <v>295</v>
      </c>
      <c r="F206" s="348" t="s">
        <v>296</v>
      </c>
      <c r="G206" s="348" t="s">
        <v>297</v>
      </c>
      <c r="H206" s="349" t="s">
        <v>298</v>
      </c>
      <c r="I206" s="349" t="s">
        <v>299</v>
      </c>
      <c r="J206" s="350" t="s">
        <v>300</v>
      </c>
      <c r="K206" s="350" t="s">
        <v>301</v>
      </c>
      <c r="L206" s="350" t="s">
        <v>302</v>
      </c>
      <c r="M206" s="350" t="s">
        <v>303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892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888</v>
      </c>
      <c r="B308" s="348" t="s">
        <v>292</v>
      </c>
      <c r="C308" s="348" t="s">
        <v>293</v>
      </c>
      <c r="D308" s="348" t="s">
        <v>294</v>
      </c>
      <c r="E308" s="348" t="s">
        <v>295</v>
      </c>
      <c r="F308" s="348" t="s">
        <v>296</v>
      </c>
      <c r="G308" s="348" t="s">
        <v>297</v>
      </c>
      <c r="H308" s="349" t="s">
        <v>298</v>
      </c>
      <c r="I308" s="349" t="s">
        <v>299</v>
      </c>
      <c r="J308" s="350" t="s">
        <v>300</v>
      </c>
      <c r="K308" s="350" t="s">
        <v>301</v>
      </c>
      <c r="L308" s="350" t="s">
        <v>302</v>
      </c>
      <c r="M308" s="350" t="s">
        <v>303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1402</v>
      </c>
      <c r="B1" s="724"/>
      <c r="C1" s="725"/>
      <c r="D1" s="725"/>
      <c r="E1" s="725"/>
      <c r="F1" s="725"/>
      <c r="G1" s="726" t="s">
        <v>1185</v>
      </c>
      <c r="H1" s="526">
        <f>主表!B7</f>
        <v>459.9</v>
      </c>
      <c r="I1" s="726" t="s">
        <v>1355</v>
      </c>
      <c r="J1" s="526">
        <f>主表!B6</f>
        <v>0</v>
      </c>
      <c r="AE1" s="731"/>
      <c r="AF1" s="731"/>
    </row>
    <row r="2" spans="1:36" ht="24">
      <c r="A2" s="686" t="s">
        <v>912</v>
      </c>
      <c r="B2" s="633" t="s">
        <v>1571</v>
      </c>
      <c r="C2" s="732" t="s">
        <v>985</v>
      </c>
      <c r="D2" s="733" t="s">
        <v>988</v>
      </c>
      <c r="E2" s="734" t="str">
        <f>主表!B12</f>
        <v>住宅/居住</v>
      </c>
      <c r="F2" s="733" t="s">
        <v>688</v>
      </c>
      <c r="G2" s="735" t="str">
        <f>主表!B10</f>
        <v>九级</v>
      </c>
      <c r="H2" s="734" t="s">
        <v>1365</v>
      </c>
      <c r="I2" s="1352"/>
      <c r="J2" s="736"/>
      <c r="AE2" s="731"/>
      <c r="AF2" s="731"/>
    </row>
    <row r="3" spans="1:36" ht="15.75">
      <c r="A3" s="687" t="s">
        <v>915</v>
      </c>
      <c r="B3" s="1439" t="e">
        <f>C18</f>
        <v>#DIV/0!</v>
      </c>
      <c r="C3" s="732" t="s">
        <v>916</v>
      </c>
      <c r="D3" s="733" t="s">
        <v>256</v>
      </c>
      <c r="E3" s="737"/>
      <c r="F3" s="1500" t="s">
        <v>1228</v>
      </c>
      <c r="G3" s="238" t="e">
        <f>IF(F3="容积率",主表!B8,主表!B9)</f>
        <v>#DIV/0!</v>
      </c>
      <c r="H3" s="738" t="s">
        <v>929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1580</v>
      </c>
      <c r="B4" s="633" t="e">
        <f>C20</f>
        <v>#DIV/0!</v>
      </c>
      <c r="C4" s="1438" t="s">
        <v>1582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1581</v>
      </c>
      <c r="B5" s="1437" t="e">
        <f>C22</f>
        <v>#DIV/0!</v>
      </c>
      <c r="C5" s="1440" t="s">
        <v>1583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917</v>
      </c>
      <c r="B6" s="740" t="s">
        <v>1348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1349</v>
      </c>
      <c r="C7" s="1055">
        <f>IF(I2="地上",'2002地价表'!M1,ROUND('2002地价表'!M1/3,0))</f>
        <v>92</v>
      </c>
      <c r="D7" s="750" t="s">
        <v>1546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1350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1065"/>
      <c r="F8" s="757" t="s">
        <v>1356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932</v>
      </c>
      <c r="B9" s="1636" t="s">
        <v>935</v>
      </c>
      <c r="C9" s="1637">
        <f>IF(OR(H9&gt;=DATE(2014,8,28),H9&lt;DATE(2002,12,10)),0,ROUND(I9/F9,4))</f>
        <v>0</v>
      </c>
      <c r="D9" s="1638" t="s">
        <v>264</v>
      </c>
      <c r="E9" s="1639">
        <v>37257</v>
      </c>
      <c r="F9" s="1640">
        <f>ROUND(SUMIF(地价!B3:F3,E2,地价!B72:F72),0)</f>
        <v>104</v>
      </c>
      <c r="G9" s="1641" t="s">
        <v>265</v>
      </c>
      <c r="H9" s="1642">
        <f>主表!B4</f>
        <v>42193</v>
      </c>
      <c r="I9" s="1643">
        <f>ROUND(SUMPRODUCT((地价!A22:A72=YEAR(H9)&amp;"-"&amp;ROUNDUP(MONTH(H9)/3,0))*(地价!B3:F3=E2)*(地价!B22:F72)),0)</f>
        <v>0</v>
      </c>
      <c r="J9" s="789"/>
      <c r="AE9" s="731"/>
      <c r="AF9" s="731"/>
    </row>
    <row r="10" spans="1:36" ht="16.5" thickBot="1">
      <c r="A10" s="1644" t="s">
        <v>934</v>
      </c>
      <c r="B10" s="1645" t="s">
        <v>202</v>
      </c>
      <c r="C10" s="1646">
        <f>ROUND(POWER(1+E10,H10-G10)*(POWER(1+E10,G10)-1)/(POWER(1+E10,H10)-1),4)</f>
        <v>0</v>
      </c>
      <c r="D10" s="1525" t="s">
        <v>939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936</v>
      </c>
      <c r="B11" s="765" t="s">
        <v>941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1363</v>
      </c>
      <c r="C12" s="638" t="s">
        <v>1503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1364</v>
      </c>
      <c r="C13" s="638" t="s">
        <v>1503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283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940</v>
      </c>
      <c r="B15" s="761" t="s">
        <v>944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1338</v>
      </c>
      <c r="B16" s="1645" t="s">
        <v>1347</v>
      </c>
      <c r="C16" s="1650"/>
      <c r="D16" s="1651" t="s">
        <v>1351</v>
      </c>
      <c r="E16" s="1527" t="s">
        <v>928</v>
      </c>
      <c r="F16" s="1528"/>
      <c r="G16" s="1652" t="s">
        <v>930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945</v>
      </c>
      <c r="B17" s="777" t="s">
        <v>946</v>
      </c>
      <c r="C17" s="977" t="s">
        <v>1504</v>
      </c>
      <c r="D17" s="778" t="s">
        <v>1354</v>
      </c>
      <c r="E17" s="779" t="s">
        <v>959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1352</v>
      </c>
      <c r="B18" s="780" t="s">
        <v>1339</v>
      </c>
      <c r="C18" s="646" t="e">
        <f>ROUND(C7*C9*C10*C11*C15*C16,0)</f>
        <v>#DIV/0!</v>
      </c>
      <c r="D18" s="647">
        <f>H1</f>
        <v>459.9</v>
      </c>
      <c r="E18" s="648" t="e">
        <f>ROUND(C18*D18,0)</f>
        <v>#DIV/0!</v>
      </c>
      <c r="F18" s="781" t="s">
        <v>1343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1342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1344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1353</v>
      </c>
      <c r="B20" s="767" t="s">
        <v>1340</v>
      </c>
      <c r="C20" s="652" t="e">
        <f>ROUND(IF(G3&gt;=I3,C8*C9*C10*C15,C8*C9*C10*C15*G3),0)</f>
        <v>#DIV/0!</v>
      </c>
      <c r="D20" s="653">
        <f>H1</f>
        <v>459.9</v>
      </c>
      <c r="E20" s="654" t="e">
        <f>ROUND(C20*D20,0)</f>
        <v>#DIV/0!</v>
      </c>
      <c r="F20" s="787" t="s">
        <v>1345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1341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1346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1362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973</v>
      </c>
      <c r="B24" s="382">
        <f>ROUNDDOWN(1+DATEDIF(E9,H9,"M")/3,0)</f>
        <v>55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266</v>
      </c>
      <c r="B25" s="1425" t="s">
        <v>1505</v>
      </c>
      <c r="C25" s="1499" t="s">
        <v>271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280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1357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1358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893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894</v>
      </c>
      <c r="B41" s="248" t="s">
        <v>895</v>
      </c>
      <c r="C41" s="248" t="s">
        <v>896</v>
      </c>
      <c r="D41" s="248" t="s">
        <v>1469</v>
      </c>
      <c r="E41" s="812" t="s">
        <v>1470</v>
      </c>
      <c r="F41" s="813" t="s">
        <v>1471</v>
      </c>
      <c r="G41" s="813" t="s">
        <v>1472</v>
      </c>
      <c r="H41" s="813" t="s">
        <v>1473</v>
      </c>
      <c r="I41" s="813" t="s">
        <v>1474</v>
      </c>
      <c r="J41" s="813" t="s">
        <v>1475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897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0.105</v>
      </c>
      <c r="G42" s="531">
        <f>F42/2</f>
        <v>5.2499999999999998E-2</v>
      </c>
      <c r="H42" s="532">
        <v>0</v>
      </c>
      <c r="I42" s="531">
        <f>J42/2</f>
        <v>-5.7000000000000002E-2</v>
      </c>
      <c r="J42" s="531">
        <f>SUMPRODUCT(('2002因素修正幅度'!$A$66:$A$72=A42)*('2002因素修正幅度'!$B$35:$K$35=$G$2)*('2002因素修正幅度'!$B$66:$K$72))</f>
        <v>-0.114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5.2499999999999998E-2</v>
      </c>
      <c r="G43" s="531">
        <f t="shared" ref="G43:G48" si="2">F43/2</f>
        <v>2.6249999999999999E-2</v>
      </c>
      <c r="H43" s="532">
        <v>0</v>
      </c>
      <c r="I43" s="531">
        <f t="shared" ref="I43:I48" si="3">J43/2</f>
        <v>-2.8500000000000001E-2</v>
      </c>
      <c r="J43" s="531">
        <f>SUMPRODUCT(('2002因素修正幅度'!$A$66:$A$72=A43)*('2002因素修正幅度'!$B$35:$K$35=$G$2)*('2002因素修正幅度'!$B$66:$K$72))</f>
        <v>-5.7000000000000002E-2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3.5000000000000003E-2</v>
      </c>
      <c r="G44" s="531">
        <f t="shared" si="2"/>
        <v>1.7500000000000002E-2</v>
      </c>
      <c r="H44" s="532">
        <v>0</v>
      </c>
      <c r="I44" s="531">
        <f t="shared" si="3"/>
        <v>-1.9E-2</v>
      </c>
      <c r="J44" s="531">
        <f>SUMPRODUCT(('2002因素修正幅度'!$A$66:$A$72=A44)*('2002因素修正幅度'!$B$35:$K$35=$G$2)*('2002因素修正幅度'!$B$66:$K$72))</f>
        <v>-3.7999999999999999E-2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900</v>
      </c>
      <c r="B45" s="1706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7.0000000000000007E-2</v>
      </c>
      <c r="G45" s="531">
        <f t="shared" si="2"/>
        <v>3.5000000000000003E-2</v>
      </c>
      <c r="H45" s="532">
        <v>0</v>
      </c>
      <c r="I45" s="531">
        <f t="shared" si="3"/>
        <v>-3.7999999999999999E-2</v>
      </c>
      <c r="J45" s="531">
        <f>SUMPRODUCT(('2002因素修正幅度'!$A$66:$A$72=A45)*('2002因素修正幅度'!$B$35:$K$35=$G$2)*('2002因素修正幅度'!$B$66:$K$72))</f>
        <v>-7.5999999999999998E-2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901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3.5000000000000003E-2</v>
      </c>
      <c r="G46" s="531">
        <f t="shared" si="2"/>
        <v>1.7500000000000002E-2</v>
      </c>
      <c r="H46" s="532">
        <v>0</v>
      </c>
      <c r="I46" s="531">
        <f t="shared" si="3"/>
        <v>-1.9E-2</v>
      </c>
      <c r="J46" s="531">
        <f>SUMPRODUCT(('2002因素修正幅度'!$A$66:$A$72=A46)*('2002因素修正幅度'!$B$35:$K$35=$G$2)*('2002因素修正幅度'!$B$66:$K$72))</f>
        <v>-3.7999999999999999E-2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902</v>
      </c>
      <c r="B47" s="1707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2.8000000000000001E-2</v>
      </c>
      <c r="G47" s="531">
        <f t="shared" si="2"/>
        <v>1.4E-2</v>
      </c>
      <c r="H47" s="532">
        <v>0</v>
      </c>
      <c r="I47" s="531">
        <f t="shared" si="3"/>
        <v>-1.52E-2</v>
      </c>
      <c r="J47" s="531">
        <f>SUMPRODUCT(('2002因素修正幅度'!$A$66:$A$72=A47)*('2002因素修正幅度'!$B$35:$K$35=$G$2)*('2002因素修正幅度'!$B$66:$K$72))</f>
        <v>-3.04E-2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904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2.4500000000000001E-2</v>
      </c>
      <c r="G48" s="531">
        <f t="shared" si="2"/>
        <v>1.225E-2</v>
      </c>
      <c r="H48" s="532">
        <v>0</v>
      </c>
      <c r="I48" s="531">
        <f t="shared" si="3"/>
        <v>-1.3299999999999999E-2</v>
      </c>
      <c r="J48" s="531">
        <f>SUMPRODUCT(('2002因素修正幅度'!$A$66:$A$72=A48)*('2002因素修正幅度'!$B$35:$K$35=$G$2)*('2002因素修正幅度'!$B$66:$K$72))</f>
        <v>-2.6599999999999999E-2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1319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894</v>
      </c>
      <c r="B50" s="254"/>
      <c r="C50" s="248" t="s">
        <v>896</v>
      </c>
      <c r="D50" s="249" t="s">
        <v>1506</v>
      </c>
      <c r="E50" s="250" t="s">
        <v>1507</v>
      </c>
      <c r="F50" s="138" t="s">
        <v>1508</v>
      </c>
      <c r="G50" s="138" t="s">
        <v>1509</v>
      </c>
      <c r="H50" s="138" t="s">
        <v>1510</v>
      </c>
      <c r="I50" s="138" t="s">
        <v>1511</v>
      </c>
      <c r="J50" s="138" t="s">
        <v>1512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906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7.1999999999999995E-2</v>
      </c>
      <c r="G51" s="531">
        <f>F51/2</f>
        <v>3.5999999999999997E-2</v>
      </c>
      <c r="H51" s="532">
        <v>0</v>
      </c>
      <c r="I51" s="531">
        <f>J51/2</f>
        <v>-0.04</v>
      </c>
      <c r="J51" s="531">
        <f>SUMPRODUCT(('2002因素修正幅度'!$A$73:$A$79=A51)*('2002因素修正幅度'!$B$35:$K$35=$G$2)*('2002因素修正幅度'!$B$73:$K$79))</f>
        <v>-0.08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0.09</v>
      </c>
      <c r="G52" s="531">
        <f t="shared" ref="G52:G57" si="5">F52/2</f>
        <v>4.4999999999999998E-2</v>
      </c>
      <c r="H52" s="532">
        <v>0</v>
      </c>
      <c r="I52" s="531">
        <f t="shared" ref="I52:I57" si="6">J52/2</f>
        <v>-0.05</v>
      </c>
      <c r="J52" s="531">
        <f>SUMPRODUCT(('2002因素修正幅度'!$A$73:$A$79=A52)*('2002因素修正幅度'!$B$35:$K$35=$G$2)*('2002因素修正幅度'!$B$73:$K$79))</f>
        <v>-0.1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3.5999999999999997E-2</v>
      </c>
      <c r="G53" s="531">
        <f t="shared" si="5"/>
        <v>1.7999999999999999E-2</v>
      </c>
      <c r="H53" s="532">
        <v>0</v>
      </c>
      <c r="I53" s="531">
        <f t="shared" si="6"/>
        <v>-0.02</v>
      </c>
      <c r="J53" s="531">
        <f>SUMPRODUCT(('2002因素修正幅度'!$A$73:$A$79=A53)*('2002因素修正幅度'!$B$35:$K$35=$G$2)*('2002因素修正幅度'!$B$73:$K$79))</f>
        <v>-0.04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900</v>
      </c>
      <c r="B54" s="1706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3.5999999999999997E-2</v>
      </c>
      <c r="G54" s="531">
        <f t="shared" si="5"/>
        <v>1.7999999999999999E-2</v>
      </c>
      <c r="H54" s="532">
        <v>0</v>
      </c>
      <c r="I54" s="531">
        <f t="shared" si="6"/>
        <v>-0.02</v>
      </c>
      <c r="J54" s="531">
        <f>SUMPRODUCT(('2002因素修正幅度'!$A$73:$A$79=A54)*('2002因素修正幅度'!$B$35:$K$35=$G$2)*('2002因素修正幅度'!$B$73:$K$79))</f>
        <v>-0.04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901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5.3999999999999999E-2</v>
      </c>
      <c r="G55" s="531">
        <f t="shared" si="5"/>
        <v>2.7E-2</v>
      </c>
      <c r="H55" s="532">
        <v>0</v>
      </c>
      <c r="I55" s="531">
        <f t="shared" si="6"/>
        <v>-0.03</v>
      </c>
      <c r="J55" s="531">
        <f>SUMPRODUCT(('2002因素修正幅度'!$A$73:$A$79=A55)*('2002因素修正幅度'!$B$35:$K$35=$G$2)*('2002因素修正幅度'!$B$73:$K$79))</f>
        <v>-0.06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902</v>
      </c>
      <c r="B56" s="1707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2.8799999999999999E-2</v>
      </c>
      <c r="G56" s="531">
        <f t="shared" si="5"/>
        <v>1.44E-2</v>
      </c>
      <c r="H56" s="532">
        <v>0</v>
      </c>
      <c r="I56" s="531">
        <f t="shared" si="6"/>
        <v>-1.6E-2</v>
      </c>
      <c r="J56" s="531">
        <f>SUMPRODUCT(('2002因素修正幅度'!$A$73:$A$79=A56)*('2002因素修正幅度'!$B$35:$K$35=$G$2)*('2002因素修正幅度'!$B$73:$K$79))</f>
        <v>-3.2000000000000001E-2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1329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4.3200000000000002E-2</v>
      </c>
      <c r="G57" s="531">
        <f t="shared" si="5"/>
        <v>2.1600000000000001E-2</v>
      </c>
      <c r="H57" s="532">
        <v>0</v>
      </c>
      <c r="I57" s="531">
        <f t="shared" si="6"/>
        <v>-2.4E-2</v>
      </c>
      <c r="J57" s="531">
        <f>SUMPRODUCT(('2002因素修正幅度'!$A$73:$A$79=A57)*('2002因素修正幅度'!$B$35:$K$35=$G$2)*('2002因素修正幅度'!$B$73:$K$79))</f>
        <v>-4.8000000000000001E-2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1320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894</v>
      </c>
      <c r="B59" s="254"/>
      <c r="C59" s="248" t="s">
        <v>896</v>
      </c>
      <c r="D59" s="249" t="s">
        <v>1513</v>
      </c>
      <c r="E59" s="250" t="s">
        <v>1514</v>
      </c>
      <c r="F59" s="138" t="s">
        <v>1515</v>
      </c>
      <c r="G59" s="138" t="s">
        <v>1516</v>
      </c>
      <c r="H59" s="138" t="s">
        <v>1517</v>
      </c>
      <c r="I59" s="138" t="s">
        <v>1518</v>
      </c>
      <c r="J59" s="138" t="s">
        <v>1519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3.2000000000000001E-2</v>
      </c>
      <c r="G60" s="531">
        <f>F60/2</f>
        <v>1.6E-2</v>
      </c>
      <c r="H60" s="532">
        <v>0</v>
      </c>
      <c r="I60" s="531">
        <f>J60/2</f>
        <v>-1.7999999999999999E-2</v>
      </c>
      <c r="J60" s="531">
        <f>SUMPRODUCT(('2002因素修正幅度'!$A$80:$A$87=A60)*('2002因素修正幅度'!$B$35:$K$35=$G$2)*('2002因素修正幅度'!$B$80:$K$87))</f>
        <v>-3.5999999999999997E-2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6.4000000000000001E-2</v>
      </c>
      <c r="G61" s="531">
        <f t="shared" ref="G61:G67" si="8">F61/2</f>
        <v>3.2000000000000001E-2</v>
      </c>
      <c r="H61" s="532">
        <v>0</v>
      </c>
      <c r="I61" s="531">
        <f t="shared" ref="I61:I67" si="9">J61/2</f>
        <v>-3.5999999999999997E-2</v>
      </c>
      <c r="J61" s="531">
        <f>SUMPRODUCT(('2002因素修正幅度'!$A$80:$A$87=A61)*('2002因素修正幅度'!$B$35:$K$35=$G$2)*('2002因素修正幅度'!$B$80:$K$87))</f>
        <v>-7.1999999999999995E-2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3.2000000000000001E-2</v>
      </c>
      <c r="G62" s="531">
        <f t="shared" si="8"/>
        <v>1.6E-2</v>
      </c>
      <c r="H62" s="532">
        <v>0</v>
      </c>
      <c r="I62" s="531">
        <f t="shared" si="9"/>
        <v>-1.7999999999999999E-2</v>
      </c>
      <c r="J62" s="531">
        <f>SUMPRODUCT(('2002因素修正幅度'!$A$80:$A$87=A62)*('2002因素修正幅度'!$B$35:$K$35=$G$2)*('2002因素修正幅度'!$B$80:$K$87))</f>
        <v>-3.5999999999999997E-2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908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3.2000000000000001E-2</v>
      </c>
      <c r="G63" s="531">
        <f t="shared" si="8"/>
        <v>1.6E-2</v>
      </c>
      <c r="H63" s="532">
        <v>0</v>
      </c>
      <c r="I63" s="531">
        <f t="shared" si="9"/>
        <v>-1.7999999999999999E-2</v>
      </c>
      <c r="J63" s="531">
        <f>SUMPRODUCT(('2002因素修正幅度'!$A$80:$A$87=A63)*('2002因素修正幅度'!$B$35:$K$35=$G$2)*('2002因素修正幅度'!$B$80:$K$87))</f>
        <v>-3.5999999999999997E-2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902</v>
      </c>
      <c r="B64" s="1707" t="s">
        <v>1756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2.5600000000000001E-2</v>
      </c>
      <c r="G64" s="531">
        <f t="shared" si="8"/>
        <v>1.2800000000000001E-2</v>
      </c>
      <c r="H64" s="532">
        <v>0</v>
      </c>
      <c r="I64" s="531">
        <f t="shared" si="9"/>
        <v>-1.44E-2</v>
      </c>
      <c r="J64" s="531">
        <f>SUMPRODUCT(('2002因素修正幅度'!$A$80:$A$87=A64)*('2002因素修正幅度'!$B$35:$K$35=$G$2)*('2002因素修正幅度'!$B$80:$K$87))</f>
        <v>-2.8799999999999999E-2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1329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3.8399999999999997E-2</v>
      </c>
      <c r="G65" s="531">
        <f t="shared" si="8"/>
        <v>1.9199999999999998E-2</v>
      </c>
      <c r="H65" s="532">
        <v>0</v>
      </c>
      <c r="I65" s="531">
        <f t="shared" si="9"/>
        <v>-2.1600000000000001E-2</v>
      </c>
      <c r="J65" s="531">
        <f>SUMPRODUCT(('2002因素修正幅度'!$A$80:$A$87=A65)*('2002因素修正幅度'!$B$35:$K$35=$G$2)*('2002因素修正幅度'!$B$80:$K$87))</f>
        <v>-4.3200000000000002E-2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905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6.4000000000000001E-2</v>
      </c>
      <c r="G66" s="531">
        <f t="shared" si="8"/>
        <v>3.2000000000000001E-2</v>
      </c>
      <c r="H66" s="532">
        <v>0</v>
      </c>
      <c r="I66" s="531">
        <f t="shared" si="9"/>
        <v>-3.5999999999999997E-2</v>
      </c>
      <c r="J66" s="531">
        <f>SUMPRODUCT(('2002因素修正幅度'!$A$80:$A$87=A66)*('2002因素修正幅度'!$B$35:$K$35=$G$2)*('2002因素修正幅度'!$B$80:$K$87))</f>
        <v>-7.1999999999999995E-2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1330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3.2000000000000001E-2</v>
      </c>
      <c r="G67" s="531">
        <f t="shared" si="8"/>
        <v>1.6E-2</v>
      </c>
      <c r="H67" s="532">
        <v>0</v>
      </c>
      <c r="I67" s="531">
        <f t="shared" si="9"/>
        <v>-1.7999999999999999E-2</v>
      </c>
      <c r="J67" s="531">
        <f>SUMPRODUCT(('2002因素修正幅度'!$A$80:$A$87=A67)*('2002因素修正幅度'!$B$35:$K$35=$G$2)*('2002因素修正幅度'!$B$80:$K$87))</f>
        <v>-3.5999999999999997E-2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894</v>
      </c>
      <c r="B69" s="254"/>
      <c r="C69" s="248" t="s">
        <v>896</v>
      </c>
      <c r="D69" s="249" t="s">
        <v>1513</v>
      </c>
      <c r="E69" s="250" t="s">
        <v>1514</v>
      </c>
      <c r="F69" s="138" t="s">
        <v>1515</v>
      </c>
      <c r="G69" s="138" t="s">
        <v>1516</v>
      </c>
      <c r="H69" s="138" t="s">
        <v>1517</v>
      </c>
      <c r="I69" s="138" t="s">
        <v>1518</v>
      </c>
      <c r="J69" s="138" t="s">
        <v>1519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</v>
      </c>
      <c r="G70" s="531">
        <f t="shared" ref="G70:G76" si="11">F70/2</f>
        <v>0</v>
      </c>
      <c r="H70" s="532">
        <v>0</v>
      </c>
      <c r="I70" s="531">
        <f t="shared" ref="I70:I76" si="12">J70/2</f>
        <v>0</v>
      </c>
      <c r="J70" s="531">
        <f>SUMPRODUCT(('2002因素修正幅度'!$A$88:$A$94=A70)*('2002因素修正幅度'!$B$35:$K$35=$G$2)*('2002因素修正幅度'!$B$88:$K$94))</f>
        <v>0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0</v>
      </c>
      <c r="G71" s="531">
        <f t="shared" si="11"/>
        <v>0</v>
      </c>
      <c r="H71" s="532">
        <v>0</v>
      </c>
      <c r="I71" s="531">
        <f t="shared" si="12"/>
        <v>0</v>
      </c>
      <c r="J71" s="531">
        <f>SUMPRODUCT(('2002因素修正幅度'!$A$88:$A$94=A71)*('2002因素修正幅度'!$B$35:$K$35=$G$2)*('2002因素修正幅度'!$B$88:$K$94))</f>
        <v>0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</v>
      </c>
      <c r="G72" s="531">
        <f t="shared" si="11"/>
        <v>0</v>
      </c>
      <c r="H72" s="532">
        <v>0</v>
      </c>
      <c r="I72" s="531">
        <f t="shared" si="12"/>
        <v>0</v>
      </c>
      <c r="J72" s="531">
        <f>SUMPRODUCT(('2002因素修正幅度'!$A$88:$A$94=A72)*('2002因素修正幅度'!$B$35:$K$35=$G$2)*('2002因素修正幅度'!$B$88:$K$94))</f>
        <v>0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908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0</v>
      </c>
      <c r="G73" s="531">
        <f t="shared" si="11"/>
        <v>0</v>
      </c>
      <c r="H73" s="532">
        <v>0</v>
      </c>
      <c r="I73" s="531">
        <f t="shared" si="12"/>
        <v>0</v>
      </c>
      <c r="J73" s="531">
        <f>SUMPRODUCT(('2002因素修正幅度'!$A$88:$A$94=A73)*('2002因素修正幅度'!$B$35:$K$35=$G$2)*('2002因素修正幅度'!$B$88:$K$94))</f>
        <v>0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902</v>
      </c>
      <c r="B74" s="1707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0</v>
      </c>
      <c r="G74" s="531">
        <f t="shared" si="11"/>
        <v>0</v>
      </c>
      <c r="H74" s="532">
        <v>0</v>
      </c>
      <c r="I74" s="531">
        <f t="shared" si="12"/>
        <v>0</v>
      </c>
      <c r="J74" s="531">
        <f>SUMPRODUCT(('2002因素修正幅度'!$A$88:$A$94=A74)*('2002因素修正幅度'!$B$35:$K$35=$G$2)*('2002因素修正幅度'!$B$88:$K$94))</f>
        <v>0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904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</v>
      </c>
      <c r="G75" s="531">
        <f t="shared" si="11"/>
        <v>0</v>
      </c>
      <c r="H75" s="532">
        <v>0</v>
      </c>
      <c r="I75" s="531">
        <f t="shared" si="12"/>
        <v>0</v>
      </c>
      <c r="J75" s="531">
        <f>SUMPRODUCT(('2002因素修正幅度'!$A$88:$A$94=A75)*('2002因素修正幅度'!$B$35:$K$35=$G$2)*('2002因素修正幅度'!$B$88:$K$94))</f>
        <v>0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911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0</v>
      </c>
      <c r="G76" s="531">
        <f t="shared" si="11"/>
        <v>0</v>
      </c>
      <c r="H76" s="532">
        <v>0</v>
      </c>
      <c r="I76" s="531">
        <f t="shared" si="12"/>
        <v>0</v>
      </c>
      <c r="J76" s="531">
        <f>SUMPRODUCT(('2002因素修正幅度'!$A$88:$A$94=A76)*('2002因素修正幅度'!$B$35:$K$35=$G$2)*('2002因素修正幅度'!$B$88:$K$94))</f>
        <v>0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1480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1481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1319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1321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1322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688</v>
      </c>
      <c r="B88" s="820" t="s">
        <v>292</v>
      </c>
      <c r="C88" s="820" t="s">
        <v>33</v>
      </c>
      <c r="D88" s="820" t="s">
        <v>294</v>
      </c>
      <c r="E88" s="820" t="s">
        <v>30</v>
      </c>
      <c r="F88" s="820" t="s">
        <v>31</v>
      </c>
      <c r="G88" s="820" t="s">
        <v>32</v>
      </c>
      <c r="H88" s="820" t="s">
        <v>298</v>
      </c>
      <c r="I88" s="820" t="s">
        <v>299</v>
      </c>
      <c r="J88" s="820" t="s">
        <v>300</v>
      </c>
      <c r="K88" s="820" t="s">
        <v>301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1316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1317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九级</v>
      </c>
      <c r="M1" s="583">
        <f>SUMPRODUCT((K3:K12=L1)*(L2:O2=K1)*(L3:O12))</f>
        <v>275</v>
      </c>
    </row>
    <row r="2" spans="1:19">
      <c r="A2" s="587" t="s">
        <v>1310</v>
      </c>
      <c r="B2" s="588" t="s">
        <v>1306</v>
      </c>
      <c r="C2" s="589"/>
      <c r="D2" s="590" t="s">
        <v>1307</v>
      </c>
      <c r="E2" s="590"/>
      <c r="F2" s="591" t="s">
        <v>1308</v>
      </c>
      <c r="G2" s="590"/>
      <c r="H2" s="591" t="s">
        <v>1309</v>
      </c>
      <c r="I2" s="590"/>
      <c r="K2" s="272"/>
      <c r="L2" s="273" t="s">
        <v>0</v>
      </c>
      <c r="M2" s="273" t="s">
        <v>1316</v>
      </c>
      <c r="N2" s="273" t="s">
        <v>1317</v>
      </c>
      <c r="O2" s="273" t="s">
        <v>229</v>
      </c>
    </row>
    <row r="3" spans="1:19">
      <c r="A3" s="592"/>
      <c r="B3" s="593" t="s">
        <v>1305</v>
      </c>
      <c r="C3" s="593" t="s">
        <v>1304</v>
      </c>
      <c r="D3" s="584" t="s">
        <v>1305</v>
      </c>
      <c r="E3" s="584" t="s">
        <v>1304</v>
      </c>
      <c r="F3" s="584" t="s">
        <v>1305</v>
      </c>
      <c r="G3" s="584" t="s">
        <v>1304</v>
      </c>
      <c r="H3" s="584" t="s">
        <v>1305</v>
      </c>
      <c r="I3" s="584" t="s">
        <v>1304</v>
      </c>
      <c r="K3" s="584" t="s">
        <v>345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345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405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405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583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583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665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665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668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668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670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670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672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672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676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676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1311</v>
      </c>
      <c r="B14" s="584" t="s">
        <v>1305</v>
      </c>
      <c r="C14" s="584" t="s">
        <v>1304</v>
      </c>
      <c r="D14" s="584" t="s">
        <v>1305</v>
      </c>
      <c r="E14" s="584" t="s">
        <v>1304</v>
      </c>
      <c r="F14" s="584" t="s">
        <v>1305</v>
      </c>
      <c r="G14" s="584" t="s">
        <v>1304</v>
      </c>
      <c r="H14" s="584" t="s">
        <v>1305</v>
      </c>
      <c r="I14" s="596" t="s">
        <v>1304</v>
      </c>
      <c r="L14" s="1058" t="s">
        <v>0</v>
      </c>
      <c r="M14" s="273" t="s">
        <v>1316</v>
      </c>
      <c r="N14" s="273" t="s">
        <v>1317</v>
      </c>
      <c r="O14" s="1059" t="s">
        <v>229</v>
      </c>
      <c r="P14" s="1058" t="s">
        <v>0</v>
      </c>
      <c r="Q14" s="273" t="s">
        <v>1316</v>
      </c>
      <c r="R14" s="273" t="s">
        <v>1317</v>
      </c>
      <c r="S14" s="1059" t="s">
        <v>229</v>
      </c>
    </row>
    <row r="15" spans="1:19" ht="14.25">
      <c r="A15" s="584" t="s">
        <v>345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345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405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405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583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583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665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665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668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668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670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670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672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672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676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676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1323</v>
      </c>
      <c r="B1" s="1815" t="s">
        <v>1324</v>
      </c>
      <c r="C1" s="1816"/>
      <c r="D1" s="1817"/>
      <c r="E1" s="1815" t="s">
        <v>1325</v>
      </c>
      <c r="F1" s="1816"/>
      <c r="G1" s="1817"/>
    </row>
    <row r="2" spans="1:7">
      <c r="A2" s="1819"/>
      <c r="B2" s="603" t="s">
        <v>1326</v>
      </c>
      <c r="C2" s="604" t="s">
        <v>1327</v>
      </c>
      <c r="D2" s="605" t="s">
        <v>1328</v>
      </c>
      <c r="E2" s="603" t="s">
        <v>1326</v>
      </c>
      <c r="F2" s="604" t="s">
        <v>1327</v>
      </c>
      <c r="G2" s="605" t="s">
        <v>1328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1331</v>
      </c>
      <c r="B1" s="554" t="s">
        <v>345</v>
      </c>
      <c r="C1" s="558" t="s">
        <v>345</v>
      </c>
      <c r="D1" s="554" t="s">
        <v>405</v>
      </c>
      <c r="E1" s="555" t="s">
        <v>405</v>
      </c>
      <c r="F1" s="560" t="s">
        <v>583</v>
      </c>
      <c r="G1" s="558" t="s">
        <v>583</v>
      </c>
      <c r="H1" s="554" t="s">
        <v>254</v>
      </c>
      <c r="I1" s="555" t="s">
        <v>254</v>
      </c>
      <c r="J1" s="560" t="s">
        <v>665</v>
      </c>
      <c r="K1" s="558" t="s">
        <v>665</v>
      </c>
      <c r="L1" s="554" t="s">
        <v>34</v>
      </c>
      <c r="M1" s="555" t="s">
        <v>34</v>
      </c>
      <c r="N1" s="560" t="s">
        <v>668</v>
      </c>
      <c r="O1" s="558" t="s">
        <v>668</v>
      </c>
      <c r="P1" s="554" t="s">
        <v>670</v>
      </c>
      <c r="Q1" s="555" t="s">
        <v>670</v>
      </c>
      <c r="R1" s="560" t="s">
        <v>672</v>
      </c>
      <c r="S1" s="558" t="s">
        <v>672</v>
      </c>
      <c r="T1" s="554" t="s">
        <v>676</v>
      </c>
      <c r="U1" s="555" t="s">
        <v>676</v>
      </c>
    </row>
    <row r="2" spans="1:21" ht="12.75" thickBot="1">
      <c r="A2" s="569"/>
      <c r="B2" s="556" t="s">
        <v>1336</v>
      </c>
      <c r="C2" s="559" t="s">
        <v>1337</v>
      </c>
      <c r="D2" s="556" t="s">
        <v>1336</v>
      </c>
      <c r="E2" s="557" t="s">
        <v>1337</v>
      </c>
      <c r="F2" s="561" t="s">
        <v>1336</v>
      </c>
      <c r="G2" s="559" t="s">
        <v>1337</v>
      </c>
      <c r="H2" s="556" t="s">
        <v>1336</v>
      </c>
      <c r="I2" s="557" t="s">
        <v>1337</v>
      </c>
      <c r="J2" s="561" t="s">
        <v>1336</v>
      </c>
      <c r="K2" s="559" t="s">
        <v>1337</v>
      </c>
      <c r="L2" s="556" t="s">
        <v>1336</v>
      </c>
      <c r="M2" s="557" t="s">
        <v>1337</v>
      </c>
      <c r="N2" s="561" t="s">
        <v>1336</v>
      </c>
      <c r="O2" s="559" t="s">
        <v>1337</v>
      </c>
      <c r="P2" s="556" t="s">
        <v>1336</v>
      </c>
      <c r="Q2" s="557" t="s">
        <v>1337</v>
      </c>
      <c r="R2" s="561" t="s">
        <v>1336</v>
      </c>
      <c r="S2" s="559" t="s">
        <v>1337</v>
      </c>
      <c r="T2" s="556" t="s">
        <v>1332</v>
      </c>
      <c r="U2" s="557" t="s">
        <v>1333</v>
      </c>
    </row>
    <row r="3" spans="1:21">
      <c r="A3" s="533" t="s">
        <v>897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900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901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902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904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906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900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901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902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1329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908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902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1329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905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1330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908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902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904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911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1335</v>
      </c>
      <c r="B35" s="549" t="s">
        <v>292</v>
      </c>
      <c r="C35" s="550" t="s">
        <v>33</v>
      </c>
      <c r="D35" s="550" t="s">
        <v>294</v>
      </c>
      <c r="E35" s="550" t="s">
        <v>30</v>
      </c>
      <c r="F35" s="550" t="s">
        <v>31</v>
      </c>
      <c r="G35" s="550" t="s">
        <v>32</v>
      </c>
      <c r="H35" s="551" t="s">
        <v>298</v>
      </c>
      <c r="I35" s="551" t="s">
        <v>299</v>
      </c>
      <c r="J35" s="550" t="s">
        <v>300</v>
      </c>
      <c r="K35" s="552" t="s">
        <v>301</v>
      </c>
    </row>
    <row r="36" spans="1:11">
      <c r="A36" s="536" t="s">
        <v>897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900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901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902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904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906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900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901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902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1329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908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902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1329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905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1330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908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902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904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911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1334</v>
      </c>
      <c r="B65" s="550" t="s">
        <v>292</v>
      </c>
      <c r="C65" s="550" t="s">
        <v>33</v>
      </c>
      <c r="D65" s="550" t="s">
        <v>294</v>
      </c>
      <c r="E65" s="550" t="s">
        <v>30</v>
      </c>
      <c r="F65" s="550" t="s">
        <v>31</v>
      </c>
      <c r="G65" s="550" t="s">
        <v>32</v>
      </c>
      <c r="H65" s="551" t="s">
        <v>298</v>
      </c>
      <c r="I65" s="551" t="s">
        <v>299</v>
      </c>
      <c r="J65" s="550" t="s">
        <v>300</v>
      </c>
      <c r="K65" s="552" t="s">
        <v>301</v>
      </c>
    </row>
    <row r="66" spans="1:11">
      <c r="A66" s="536" t="s">
        <v>897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900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901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902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904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906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900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901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902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1329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908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902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1329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905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1330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908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902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904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911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1468</v>
      </c>
      <c r="B1" s="632"/>
      <c r="C1" s="1531" t="s">
        <v>1573</v>
      </c>
      <c r="D1" s="703" t="s">
        <v>1433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912</v>
      </c>
      <c r="B2" s="715" t="str">
        <f>IF(C1="求取熟地价",E27,IF(C1="求取毛地价",E29,"——"))</f>
        <v>——</v>
      </c>
      <c r="C2" s="978" t="s">
        <v>985</v>
      </c>
      <c r="D2" s="1830" t="s">
        <v>1438</v>
      </c>
      <c r="E2" s="1820" t="s">
        <v>1434</v>
      </c>
      <c r="F2" s="680" t="s">
        <v>1437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1569</v>
      </c>
      <c r="B3" s="717" t="e">
        <f ca="1">IF(C1="求取熟地价",C27,ROUND((C15*B11+C18)*C22/B11,0))</f>
        <v>#DIV/0!</v>
      </c>
      <c r="C3" s="979" t="s">
        <v>916</v>
      </c>
      <c r="D3" s="1831"/>
      <c r="E3" s="1821"/>
      <c r="F3" s="680" t="s">
        <v>1448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31"/>
      <c r="E4" s="1821"/>
      <c r="F4" s="680" t="s">
        <v>1449</v>
      </c>
      <c r="G4" s="376"/>
      <c r="H4" s="376"/>
      <c r="I4" s="683"/>
      <c r="J4" s="707"/>
      <c r="AE4" s="480"/>
      <c r="AF4" s="480"/>
    </row>
    <row r="5" spans="1:36" ht="14.25">
      <c r="A5" s="718" t="s">
        <v>988</v>
      </c>
      <c r="B5" s="981" t="str">
        <f>主表!B12</f>
        <v>住宅/居住</v>
      </c>
      <c r="C5" s="722"/>
      <c r="D5" s="1832"/>
      <c r="E5" s="1822"/>
      <c r="F5" s="680" t="s">
        <v>1450</v>
      </c>
      <c r="G5" s="376"/>
      <c r="H5" s="376"/>
      <c r="I5" s="683"/>
      <c r="J5" s="707"/>
      <c r="AE5" s="480"/>
      <c r="AF5" s="480"/>
    </row>
    <row r="6" spans="1:36" ht="14.25">
      <c r="A6" s="719" t="s">
        <v>1446</v>
      </c>
      <c r="B6" s="1354"/>
      <c r="C6" s="722"/>
      <c r="D6" s="1830" t="s">
        <v>1439</v>
      </c>
      <c r="E6" s="1820" t="s">
        <v>1435</v>
      </c>
      <c r="F6" s="680" t="s">
        <v>1451</v>
      </c>
      <c r="G6" s="376"/>
      <c r="H6" s="376"/>
      <c r="I6" s="683"/>
      <c r="J6" s="707"/>
      <c r="AE6" s="480"/>
      <c r="AF6" s="480"/>
    </row>
    <row r="7" spans="1:36" ht="14.25">
      <c r="A7" s="1387" t="s">
        <v>1447</v>
      </c>
      <c r="B7" s="1388" t="str">
        <f>LEFT(主表!B10,1)&amp;"类"</f>
        <v>九类</v>
      </c>
      <c r="C7" s="722"/>
      <c r="D7" s="1831"/>
      <c r="E7" s="1821"/>
      <c r="F7" s="680" t="s">
        <v>1452</v>
      </c>
      <c r="G7" s="376"/>
      <c r="H7" s="376"/>
      <c r="I7" s="683"/>
      <c r="J7" s="707"/>
      <c r="AE7" s="480"/>
      <c r="AF7" s="480"/>
    </row>
    <row r="8" spans="1:36" ht="15">
      <c r="A8" s="719" t="s">
        <v>1574</v>
      </c>
      <c r="B8" s="1420"/>
      <c r="C8" s="722"/>
      <c r="D8" s="1832"/>
      <c r="E8" s="1822"/>
      <c r="F8" s="680" t="s">
        <v>1453</v>
      </c>
      <c r="G8" s="376"/>
      <c r="H8" s="376"/>
      <c r="I8" s="683"/>
      <c r="J8" s="707"/>
      <c r="AE8" s="480"/>
      <c r="AF8" s="480"/>
    </row>
    <row r="9" spans="1:36" ht="15">
      <c r="A9" s="719" t="s">
        <v>1185</v>
      </c>
      <c r="B9" s="720">
        <f>主表!B7</f>
        <v>459.9</v>
      </c>
      <c r="C9" s="722"/>
      <c r="D9" s="706" t="s">
        <v>1440</v>
      </c>
      <c r="E9" s="682" t="s">
        <v>1416</v>
      </c>
      <c r="F9" s="680" t="s">
        <v>1454</v>
      </c>
      <c r="G9" s="376"/>
      <c r="H9" s="376"/>
      <c r="I9" s="683"/>
      <c r="J9" s="707"/>
      <c r="AE9" s="480"/>
      <c r="AF9" s="480"/>
    </row>
    <row r="10" spans="1:36" ht="15">
      <c r="A10" s="719" t="s">
        <v>1355</v>
      </c>
      <c r="B10" s="720">
        <f>主表!B6</f>
        <v>0</v>
      </c>
      <c r="C10" s="722"/>
      <c r="D10" s="1830" t="s">
        <v>1417</v>
      </c>
      <c r="E10" s="1820" t="s">
        <v>1436</v>
      </c>
      <c r="F10" s="680" t="s">
        <v>1455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1228</v>
      </c>
      <c r="B11" s="721" t="e">
        <f>IF(A11="容积率",主表!B8,主表!B9)</f>
        <v>#DIV/0!</v>
      </c>
      <c r="C11" s="722"/>
      <c r="D11" s="1833"/>
      <c r="E11" s="1823"/>
      <c r="F11" s="708" t="s">
        <v>1456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1463</v>
      </c>
      <c r="B13" s="701"/>
      <c r="C13" s="702" t="s">
        <v>1464</v>
      </c>
      <c r="D13" s="980" t="s">
        <v>1305</v>
      </c>
      <c r="E13" s="981" t="s">
        <v>1457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917</v>
      </c>
      <c r="B14" s="1394" t="s">
        <v>1441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1460</v>
      </c>
      <c r="B15" s="1389" t="s">
        <v>1425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1442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1443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1578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1461</v>
      </c>
      <c r="B18" s="1431" t="s">
        <v>1445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1444</v>
      </c>
      <c r="C19" s="1429"/>
      <c r="D19" s="652">
        <f>SUMPRODUCT((D35:M35=B7)*(B44:B46=B19)*(D44:M46))</f>
        <v>0</v>
      </c>
      <c r="E19" s="652">
        <f>SUMPRODUCT((D35:M35=B7)*(B47:B49=B19)*(D47:M49))</f>
        <v>0</v>
      </c>
      <c r="F19" s="1418" t="s">
        <v>1462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1577</v>
      </c>
      <c r="C20" s="1415"/>
      <c r="D20" s="1416">
        <f>SUMPRODUCT((D35:M35=B7)*(B50:B51=F20)*(D50:M51))</f>
        <v>0</v>
      </c>
      <c r="E20" s="1396">
        <f>SUMPRODUCT((D35:M35=B7)*(B52:B53=F20)*(D52:M53))</f>
        <v>0</v>
      </c>
      <c r="F20" s="1419" t="s">
        <v>1430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1575</v>
      </c>
      <c r="B21" s="1403" t="s">
        <v>941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1576</v>
      </c>
      <c r="B22" s="1389" t="s">
        <v>202</v>
      </c>
      <c r="C22" s="1399">
        <f ca="1">ROUND(POWER(1+C23,C25-C24)*(POWER(1+C23,C24)-1)/(POWER(1+C23,C25)-1),4)</f>
        <v>0.98670000000000002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939</v>
      </c>
      <c r="C23" s="689">
        <f ca="1">AVERAGE(存贷款利率!G3,存贷款利率!I3)</f>
        <v>4.2499999999999996E-2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1652</v>
      </c>
      <c r="C24" s="638">
        <f>IF(B24="剩余土地使用年限",主表!B15,主表!B16)</f>
        <v>65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1459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943</v>
      </c>
      <c r="B26" s="1407" t="s">
        <v>946</v>
      </c>
      <c r="C26" s="1408" t="s">
        <v>950</v>
      </c>
      <c r="D26" s="1408" t="s">
        <v>1354</v>
      </c>
      <c r="E26" s="1409" t="s">
        <v>959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1352</v>
      </c>
      <c r="B27" s="780" t="s">
        <v>1339</v>
      </c>
      <c r="C27" s="638" t="e">
        <f>ROUND(C28/B11,0)</f>
        <v>#DIV/0!</v>
      </c>
      <c r="D27" s="647">
        <f>B9</f>
        <v>459.9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1342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1465</v>
      </c>
      <c r="B29" s="767" t="s">
        <v>1466</v>
      </c>
      <c r="C29" s="652" t="e">
        <f>ROUND(C30/B11,0)</f>
        <v>#DIV/0!</v>
      </c>
      <c r="D29" s="653">
        <f>B9</f>
        <v>459.9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6"/>
      <c r="B30" s="982" t="s">
        <v>1467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1405</v>
      </c>
      <c r="C35" s="679"/>
      <c r="D35" s="679" t="s">
        <v>1406</v>
      </c>
      <c r="E35" s="679" t="s">
        <v>1407</v>
      </c>
      <c r="F35" s="679" t="s">
        <v>1408</v>
      </c>
      <c r="G35" s="679" t="s">
        <v>1409</v>
      </c>
      <c r="H35" s="679" t="s">
        <v>1410</v>
      </c>
      <c r="I35" s="679" t="s">
        <v>1411</v>
      </c>
      <c r="J35" s="679" t="s">
        <v>1412</v>
      </c>
      <c r="K35" s="679" t="s">
        <v>1413</v>
      </c>
      <c r="L35" s="679" t="s">
        <v>1414</v>
      </c>
      <c r="M35" s="679" t="s">
        <v>1415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1418</v>
      </c>
      <c r="B36" s="985" t="s">
        <v>1419</v>
      </c>
      <c r="C36" s="986" t="s">
        <v>1420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89" t="s">
        <v>1422</v>
      </c>
      <c r="C37" s="990" t="s">
        <v>1420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89" t="s">
        <v>1423</v>
      </c>
      <c r="C38" s="990" t="s">
        <v>1420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92" t="s">
        <v>1424</v>
      </c>
      <c r="C39" s="993" t="s">
        <v>1420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85" t="s">
        <v>1419</v>
      </c>
      <c r="C40" s="986" t="s">
        <v>1421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89" t="s">
        <v>1422</v>
      </c>
      <c r="C41" s="990" t="s">
        <v>1421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89" t="s">
        <v>1423</v>
      </c>
      <c r="C42" s="990" t="s">
        <v>1421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92" t="s">
        <v>1424</v>
      </c>
      <c r="C43" s="993" t="s">
        <v>1421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1425</v>
      </c>
      <c r="B44" s="996" t="s">
        <v>1426</v>
      </c>
      <c r="C44" s="986" t="s">
        <v>1420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97" t="s">
        <v>1427</v>
      </c>
      <c r="C45" s="990" t="s">
        <v>1420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98" t="s">
        <v>1428</v>
      </c>
      <c r="C46" s="993" t="s">
        <v>1420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96" t="s">
        <v>1426</v>
      </c>
      <c r="C47" s="986" t="s">
        <v>1421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97" t="s">
        <v>1427</v>
      </c>
      <c r="C48" s="990" t="s">
        <v>1421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98" t="s">
        <v>1428</v>
      </c>
      <c r="C49" s="993" t="s">
        <v>1421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1429</v>
      </c>
      <c r="B50" s="996" t="s">
        <v>1458</v>
      </c>
      <c r="C50" s="986" t="s">
        <v>1420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98" t="s">
        <v>1432</v>
      </c>
      <c r="C51" s="993" t="s">
        <v>1420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96" t="s">
        <v>1431</v>
      </c>
      <c r="C52" s="986" t="s">
        <v>1421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98" t="s">
        <v>1432</v>
      </c>
      <c r="C53" s="993" t="s">
        <v>1421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1404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1183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1146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1147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230</v>
      </c>
      <c r="D5" s="1840"/>
      <c r="E5" s="1863" t="s">
        <v>231</v>
      </c>
      <c r="F5" s="1864"/>
      <c r="G5" s="1839" t="s">
        <v>234</v>
      </c>
      <c r="H5" s="1840"/>
      <c r="I5" s="1839" t="s">
        <v>232</v>
      </c>
      <c r="J5" s="1840"/>
      <c r="K5" s="142"/>
      <c r="L5" s="451"/>
      <c r="M5" s="452"/>
      <c r="N5" s="452"/>
      <c r="O5" s="452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233</v>
      </c>
      <c r="D6" s="1837"/>
      <c r="E6" s="1834" t="s">
        <v>233</v>
      </c>
      <c r="F6" s="1835"/>
      <c r="G6" s="1836" t="s">
        <v>233</v>
      </c>
      <c r="H6" s="1837"/>
      <c r="I6" s="1836" t="s">
        <v>233</v>
      </c>
      <c r="J6" s="1837"/>
      <c r="K6" s="142" t="s">
        <v>97</v>
      </c>
      <c r="L6" s="451"/>
      <c r="M6" s="452"/>
      <c r="N6" s="452"/>
      <c r="O6" s="452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5">
        <f>主表!B4</f>
        <v>42193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1228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1547</v>
      </c>
      <c r="C12" s="1096" t="str">
        <f>主表!B10</f>
        <v>九级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1205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1206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7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7"/>
      <c r="Q30" s="500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1560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1561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1562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2015-7-1</v>
      </c>
      <c r="D56" s="1688">
        <f>EDATE(C56,-3)</f>
        <v>42095</v>
      </c>
      <c r="E56" s="1688">
        <f t="shared" ref="E56:O56" si="15">EDATE(D56,-3)</f>
        <v>42005</v>
      </c>
      <c r="F56" s="1688">
        <f t="shared" si="15"/>
        <v>41913</v>
      </c>
      <c r="G56" s="1688">
        <f t="shared" si="15"/>
        <v>41821</v>
      </c>
      <c r="H56" s="1688">
        <f t="shared" si="15"/>
        <v>41730</v>
      </c>
      <c r="I56" s="1688">
        <f t="shared" si="15"/>
        <v>41640</v>
      </c>
      <c r="J56" s="1688">
        <f t="shared" si="15"/>
        <v>41548</v>
      </c>
      <c r="K56" s="1688">
        <f t="shared" si="15"/>
        <v>41456</v>
      </c>
      <c r="L56" s="1688">
        <f t="shared" si="15"/>
        <v>41365</v>
      </c>
      <c r="M56" s="1688">
        <f t="shared" si="15"/>
        <v>41275</v>
      </c>
      <c r="N56" s="1688">
        <f t="shared" si="15"/>
        <v>41183</v>
      </c>
      <c r="O56" s="1688">
        <f t="shared" si="15"/>
        <v>41091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2015-3</v>
      </c>
      <c r="D58" s="1687" t="str">
        <f t="shared" ref="D58:O58" si="16">YEAR(D56)&amp;"-"&amp;ROUNDUP(MONTH(D56)/3,0)</f>
        <v>2015-2</v>
      </c>
      <c r="E58" s="1687" t="str">
        <f t="shared" si="16"/>
        <v>2015-1</v>
      </c>
      <c r="F58" s="1687" t="str">
        <f t="shared" si="16"/>
        <v>2014-4</v>
      </c>
      <c r="G58" s="1687" t="str">
        <f t="shared" si="16"/>
        <v>2014-3</v>
      </c>
      <c r="H58" s="1687" t="str">
        <f t="shared" si="16"/>
        <v>2014-2</v>
      </c>
      <c r="I58" s="1687" t="str">
        <f t="shared" si="16"/>
        <v>2014-1</v>
      </c>
      <c r="J58" s="1687" t="str">
        <f t="shared" si="16"/>
        <v>2013-4</v>
      </c>
      <c r="K58" s="1687" t="str">
        <f t="shared" si="16"/>
        <v>2013-3</v>
      </c>
      <c r="L58" s="1687" t="str">
        <f t="shared" si="16"/>
        <v>2013-2</v>
      </c>
      <c r="M58" s="1687" t="str">
        <f t="shared" si="16"/>
        <v>2013-1</v>
      </c>
      <c r="N58" s="1687" t="str">
        <f t="shared" si="16"/>
        <v>2012-4</v>
      </c>
      <c r="O58" s="1687" t="str">
        <f t="shared" si="16"/>
        <v>2012-3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1548</v>
      </c>
      <c r="D70" s="1069" t="s">
        <v>1549</v>
      </c>
      <c r="E70" s="1069" t="s">
        <v>1550</v>
      </c>
      <c r="F70" s="1069" t="s">
        <v>1551</v>
      </c>
      <c r="G70" s="1069" t="s">
        <v>1552</v>
      </c>
      <c r="H70" s="1069" t="s">
        <v>1553</v>
      </c>
      <c r="I70" s="1069" t="s">
        <v>1554</v>
      </c>
      <c r="J70" s="1069" t="s">
        <v>1555</v>
      </c>
      <c r="K70" s="1069" t="s">
        <v>1556</v>
      </c>
      <c r="L70" s="1069" t="s">
        <v>1557</v>
      </c>
      <c r="M70" s="1070" t="s">
        <v>1558</v>
      </c>
      <c r="N70" s="1070" t="s">
        <v>1559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1205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1207</v>
      </c>
      <c r="C90" s="11" t="s">
        <v>1200</v>
      </c>
      <c r="D90" s="11" t="s">
        <v>1201</v>
      </c>
      <c r="E90" s="11" t="s">
        <v>1202</v>
      </c>
      <c r="F90" s="11" t="s">
        <v>1203</v>
      </c>
      <c r="G90" s="11" t="s">
        <v>1204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1563</v>
      </c>
      <c r="D102" s="1148" t="s">
        <v>1564</v>
      </c>
      <c r="E102" s="1148" t="s">
        <v>1565</v>
      </c>
      <c r="F102" s="1148" t="s">
        <v>1566</v>
      </c>
      <c r="G102" s="1148" t="s">
        <v>1567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1562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1563</v>
      </c>
      <c r="D119" s="1148" t="s">
        <v>1564</v>
      </c>
      <c r="E119" s="1148" t="s">
        <v>1565</v>
      </c>
      <c r="F119" s="1148" t="s">
        <v>1566</v>
      </c>
      <c r="G119" s="1148" t="s">
        <v>1567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1520</v>
      </c>
      <c r="C1" s="1045">
        <f>主表!B3</f>
        <v>43327</v>
      </c>
      <c r="D1" s="1000" t="str">
        <f>主表!A23</f>
        <v>建设期</v>
      </c>
      <c r="E1" s="1040">
        <f>主表!B23</f>
        <v>0.5</v>
      </c>
      <c r="F1" s="1000" t="s">
        <v>1521</v>
      </c>
      <c r="G1" s="1001">
        <f ca="1">INDIRECT("d"&amp;$K$1)/100</f>
        <v>4.3499999999999997E-2</v>
      </c>
      <c r="H1" s="1000" t="s">
        <v>1522</v>
      </c>
      <c r="I1" s="1001">
        <f ca="1">SUMIF(F4:F8,E1,G4:G8)/100</f>
        <v>1.3000000000000001E-2</v>
      </c>
      <c r="J1" s="1170">
        <f>IF(C1&gt;C14,0,MATCH(C1,C$14:C$59,-1))+IF(SUMIF(C14:C59,C1,D14:D59)=0,14,13)</f>
        <v>14</v>
      </c>
      <c r="K1" s="1170">
        <f ca="1">MATCH(E1,C4:C8,1)+IF(SUMIF(C4:C8,E1,D4:D8)=0,3,2)</f>
        <v>4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1208</v>
      </c>
      <c r="C2" s="1046">
        <f>主表!B4</f>
        <v>42193</v>
      </c>
      <c r="D2" s="1044" t="str">
        <f>主表!A24</f>
        <v>土地开发期</v>
      </c>
      <c r="E2" s="1040">
        <f>主表!B24</f>
        <v>0.5</v>
      </c>
      <c r="F2" s="1000" t="s">
        <v>1521</v>
      </c>
      <c r="G2" s="1001">
        <f ca="1">INDIRECT("e"&amp;$K$2)/100</f>
        <v>4.8499999999999995E-2</v>
      </c>
      <c r="H2" s="1000" t="s">
        <v>1522</v>
      </c>
      <c r="I2" s="1001">
        <f ca="1">SUMIF(F4:F8,E2,G4:G8)/100</f>
        <v>1.3000000000000001E-2</v>
      </c>
      <c r="J2" s="1170">
        <f>IF(C2&gt;C14,0,MATCH(C2,C$14:C$59,-1))+IF(SUMIF(C14:C59,C2,D14:D59)=0,14,13)</f>
        <v>16</v>
      </c>
      <c r="K2" s="1170">
        <f ca="1">MATCH(E2,C4:C8,1)+IF(SUMIF(C4:C8,E2,D4:D8)=0,3,2)</f>
        <v>4</v>
      </c>
      <c r="L2" s="1170">
        <f>IF(C2&gt;M14,0,MATCH(C2,M$14:M$52,-1))+IF(SUMIF(M14:M52,C2,N14:N52)=0,14,13)</f>
        <v>16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1521</v>
      </c>
      <c r="G3" s="1052">
        <f ca="1">INDIRECT("e"&amp;$K$3)/100</f>
        <v>5.2499999999999998E-2</v>
      </c>
      <c r="H3" s="1051" t="s">
        <v>1522</v>
      </c>
      <c r="I3" s="1052">
        <f ca="1">SUMIF(F4:F8,E3,H4:H8)/100</f>
        <v>3.2500000000000001E-2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1523</v>
      </c>
      <c r="C4" s="1037">
        <v>0</v>
      </c>
      <c r="D4" s="1036">
        <f ca="1">INDIRECT("d"&amp;$J$1)</f>
        <v>4.3499999999999996</v>
      </c>
      <c r="E4" s="1036">
        <f ca="1">INDIRECT("d"&amp;$J$2)</f>
        <v>4.8499999999999996</v>
      </c>
      <c r="F4" s="1037">
        <v>0.5</v>
      </c>
      <c r="G4" s="1038">
        <f ca="1">INDIRECT("p"&amp;$L$1)</f>
        <v>1.3</v>
      </c>
      <c r="H4" s="1038">
        <f ca="1">INDIRECT("p"&amp;$L$2)</f>
        <v>1.8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1524</v>
      </c>
      <c r="C5" s="1007">
        <v>0.5</v>
      </c>
      <c r="D5" s="1008">
        <f ca="1">INDIRECT("e"&amp;$J$1)</f>
        <v>4.3499999999999996</v>
      </c>
      <c r="E5" s="1008">
        <f ca="1">INDIRECT("e"&amp;$J$2)</f>
        <v>4.8499999999999996</v>
      </c>
      <c r="F5" s="1007">
        <v>1</v>
      </c>
      <c r="G5" s="1039">
        <f ca="1">INDIRECT("q"&amp;$L$1)</f>
        <v>1.5</v>
      </c>
      <c r="H5" s="1039">
        <f ca="1">INDIRECT("q"&amp;$L$2)</f>
        <v>2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1525</v>
      </c>
      <c r="C6" s="1007">
        <v>1</v>
      </c>
      <c r="D6" s="1008">
        <f ca="1">INDIRECT("f"&amp;$J$1)</f>
        <v>4.75</v>
      </c>
      <c r="E6" s="1008">
        <f ca="1">INDIRECT("f"&amp;$J$2)</f>
        <v>5.25</v>
      </c>
      <c r="F6" s="1007">
        <v>2</v>
      </c>
      <c r="G6" s="1039">
        <f ca="1">INDIRECT("r"&amp;$L$1)</f>
        <v>2.1</v>
      </c>
      <c r="H6" s="1039">
        <f ca="1">INDIRECT("r"&amp;$L$2)</f>
        <v>2.6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1526</v>
      </c>
      <c r="C7" s="1007">
        <v>3</v>
      </c>
      <c r="D7" s="1008">
        <f ca="1">INDIRECT("g"&amp;$J$1)</f>
        <v>4.75</v>
      </c>
      <c r="E7" s="1008">
        <f ca="1">INDIRECT("g"&amp;$J$2)</f>
        <v>5.25</v>
      </c>
      <c r="F7" s="1007">
        <v>3</v>
      </c>
      <c r="G7" s="1039">
        <f ca="1">INDIRECT("s"&amp;$L$1)</f>
        <v>2.75</v>
      </c>
      <c r="H7" s="1039">
        <f ca="1">INDIRECT("s"&amp;$L$2)</f>
        <v>3.25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1527</v>
      </c>
      <c r="C8" s="1007">
        <v>5</v>
      </c>
      <c r="D8" s="1008">
        <f ca="1">INDIRECT("h"&amp;$J$1)</f>
        <v>4.9000000000000004</v>
      </c>
      <c r="E8" s="1008">
        <f ca="1">INDIRECT("h"&amp;$J$2)</f>
        <v>5.4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1528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1529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1530</v>
      </c>
      <c r="C12" s="1014" t="s">
        <v>1531</v>
      </c>
      <c r="D12" s="1015" t="s">
        <v>1532</v>
      </c>
      <c r="E12" s="1016"/>
      <c r="F12" s="1015" t="s">
        <v>1533</v>
      </c>
      <c r="G12" s="1017"/>
      <c r="H12" s="1016"/>
      <c r="I12" s="1015" t="s">
        <v>1534</v>
      </c>
      <c r="J12" s="1016"/>
      <c r="K12" s="1012"/>
      <c r="L12" s="1013" t="s">
        <v>1530</v>
      </c>
      <c r="M12" s="1014" t="s">
        <v>1531</v>
      </c>
      <c r="N12" s="1013" t="s">
        <v>1535</v>
      </c>
      <c r="O12" s="1015" t="s">
        <v>1536</v>
      </c>
      <c r="P12" s="1017"/>
      <c r="Q12" s="1017"/>
      <c r="R12" s="1017"/>
      <c r="S12" s="1017"/>
      <c r="T12" s="1016"/>
      <c r="U12" s="1015" t="s">
        <v>1537</v>
      </c>
      <c r="V12" s="1017"/>
      <c r="W12" s="1016"/>
      <c r="X12" s="1013" t="s">
        <v>1538</v>
      </c>
      <c r="Y12" s="1013" t="s">
        <v>1539</v>
      </c>
      <c r="Z12" s="1013" t="s">
        <v>1540</v>
      </c>
    </row>
    <row r="13" spans="1:26" s="1023" customFormat="1">
      <c r="A13" s="1019"/>
      <c r="B13" s="1020"/>
      <c r="C13" s="1021"/>
      <c r="D13" s="1006" t="s">
        <v>1523</v>
      </c>
      <c r="E13" s="1006" t="s">
        <v>1524</v>
      </c>
      <c r="F13" s="1006" t="s">
        <v>1525</v>
      </c>
      <c r="G13" s="1006" t="s">
        <v>1526</v>
      </c>
      <c r="H13" s="1006" t="s">
        <v>1527</v>
      </c>
      <c r="I13" s="1022" t="s">
        <v>1541</v>
      </c>
      <c r="J13" s="1022" t="s">
        <v>1541</v>
      </c>
      <c r="K13" s="1019"/>
      <c r="L13" s="1020"/>
      <c r="M13" s="1021"/>
      <c r="N13" s="1020"/>
      <c r="O13" s="1022" t="s">
        <v>1542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1543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1543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1544</v>
      </c>
      <c r="Y43" s="1030" t="s">
        <v>1544</v>
      </c>
      <c r="Z43" s="1030" t="s">
        <v>1544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1544</v>
      </c>
      <c r="Y44" s="1030" t="s">
        <v>1544</v>
      </c>
      <c r="Z44" s="1030" t="s">
        <v>1544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1544</v>
      </c>
      <c r="Y45" s="1030" t="s">
        <v>1544</v>
      </c>
      <c r="Z45" s="1030" t="s">
        <v>1544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1544</v>
      </c>
      <c r="Y46" s="1030" t="s">
        <v>1544</v>
      </c>
      <c r="Z46" s="1030" t="s">
        <v>1544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1544</v>
      </c>
      <c r="Y47" s="1030" t="s">
        <v>1544</v>
      </c>
      <c r="Z47" s="1030" t="s">
        <v>1544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1544</v>
      </c>
      <c r="Y48" s="1030" t="s">
        <v>1544</v>
      </c>
      <c r="Z48" s="1030" t="s">
        <v>1544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1544</v>
      </c>
      <c r="Y49" s="1030" t="s">
        <v>1544</v>
      </c>
      <c r="Z49" s="1030" t="s">
        <v>1544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1544</v>
      </c>
      <c r="Y50" s="1030" t="s">
        <v>1544</v>
      </c>
      <c r="Z50" s="1030" t="s">
        <v>1544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1544</v>
      </c>
      <c r="Y51" s="1030" t="s">
        <v>1544</v>
      </c>
      <c r="Z51" s="1030" t="s">
        <v>1544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1544</v>
      </c>
      <c r="V52" s="1030" t="s">
        <v>1544</v>
      </c>
      <c r="W52" s="1030" t="s">
        <v>1544</v>
      </c>
      <c r="X52" s="1030" t="s">
        <v>1544</v>
      </c>
      <c r="Y52" s="1030" t="s">
        <v>1544</v>
      </c>
      <c r="Z52" s="1030" t="s">
        <v>1544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1544</v>
      </c>
      <c r="J56" s="1030" t="s">
        <v>1544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1720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1655</v>
      </c>
      <c r="C2" s="1631"/>
      <c r="D2" s="1631"/>
      <c r="F2" s="1631"/>
      <c r="G2" s="1883" t="s">
        <v>1656</v>
      </c>
      <c r="H2" s="1883"/>
      <c r="I2" s="1883"/>
      <c r="J2" s="1883"/>
      <c r="K2" s="1883"/>
      <c r="L2" s="1883"/>
      <c r="N2" s="1875" t="s">
        <v>1657</v>
      </c>
      <c r="O2" s="1875"/>
      <c r="P2" s="1875"/>
      <c r="Q2" s="1875"/>
      <c r="R2" s="1690"/>
      <c r="S2" s="1875" t="s">
        <v>1658</v>
      </c>
      <c r="T2" s="1875"/>
      <c r="U2" s="1875"/>
      <c r="V2" s="1875"/>
    </row>
    <row r="3" spans="1:32" s="1551" customFormat="1" ht="14.25">
      <c r="B3" s="15" t="s">
        <v>1714</v>
      </c>
      <c r="C3" s="15" t="s">
        <v>42</v>
      </c>
      <c r="D3" s="527" t="s">
        <v>1312</v>
      </c>
      <c r="E3" s="527" t="s">
        <v>1313</v>
      </c>
      <c r="F3" s="15" t="s">
        <v>50</v>
      </c>
      <c r="G3" s="1725" t="s">
        <v>1760</v>
      </c>
      <c r="H3" s="1725" t="s">
        <v>1761</v>
      </c>
      <c r="I3" s="486" t="s">
        <v>1714</v>
      </c>
      <c r="J3" s="486" t="s">
        <v>1719</v>
      </c>
      <c r="K3" s="527" t="s">
        <v>1313</v>
      </c>
      <c r="L3" s="486" t="s">
        <v>50</v>
      </c>
      <c r="N3" s="486" t="s">
        <v>1714</v>
      </c>
      <c r="O3" s="486" t="s">
        <v>1719</v>
      </c>
      <c r="P3" s="527" t="s">
        <v>1313</v>
      </c>
      <c r="Q3" s="486" t="s">
        <v>50</v>
      </c>
      <c r="R3" s="1552"/>
      <c r="S3" s="486" t="s">
        <v>1714</v>
      </c>
      <c r="T3" s="486" t="s">
        <v>1719</v>
      </c>
      <c r="U3" s="527" t="s">
        <v>1313</v>
      </c>
      <c r="V3" s="486" t="s">
        <v>50</v>
      </c>
    </row>
    <row r="4" spans="1:32" s="1737" customFormat="1" ht="14.25">
      <c r="A4" s="1748" t="s">
        <v>1763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1766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1764</v>
      </c>
      <c r="Y6" s="1746"/>
      <c r="Z6" s="1746"/>
      <c r="AA6" s="1746"/>
    </row>
    <row r="7" spans="1:32" s="1551" customFormat="1" ht="13.5" thickBot="1">
      <c r="A7" s="1553" t="s">
        <v>1767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1765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1762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1759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1659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1660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279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278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268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277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276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275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274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273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272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271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270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269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1661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1662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1663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1664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1665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1666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1667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1668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1669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1670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1671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1672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1673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1674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1675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1676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1677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1678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1679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1680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1681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1682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1683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1684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1685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1686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1687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1688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1689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1690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1691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1692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1693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1694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1695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1696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1697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1698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1699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1700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1701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1702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1703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1704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1705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1706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1707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1708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1715</v>
      </c>
      <c r="G75" s="1683"/>
      <c r="N75" s="1683"/>
      <c r="S75" s="1683"/>
    </row>
    <row r="76" spans="1:32" s="1682" customFormat="1">
      <c r="A76" s="1682" t="s">
        <v>1716</v>
      </c>
      <c r="G76" s="1683"/>
      <c r="N76" s="1683"/>
      <c r="S76" s="1683"/>
    </row>
    <row r="77" spans="1:32" s="1682" customFormat="1">
      <c r="A77" s="1682" t="s">
        <v>1717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1718</v>
      </c>
      <c r="G78" s="1683"/>
      <c r="N78" s="1683"/>
      <c r="S78" s="1683"/>
    </row>
    <row r="85" spans="14:29" ht="13.5" thickBot="1"/>
    <row r="86" spans="14:29" ht="24">
      <c r="S86" s="1677" t="s">
        <v>1709</v>
      </c>
      <c r="T86" s="1602" t="s">
        <v>1710</v>
      </c>
      <c r="U86" s="1602" t="s">
        <v>1711</v>
      </c>
      <c r="V86" s="1602" t="s">
        <v>1712</v>
      </c>
      <c r="W86" s="1603" t="s">
        <v>1713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G65:G68"/>
    <mergeCell ref="G69:G72"/>
    <mergeCell ref="G41:G44"/>
    <mergeCell ref="G45:G48"/>
    <mergeCell ref="G49:G52"/>
    <mergeCell ref="G53:G56"/>
    <mergeCell ref="G57:G60"/>
    <mergeCell ref="G61:G64"/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974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1189</v>
      </c>
      <c r="R1" s="239" t="s">
        <v>1190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1148</v>
      </c>
      <c r="Y1" s="239" t="s">
        <v>1154</v>
      </c>
    </row>
    <row r="2" spans="1:25">
      <c r="A2" s="662" t="s">
        <v>18</v>
      </c>
      <c r="B2" s="662" t="s">
        <v>1359</v>
      </c>
      <c r="C2" s="396" t="s">
        <v>975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1191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1161</v>
      </c>
      <c r="Y2" s="486" t="s">
        <v>1150</v>
      </c>
    </row>
    <row r="3" spans="1:25">
      <c r="A3" s="662" t="s">
        <v>175</v>
      </c>
      <c r="B3" s="662" t="s">
        <v>1360</v>
      </c>
      <c r="C3" s="397" t="s">
        <v>976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1192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1162</v>
      </c>
      <c r="Y3" s="486" t="s">
        <v>1152</v>
      </c>
    </row>
    <row r="4" spans="1:25">
      <c r="A4" s="662" t="s">
        <v>176</v>
      </c>
      <c r="B4" s="662" t="s">
        <v>1366</v>
      </c>
      <c r="C4" s="396" t="s">
        <v>977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1312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1193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1163</v>
      </c>
      <c r="Y4" s="486" t="s">
        <v>1155</v>
      </c>
    </row>
    <row r="5" spans="1:25">
      <c r="A5" s="662" t="s">
        <v>177</v>
      </c>
      <c r="B5" s="1187" t="s">
        <v>1568</v>
      </c>
      <c r="C5" s="396" t="s">
        <v>978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1194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1270</v>
      </c>
      <c r="Y5" s="187"/>
    </row>
    <row r="6" spans="1:25">
      <c r="A6" s="662" t="s">
        <v>178</v>
      </c>
      <c r="B6" s="185" t="s">
        <v>970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1195</v>
      </c>
      <c r="S6" s="15" t="s">
        <v>56</v>
      </c>
      <c r="T6" s="15"/>
      <c r="U6" s="15" t="s">
        <v>56</v>
      </c>
      <c r="W6" s="15" t="s">
        <v>56</v>
      </c>
      <c r="X6" s="515" t="s">
        <v>1271</v>
      </c>
      <c r="Y6" s="187"/>
    </row>
    <row r="7" spans="1:25">
      <c r="A7" s="662" t="s">
        <v>179</v>
      </c>
      <c r="B7" s="185" t="s">
        <v>970</v>
      </c>
      <c r="C7" s="396" t="s">
        <v>32</v>
      </c>
      <c r="F7" s="15" t="s">
        <v>57</v>
      </c>
      <c r="H7" s="15"/>
      <c r="I7" s="15" t="s">
        <v>58</v>
      </c>
      <c r="X7" s="515" t="s">
        <v>1272</v>
      </c>
    </row>
    <row r="8" spans="1:25">
      <c r="A8" s="662" t="s">
        <v>180</v>
      </c>
      <c r="B8" s="185" t="s">
        <v>970</v>
      </c>
      <c r="C8" s="396" t="s">
        <v>979</v>
      </c>
      <c r="F8" s="15" t="s">
        <v>83</v>
      </c>
      <c r="H8" s="15"/>
      <c r="I8" s="15" t="s">
        <v>84</v>
      </c>
      <c r="X8" s="515" t="s">
        <v>1273</v>
      </c>
    </row>
    <row r="9" spans="1:25">
      <c r="A9" s="662" t="s">
        <v>181</v>
      </c>
      <c r="B9" s="185" t="s">
        <v>970</v>
      </c>
      <c r="C9" s="396" t="s">
        <v>980</v>
      </c>
      <c r="F9" s="15" t="s">
        <v>85</v>
      </c>
      <c r="H9" s="15"/>
    </row>
    <row r="10" spans="1:25">
      <c r="A10" s="662" t="s">
        <v>182</v>
      </c>
      <c r="B10" s="185" t="s">
        <v>970</v>
      </c>
      <c r="C10" s="396" t="s">
        <v>981</v>
      </c>
      <c r="F10" s="15" t="s">
        <v>3</v>
      </c>
    </row>
    <row r="11" spans="1:25">
      <c r="A11" s="662" t="s">
        <v>183</v>
      </c>
      <c r="B11" s="185" t="s">
        <v>970</v>
      </c>
      <c r="C11" s="396" t="s">
        <v>982</v>
      </c>
    </row>
    <row r="12" spans="1:25">
      <c r="A12" s="662" t="s">
        <v>184</v>
      </c>
      <c r="B12" s="185" t="s">
        <v>970</v>
      </c>
      <c r="C12" s="396" t="s">
        <v>983</v>
      </c>
    </row>
    <row r="13" spans="1:25">
      <c r="A13" s="662" t="s">
        <v>185</v>
      </c>
      <c r="B13" s="185" t="s">
        <v>970</v>
      </c>
      <c r="C13" s="396" t="s">
        <v>984</v>
      </c>
    </row>
    <row r="14" spans="1:25">
      <c r="A14" s="662" t="s">
        <v>186</v>
      </c>
      <c r="B14" s="185" t="s">
        <v>970</v>
      </c>
      <c r="C14" s="399"/>
    </row>
    <row r="15" spans="1:25">
      <c r="A15" s="662" t="s">
        <v>187</v>
      </c>
      <c r="B15" s="185" t="s">
        <v>970</v>
      </c>
      <c r="C15" s="399"/>
    </row>
    <row r="16" spans="1:25">
      <c r="A16" s="662" t="s">
        <v>188</v>
      </c>
      <c r="B16" s="185" t="s">
        <v>970</v>
      </c>
      <c r="C16" s="399"/>
    </row>
    <row r="17" spans="1:3">
      <c r="A17" s="662" t="s">
        <v>189</v>
      </c>
      <c r="B17" s="185" t="s">
        <v>970</v>
      </c>
      <c r="C17" s="399"/>
    </row>
    <row r="18" spans="1:3">
      <c r="A18" s="662" t="s">
        <v>190</v>
      </c>
      <c r="B18" s="185" t="s">
        <v>970</v>
      </c>
      <c r="C18" s="399"/>
    </row>
    <row r="19" spans="1:3">
      <c r="A19" s="662" t="s">
        <v>191</v>
      </c>
      <c r="B19" s="185" t="s">
        <v>970</v>
      </c>
      <c r="C19" s="399"/>
    </row>
    <row r="20" spans="1:3">
      <c r="A20" s="662" t="s">
        <v>192</v>
      </c>
      <c r="B20" s="185" t="s">
        <v>970</v>
      </c>
      <c r="C20" s="399"/>
    </row>
    <row r="21" spans="1:3">
      <c r="A21" s="662" t="s">
        <v>193</v>
      </c>
      <c r="B21" s="185" t="s">
        <v>970</v>
      </c>
      <c r="C21" s="399"/>
    </row>
    <row r="22" spans="1:3">
      <c r="A22" s="662" t="s">
        <v>194</v>
      </c>
      <c r="B22" s="185" t="s">
        <v>970</v>
      </c>
      <c r="C22" s="399"/>
    </row>
    <row r="23" spans="1:3">
      <c r="A23" s="662" t="s">
        <v>195</v>
      </c>
      <c r="B23" s="185" t="s">
        <v>970</v>
      </c>
      <c r="C23" s="399"/>
    </row>
    <row r="24" spans="1:3">
      <c r="A24" s="662" t="s">
        <v>196</v>
      </c>
      <c r="B24" s="185" t="s">
        <v>970</v>
      </c>
      <c r="C24" s="399"/>
    </row>
    <row r="25" spans="1:3">
      <c r="A25" s="662" t="s">
        <v>197</v>
      </c>
      <c r="B25" s="185" t="s">
        <v>970</v>
      </c>
      <c r="C25" s="399"/>
    </row>
    <row r="26" spans="1:3">
      <c r="A26" s="662" t="s">
        <v>198</v>
      </c>
      <c r="B26" s="185" t="s">
        <v>970</v>
      </c>
      <c r="C26" s="399"/>
    </row>
    <row r="27" spans="1:3">
      <c r="A27" s="185" t="s">
        <v>970</v>
      </c>
      <c r="B27" s="185" t="s">
        <v>970</v>
      </c>
      <c r="C27" s="399"/>
    </row>
    <row r="28" spans="1:3">
      <c r="A28" s="185" t="s">
        <v>970</v>
      </c>
      <c r="B28" s="185" t="s">
        <v>970</v>
      </c>
      <c r="C28" s="399"/>
    </row>
    <row r="29" spans="1:3">
      <c r="A29" s="185" t="s">
        <v>970</v>
      </c>
      <c r="B29" s="185" t="s">
        <v>970</v>
      </c>
      <c r="C29" s="399"/>
    </row>
    <row r="30" spans="1:3">
      <c r="A30" s="185" t="s">
        <v>970</v>
      </c>
      <c r="B30" s="185" t="s">
        <v>970</v>
      </c>
      <c r="C30" s="399"/>
    </row>
    <row r="31" spans="1:3">
      <c r="A31" s="185" t="s">
        <v>970</v>
      </c>
      <c r="B31" s="185" t="s">
        <v>970</v>
      </c>
      <c r="C31" s="399"/>
    </row>
    <row r="32" spans="1:3">
      <c r="A32" s="185" t="s">
        <v>970</v>
      </c>
      <c r="B32" s="185" t="s">
        <v>970</v>
      </c>
      <c r="C32" s="399"/>
    </row>
    <row r="33" spans="1:3">
      <c r="A33" s="185" t="s">
        <v>970</v>
      </c>
      <c r="B33" s="185" t="s">
        <v>970</v>
      </c>
      <c r="C33" s="399"/>
    </row>
    <row r="34" spans="1:3">
      <c r="A34" s="185" t="s">
        <v>970</v>
      </c>
      <c r="B34" s="185" t="s">
        <v>970</v>
      </c>
      <c r="C34" s="399"/>
    </row>
    <row r="35" spans="1:3">
      <c r="A35" s="185" t="s">
        <v>970</v>
      </c>
      <c r="B35" s="185" t="s">
        <v>970</v>
      </c>
      <c r="C35" s="399"/>
    </row>
    <row r="36" spans="1:3">
      <c r="A36" s="185" t="s">
        <v>970</v>
      </c>
      <c r="B36" s="185" t="s">
        <v>970</v>
      </c>
      <c r="C36" s="399"/>
    </row>
    <row r="37" spans="1:3">
      <c r="A37" s="185" t="s">
        <v>970</v>
      </c>
      <c r="B37" s="185" t="s">
        <v>970</v>
      </c>
      <c r="C37" s="399"/>
    </row>
    <row r="38" spans="1:3">
      <c r="A38" s="185" t="s">
        <v>970</v>
      </c>
      <c r="B38" s="185" t="s">
        <v>970</v>
      </c>
      <c r="C38" s="399"/>
    </row>
    <row r="39" spans="1:3">
      <c r="A39" s="185" t="s">
        <v>970</v>
      </c>
      <c r="B39" s="185" t="s">
        <v>970</v>
      </c>
      <c r="C39" s="399"/>
    </row>
    <row r="40" spans="1:3">
      <c r="A40" s="185" t="s">
        <v>970</v>
      </c>
      <c r="B40" s="185" t="s">
        <v>970</v>
      </c>
      <c r="C40" s="399"/>
    </row>
    <row r="41" spans="1:3">
      <c r="A41" s="185" t="s">
        <v>970</v>
      </c>
      <c r="B41" s="185" t="s">
        <v>970</v>
      </c>
      <c r="C41" s="399"/>
    </row>
    <row r="42" spans="1:3">
      <c r="A42" s="185" t="s">
        <v>970</v>
      </c>
      <c r="B42" s="185" t="s">
        <v>970</v>
      </c>
      <c r="C42" s="399"/>
    </row>
    <row r="43" spans="1:3">
      <c r="A43" s="185" t="s">
        <v>970</v>
      </c>
      <c r="B43" s="185" t="s">
        <v>970</v>
      </c>
      <c r="C43" s="399"/>
    </row>
    <row r="44" spans="1:3">
      <c r="A44" s="185" t="s">
        <v>970</v>
      </c>
      <c r="B44" s="185" t="s">
        <v>970</v>
      </c>
      <c r="C44" s="399"/>
    </row>
    <row r="45" spans="1:3">
      <c r="A45" s="185" t="s">
        <v>970</v>
      </c>
      <c r="B45" s="185" t="s">
        <v>970</v>
      </c>
      <c r="C45" s="399"/>
    </row>
    <row r="46" spans="1:3">
      <c r="A46" s="185" t="s">
        <v>970</v>
      </c>
      <c r="B46" s="185" t="s">
        <v>970</v>
      </c>
      <c r="C46" s="399"/>
    </row>
    <row r="47" spans="1:3">
      <c r="A47" s="185" t="s">
        <v>970</v>
      </c>
      <c r="B47" s="185" t="s">
        <v>970</v>
      </c>
      <c r="C47" s="399"/>
    </row>
    <row r="48" spans="1:3">
      <c r="A48" s="185" t="s">
        <v>970</v>
      </c>
      <c r="B48" s="185" t="s">
        <v>970</v>
      </c>
      <c r="C48" s="399"/>
    </row>
    <row r="49" spans="1:3">
      <c r="A49" s="185" t="s">
        <v>970</v>
      </c>
      <c r="B49" s="185" t="s">
        <v>970</v>
      </c>
      <c r="C49" s="399"/>
    </row>
    <row r="50" spans="1:3">
      <c r="A50" s="185" t="s">
        <v>970</v>
      </c>
      <c r="B50" s="185" t="s">
        <v>970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973</v>
      </c>
      <c r="H1" s="249">
        <f>'2014基准地价'!M18</f>
        <v>6</v>
      </c>
      <c r="I1" s="1450" t="s">
        <v>1648</v>
      </c>
      <c r="J1" s="1464" t="str">
        <f>'2014基准地价'!N19</f>
        <v>2017-1</v>
      </c>
      <c r="K1" s="298"/>
      <c r="L1" s="1462" t="s">
        <v>973</v>
      </c>
      <c r="M1" s="249">
        <f>'2002基准地价'!B24</f>
        <v>55</v>
      </c>
      <c r="N1" s="1450" t="s">
        <v>1648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266</v>
      </c>
      <c r="B3" s="1448" t="s">
        <v>280</v>
      </c>
      <c r="C3" s="1448" t="s">
        <v>282</v>
      </c>
      <c r="D3" s="1448" t="s">
        <v>1314</v>
      </c>
      <c r="E3" s="1448" t="s">
        <v>1361</v>
      </c>
      <c r="F3" s="1453" t="s">
        <v>2</v>
      </c>
      <c r="G3" s="1456" t="s">
        <v>280</v>
      </c>
      <c r="H3" s="1448" t="s">
        <v>0</v>
      </c>
      <c r="I3" s="1448" t="s">
        <v>1314</v>
      </c>
      <c r="J3" s="1448" t="s">
        <v>1361</v>
      </c>
      <c r="K3" s="1453" t="s">
        <v>2</v>
      </c>
      <c r="L3" s="1456" t="s">
        <v>280</v>
      </c>
      <c r="M3" s="1448" t="s">
        <v>0</v>
      </c>
      <c r="N3" s="1448" t="s">
        <v>1314</v>
      </c>
      <c r="O3" s="1448" t="s">
        <v>1361</v>
      </c>
      <c r="P3" s="1448" t="s">
        <v>2</v>
      </c>
    </row>
    <row r="4" spans="1:23">
      <c r="A4" s="684" t="s">
        <v>1599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1188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1187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1186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279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278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268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277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276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275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274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273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272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271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270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269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1600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1601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1602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1603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1607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1608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1609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1610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1611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1612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1613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1614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1615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1616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1617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1618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1619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1620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1621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1622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1623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1624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1625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1626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1627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1628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1629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1630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1631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1604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1605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1606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1632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1633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1634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1635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1636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1637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1638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1639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1640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1641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1642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1643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1644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1645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1646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1647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1753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955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955</v>
      </c>
      <c r="D7" s="1297"/>
      <c r="E7" s="1308"/>
      <c r="F7" s="1314" t="s">
        <v>1196</v>
      </c>
      <c r="G7" s="1315" t="s">
        <v>1198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1197</v>
      </c>
      <c r="G8" s="1310" t="s">
        <v>1199</v>
      </c>
    </row>
    <row r="9" spans="1:18" ht="37.5">
      <c r="A9" s="1305"/>
      <c r="B9" s="1314" t="s">
        <v>1196</v>
      </c>
      <c r="C9" s="1310" t="s">
        <v>1198</v>
      </c>
      <c r="D9" s="1297"/>
      <c r="E9" s="1308"/>
      <c r="F9" s="1309" t="s">
        <v>9</v>
      </c>
      <c r="G9" s="1316"/>
    </row>
    <row r="10" spans="1:18">
      <c r="A10" s="1305"/>
      <c r="B10" s="1314" t="s">
        <v>1197</v>
      </c>
      <c r="C10" s="1310" t="s">
        <v>1199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1721</v>
      </c>
      <c r="B1" s="1695">
        <f>SUM(B14:B23)</f>
        <v>459.9</v>
      </c>
      <c r="C1" s="1696"/>
      <c r="D1" s="1696"/>
      <c r="E1" s="1696"/>
      <c r="F1" s="1696"/>
      <c r="G1" s="1697"/>
    </row>
    <row r="2" spans="1:10" ht="16.5">
      <c r="A2" s="1695" t="s">
        <v>1722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1723</v>
      </c>
      <c r="B3" s="1699">
        <f>主表!B3</f>
        <v>43327</v>
      </c>
      <c r="C3" s="1696"/>
      <c r="D3" s="1696"/>
      <c r="E3" s="1696"/>
      <c r="F3" s="1696"/>
      <c r="G3" s="1697"/>
    </row>
    <row r="4" spans="1:10" ht="33">
      <c r="A4" s="1695" t="s">
        <v>1724</v>
      </c>
      <c r="B4" s="1695" t="s">
        <v>1725</v>
      </c>
      <c r="C4" s="1695" t="s">
        <v>1726</v>
      </c>
      <c r="D4" s="1695" t="s">
        <v>1727</v>
      </c>
      <c r="E4" s="1696"/>
      <c r="F4" s="1697"/>
      <c r="G4" s="1697"/>
    </row>
    <row r="5" spans="1:10" ht="16.5">
      <c r="A5" s="1695" t="s">
        <v>1728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1729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1730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1731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1732</v>
      </c>
      <c r="B9" s="1700"/>
      <c r="C9" s="1696"/>
      <c r="D9" s="1696"/>
      <c r="E9" s="1696"/>
      <c r="F9" s="1697"/>
      <c r="G9" s="1697"/>
    </row>
    <row r="10" spans="1:10" ht="16.5">
      <c r="A10" s="1695" t="s">
        <v>1733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1752</v>
      </c>
      <c r="B11" s="1695">
        <f ca="1">结果表!B19</f>
        <v>364.15980000000002</v>
      </c>
      <c r="C11" s="1695">
        <f ca="1">结果表!B18</f>
        <v>7918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1734</v>
      </c>
      <c r="B13" s="1702" t="s">
        <v>1735</v>
      </c>
      <c r="C13" s="1702" t="s">
        <v>1736</v>
      </c>
      <c r="D13" s="1702" t="s">
        <v>1737</v>
      </c>
      <c r="E13" s="1695" t="s">
        <v>1726</v>
      </c>
      <c r="F13" s="1695" t="s">
        <v>1738</v>
      </c>
      <c r="G13" s="1702" t="s">
        <v>1739</v>
      </c>
      <c r="H13" s="1702" t="s">
        <v>1740</v>
      </c>
      <c r="I13" s="1702" t="s">
        <v>1741</v>
      </c>
      <c r="J13" s="1697"/>
    </row>
    <row r="14" spans="1:10" ht="16.5">
      <c r="A14" s="1703" t="s">
        <v>1742</v>
      </c>
      <c r="B14" s="1702">
        <f>主表!B7</f>
        <v>459.9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1743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1744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1745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1746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1747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1748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1749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1750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1751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8" t="s">
        <v>1367</v>
      </c>
      <c r="B2" s="1768"/>
      <c r="C2" s="1768"/>
      <c r="D2" s="1768"/>
      <c r="E2" s="1768"/>
      <c r="F2" s="1768"/>
      <c r="G2" s="1768"/>
      <c r="H2" s="665"/>
      <c r="I2" s="227"/>
      <c r="X2" s="221"/>
      <c r="AG2" s="189"/>
    </row>
    <row r="3" spans="1:33" ht="13.5">
      <c r="A3" s="1769" t="s">
        <v>1368</v>
      </c>
      <c r="B3" s="1770"/>
      <c r="C3" s="1771"/>
      <c r="D3" s="1772" t="s">
        <v>1369</v>
      </c>
      <c r="E3" s="1770"/>
      <c r="F3" s="1770"/>
      <c r="G3" s="1773"/>
      <c r="H3" s="665"/>
      <c r="I3" s="227"/>
      <c r="X3" s="221"/>
      <c r="AG3" s="189"/>
    </row>
    <row r="4" spans="1:33" ht="27">
      <c r="A4" s="1332" t="s">
        <v>1370</v>
      </c>
      <c r="B4" s="1333" t="s">
        <v>1371</v>
      </c>
      <c r="C4" s="1334" t="s">
        <v>1372</v>
      </c>
      <c r="D4" s="1774" t="s">
        <v>1370</v>
      </c>
      <c r="E4" s="1766"/>
      <c r="F4" s="1333" t="s">
        <v>1371</v>
      </c>
      <c r="G4" s="1335" t="s">
        <v>1373</v>
      </c>
      <c r="H4" s="665"/>
      <c r="I4" s="221"/>
      <c r="X4" s="221"/>
      <c r="AG4" s="189"/>
    </row>
    <row r="5" spans="1:33" ht="13.5">
      <c r="A5" s="1775" t="s">
        <v>1374</v>
      </c>
      <c r="B5" s="1760">
        <f ca="1">主表!F5</f>
        <v>3598</v>
      </c>
      <c r="C5" s="1776" t="s">
        <v>1375</v>
      </c>
      <c r="D5" s="1766" t="s">
        <v>1376</v>
      </c>
      <c r="E5" s="1767"/>
      <c r="F5" s="1336">
        <f>SUM(F6:F10)</f>
        <v>2596</v>
      </c>
      <c r="G5" s="1337" t="s">
        <v>1653</v>
      </c>
      <c r="H5" s="665"/>
      <c r="I5" s="227"/>
      <c r="X5" s="221"/>
      <c r="AG5" s="189"/>
    </row>
    <row r="6" spans="1:33" ht="27">
      <c r="A6" s="1775"/>
      <c r="B6" s="1760"/>
      <c r="C6" s="1776"/>
      <c r="D6" s="1777" t="s">
        <v>1397</v>
      </c>
      <c r="E6" s="1336" t="s">
        <v>1377</v>
      </c>
      <c r="F6" s="1336">
        <f>主表!F14</f>
        <v>1560</v>
      </c>
      <c r="G6" s="1337" t="s">
        <v>1378</v>
      </c>
      <c r="H6" s="665"/>
      <c r="I6" s="227"/>
      <c r="X6" s="221"/>
      <c r="AG6" s="189"/>
    </row>
    <row r="7" spans="1:33" ht="13.5">
      <c r="A7" s="1775"/>
      <c r="B7" s="1760"/>
      <c r="C7" s="1776"/>
      <c r="D7" s="1777"/>
      <c r="E7" s="1336" t="s">
        <v>1379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75"/>
      <c r="B8" s="1760"/>
      <c r="C8" s="1776"/>
      <c r="D8" s="1762" t="s">
        <v>1398</v>
      </c>
      <c r="E8" s="1763"/>
      <c r="F8" s="1336">
        <f>主表!F16</f>
        <v>124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5"/>
      <c r="B9" s="1760"/>
      <c r="C9" s="1776"/>
      <c r="D9" s="1762" t="s">
        <v>1399</v>
      </c>
      <c r="E9" s="1763"/>
      <c r="F9" s="1336">
        <f>主表!F18</f>
        <v>206</v>
      </c>
      <c r="G9" s="1337" t="str">
        <f>"按建安工程费的"&amp;TEXT(主表!G18,"0.0%")&amp;"计取"</f>
        <v>按建安工程费的10.0%计取</v>
      </c>
      <c r="H9" s="665"/>
      <c r="I9" s="227"/>
      <c r="X9" s="221"/>
      <c r="AG9" s="189"/>
    </row>
    <row r="10" spans="1:33" ht="13.5">
      <c r="A10" s="1775"/>
      <c r="B10" s="1760"/>
      <c r="C10" s="1776"/>
      <c r="D10" s="1762" t="s">
        <v>1400</v>
      </c>
      <c r="E10" s="1763"/>
      <c r="F10" s="1336">
        <f>主表!F19</f>
        <v>206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1380</v>
      </c>
      <c r="B11" s="1336">
        <f ca="1">主表!F8</f>
        <v>72</v>
      </c>
      <c r="C11" s="1338" t="str">
        <f>"按前期开发成本的"&amp;TEXT(主表!G8,"0.0%")&amp;"计取"</f>
        <v>按前期开发成本的2.0%计取</v>
      </c>
      <c r="D11" s="1766" t="s">
        <v>1381</v>
      </c>
      <c r="E11" s="1767"/>
      <c r="F11" s="1336">
        <f>主表!F20</f>
        <v>78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1382</v>
      </c>
      <c r="B12" s="1336">
        <f ca="1">主表!F9</f>
        <v>87</v>
      </c>
      <c r="C12" s="1339" t="str">
        <f ca="1">"前期开发期为"&amp;主表!B24&amp;"年，贷款利率为"&amp;TEXT(主表!G9,"0.00%")&amp;"，"&amp;主表!H9</f>
        <v>前期开发期为0.5年，贷款利率为4.85%，计息期为0.5年，单利计息</v>
      </c>
      <c r="D12" s="1766" t="s">
        <v>1383</v>
      </c>
      <c r="E12" s="1767"/>
      <c r="F12" s="1336">
        <f ca="1">主表!F21</f>
        <v>29</v>
      </c>
      <c r="G12" s="1337" t="str">
        <f ca="1">"房屋建设期为"&amp;主表!B23&amp;"年，贷款利率为"&amp;TEXT(主表!G21,"0.00%")&amp;"，"&amp;主表!H21</f>
        <v>房屋建设期为0.5年，贷款利率为4.35%，计息期为0.5年，复利计息</v>
      </c>
      <c r="H12" s="665"/>
      <c r="I12" s="227"/>
      <c r="X12" s="221"/>
      <c r="AG12" s="189"/>
    </row>
    <row r="13" spans="1:33" ht="27">
      <c r="A13" s="1332" t="s">
        <v>1384</v>
      </c>
      <c r="B13" s="1336">
        <f ca="1">主表!F10</f>
        <v>1468</v>
      </c>
      <c r="C13" s="1339" t="str">
        <f>"按前期开发成本及其管理费用的"&amp;TEXT(主表!G10,"0%")&amp;"计取"</f>
        <v>按前期开发成本及其管理费用的40%计取</v>
      </c>
      <c r="D13" s="1766" t="s">
        <v>1384</v>
      </c>
      <c r="E13" s="1767"/>
      <c r="F13" s="1336">
        <f>主表!F22</f>
        <v>1070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1385</v>
      </c>
      <c r="B14" s="1336">
        <f ca="1">SUM(B5:B13)</f>
        <v>5225</v>
      </c>
      <c r="C14" s="1339" t="s">
        <v>1386</v>
      </c>
      <c r="D14" s="1766" t="s">
        <v>1385</v>
      </c>
      <c r="E14" s="1767"/>
      <c r="F14" s="1336">
        <f ca="1">F5+F11+F12+F13</f>
        <v>3773</v>
      </c>
      <c r="G14" s="1337" t="s">
        <v>1386</v>
      </c>
      <c r="H14" s="665"/>
      <c r="I14" s="227"/>
      <c r="X14" s="221"/>
      <c r="AG14" s="189"/>
    </row>
    <row r="15" spans="1:33" ht="27.75" thickBot="1">
      <c r="A15" s="1332" t="s">
        <v>1387</v>
      </c>
      <c r="B15" s="1760">
        <f ca="1">主表!F24</f>
        <v>8998</v>
      </c>
      <c r="C15" s="1761"/>
      <c r="D15" s="1762" t="s">
        <v>1388</v>
      </c>
      <c r="E15" s="1763"/>
      <c r="F15" s="1763"/>
      <c r="G15" s="1764"/>
      <c r="H15" s="665"/>
      <c r="I15" s="227"/>
      <c r="X15" s="221"/>
      <c r="AG15" s="189"/>
    </row>
    <row r="16" spans="1:33" ht="27.75" thickBot="1">
      <c r="A16" s="1332" t="s">
        <v>1389</v>
      </c>
      <c r="B16" s="1760">
        <f ca="1">主表!F25</f>
        <v>413.81799999999998</v>
      </c>
      <c r="C16" s="1761"/>
      <c r="D16" s="1762" t="s">
        <v>1390</v>
      </c>
      <c r="E16" s="1763"/>
      <c r="F16" s="1763"/>
      <c r="G16" s="1764"/>
      <c r="H16" s="1341" t="str">
        <f ca="1">NUMBERSTRING(INT(B16*10000),2)&amp;"元整"</f>
        <v>肆佰壹拾叁万捌仟壹佰捌拾元整</v>
      </c>
      <c r="I16" s="1342"/>
      <c r="X16" s="221"/>
      <c r="AG16" s="189"/>
    </row>
    <row r="17" spans="1:33" ht="13.5">
      <c r="A17" s="1332" t="s">
        <v>1391</v>
      </c>
      <c r="B17" s="1765">
        <f>主表!F33</f>
        <v>0.88</v>
      </c>
      <c r="C17" s="1761"/>
      <c r="D17" s="1762" t="s">
        <v>1392</v>
      </c>
      <c r="E17" s="1763"/>
      <c r="F17" s="1763"/>
      <c r="G17" s="1764"/>
      <c r="H17" s="665"/>
      <c r="I17" s="227"/>
      <c r="X17" s="221"/>
      <c r="AG17" s="189"/>
    </row>
    <row r="18" spans="1:33" ht="27.75" thickBot="1">
      <c r="A18" s="1332" t="s">
        <v>1393</v>
      </c>
      <c r="B18" s="1760">
        <f ca="1">主表!F35</f>
        <v>7918</v>
      </c>
      <c r="C18" s="1761"/>
      <c r="D18" s="1762" t="s">
        <v>1394</v>
      </c>
      <c r="E18" s="1763"/>
      <c r="F18" s="1763"/>
      <c r="G18" s="1764"/>
      <c r="H18" s="663"/>
      <c r="I18" s="227"/>
      <c r="X18" s="221"/>
      <c r="AG18" s="189"/>
    </row>
    <row r="19" spans="1:33" ht="27.75" thickBot="1">
      <c r="A19" s="1340" t="s">
        <v>1395</v>
      </c>
      <c r="B19" s="1755">
        <f ca="1">主表!F36</f>
        <v>364.15980000000002</v>
      </c>
      <c r="C19" s="1756"/>
      <c r="D19" s="1757" t="s">
        <v>1396</v>
      </c>
      <c r="E19" s="1758"/>
      <c r="F19" s="1758"/>
      <c r="G19" s="1759"/>
      <c r="H19" s="1341" t="str">
        <f ca="1">NUMBERSTRING(INT(B19*10000),2)&amp;"元整"</f>
        <v>叁佰陆拾肆万壹仟伍佰玖拾捌元整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6" zoomScale="90" zoomScaleNormal="90" workbookViewId="0">
      <selection activeCell="G20" sqref="G20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1224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1296</v>
      </c>
      <c r="B2" s="1197"/>
      <c r="C2" s="1198"/>
      <c r="D2" s="1783" t="s">
        <v>1287</v>
      </c>
      <c r="E2" s="1784"/>
      <c r="F2" s="1784"/>
      <c r="G2" s="1784"/>
      <c r="H2" s="1785"/>
      <c r="I2" s="1199"/>
      <c r="J2" s="1199"/>
      <c r="K2" s="1250"/>
      <c r="L2" s="1250"/>
      <c r="N2" s="516" t="s">
        <v>1160</v>
      </c>
      <c r="O2" s="487">
        <f>SUMPRODUCT((N6:N12=B20)*(O5:Q5=B21)*(O6:Q12))</f>
        <v>50</v>
      </c>
    </row>
    <row r="3" spans="1:18" ht="15.75" customHeight="1">
      <c r="A3" s="1200" t="s">
        <v>1278</v>
      </c>
      <c r="B3" s="518">
        <v>43327</v>
      </c>
      <c r="C3" s="1198"/>
      <c r="D3" s="1201" t="s">
        <v>1229</v>
      </c>
      <c r="E3" s="1202" t="s">
        <v>1230</v>
      </c>
      <c r="F3" s="1202" t="s">
        <v>1231</v>
      </c>
      <c r="G3" s="1202" t="s">
        <v>1301</v>
      </c>
      <c r="H3" s="1203" t="s">
        <v>1293</v>
      </c>
      <c r="I3" s="1204"/>
      <c r="J3" s="1205"/>
      <c r="K3" s="1250"/>
      <c r="L3" s="1250"/>
      <c r="N3" s="488" t="s">
        <v>1275</v>
      </c>
      <c r="O3" s="1435">
        <f>IF(B22="",O2,YEAR(B3)-B22)</f>
        <v>7</v>
      </c>
    </row>
    <row r="4" spans="1:18" ht="15.75" customHeight="1">
      <c r="A4" s="1200" t="s">
        <v>1545</v>
      </c>
      <c r="B4" s="518">
        <v>42193</v>
      </c>
      <c r="C4" s="1198"/>
      <c r="D4" s="1206" t="s">
        <v>1288</v>
      </c>
      <c r="E4" s="1207" t="s">
        <v>1584</v>
      </c>
      <c r="F4" s="1208">
        <f ca="1">F5+F8+F9+F10</f>
        <v>5225</v>
      </c>
      <c r="G4" s="1209"/>
      <c r="H4" s="1210" t="s">
        <v>1232</v>
      </c>
      <c r="I4" s="1211"/>
      <c r="J4" s="1194"/>
      <c r="K4" s="1250"/>
      <c r="L4" s="1250"/>
      <c r="N4" s="488" t="s">
        <v>1274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1585</v>
      </c>
      <c r="F5" s="1053">
        <f ca="1">IF(B4&lt;DATE(2002,12,10),F6,F6-F7)</f>
        <v>3598</v>
      </c>
      <c r="G5" s="1216"/>
      <c r="H5" s="1217" t="s">
        <v>1298</v>
      </c>
      <c r="I5" s="1211"/>
      <c r="J5" s="1194"/>
      <c r="K5" s="1250"/>
      <c r="L5" s="1250"/>
      <c r="N5" s="515" t="s">
        <v>1156</v>
      </c>
      <c r="O5" s="1218" t="s">
        <v>1151</v>
      </c>
      <c r="P5" s="1218" t="s">
        <v>1153</v>
      </c>
      <c r="Q5" s="1218" t="s">
        <v>1149</v>
      </c>
      <c r="R5" s="1218" t="s">
        <v>1269</v>
      </c>
    </row>
    <row r="6" spans="1:18" ht="15.75" customHeight="1">
      <c r="A6" s="1200" t="s">
        <v>1226</v>
      </c>
      <c r="B6" s="1288"/>
      <c r="C6" s="1198"/>
      <c r="D6" s="1219" t="s">
        <v>1280</v>
      </c>
      <c r="E6" s="1215" t="s">
        <v>1233</v>
      </c>
      <c r="F6" s="1053">
        <f ca="1">IF(B4&lt;DATE(2002,12,10),'1993基准地价'!B3,IF(B4&gt;=DATE(2014,8,28),'2014基准地价'!B3,'2002基准地价'!B3))</f>
        <v>4797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1579</v>
      </c>
      <c r="J6" s="1194"/>
      <c r="K6" s="1250"/>
      <c r="L6" s="1250"/>
      <c r="N6" s="515" t="s">
        <v>1161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1227</v>
      </c>
      <c r="B7" s="1288">
        <v>459.9</v>
      </c>
      <c r="C7" s="1198"/>
      <c r="D7" s="1219" t="s">
        <v>1281</v>
      </c>
      <c r="E7" s="1215" t="s">
        <v>1234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1199</v>
      </c>
      <c r="G7" s="1224"/>
      <c r="H7" s="1386" t="s">
        <v>1770</v>
      </c>
      <c r="I7" s="1225" t="s">
        <v>1572</v>
      </c>
      <c r="J7" s="1194"/>
      <c r="K7" s="1250"/>
      <c r="L7" s="1250"/>
      <c r="N7" s="515" t="s">
        <v>1162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1228</v>
      </c>
      <c r="B8" s="1226" t="e">
        <f>ROUND(B7/B6,2)</f>
        <v>#DIV/0!</v>
      </c>
      <c r="C8" s="1198"/>
      <c r="D8" s="1227">
        <v>2</v>
      </c>
      <c r="E8" s="1228" t="s">
        <v>1236</v>
      </c>
      <c r="F8" s="1229">
        <f ca="1">ROUND(F5*G8,0)</f>
        <v>72</v>
      </c>
      <c r="G8" s="664">
        <v>0.02</v>
      </c>
      <c r="H8" s="1230"/>
      <c r="I8" s="1211" t="s">
        <v>1297</v>
      </c>
      <c r="J8" s="1194"/>
      <c r="K8" s="1250"/>
      <c r="L8" s="1250"/>
      <c r="N8" s="515" t="s">
        <v>1163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1649</v>
      </c>
      <c r="B9" s="1288">
        <v>1.5</v>
      </c>
      <c r="C9" s="1198"/>
      <c r="D9" s="1227">
        <v>3</v>
      </c>
      <c r="E9" s="1228" t="s">
        <v>1237</v>
      </c>
      <c r="F9" s="1229">
        <f ca="1">ROUND(F5*(POWER((1+G9),B24)-1)+F8*(POWER((1+G9),B24/2)-1),0)</f>
        <v>87</v>
      </c>
      <c r="G9" s="1231">
        <f ca="1">存贷款利率!G2</f>
        <v>4.8499999999999995E-2</v>
      </c>
      <c r="H9" s="1232" t="str">
        <f>"计息期为"&amp;B24&amp;"年，"&amp;IF(B24&lt;=1,"单利计息","复利计息")</f>
        <v>计息期为0.5年，单利计息</v>
      </c>
      <c r="I9" s="1233"/>
      <c r="J9" s="1234"/>
      <c r="K9" s="1250"/>
      <c r="L9" s="1250"/>
      <c r="N9" s="515" t="s">
        <v>1270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1302</v>
      </c>
      <c r="B10" s="1289" t="s">
        <v>672</v>
      </c>
      <c r="C10" s="1198"/>
      <c r="D10" s="1236">
        <v>4</v>
      </c>
      <c r="E10" s="1237" t="s">
        <v>1238</v>
      </c>
      <c r="F10" s="1238">
        <f ca="1">ROUND((F5+F8)*G10,0)</f>
        <v>1468</v>
      </c>
      <c r="G10" s="521">
        <v>0.4</v>
      </c>
      <c r="H10" s="1239" t="s">
        <v>1240</v>
      </c>
      <c r="I10" s="1240" t="s">
        <v>1239</v>
      </c>
      <c r="J10" s="1241"/>
      <c r="K10" s="1250"/>
      <c r="L10" s="1250"/>
      <c r="N10" s="515" t="s">
        <v>1271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1303</v>
      </c>
      <c r="B11" s="1188" t="s">
        <v>539</v>
      </c>
      <c r="C11" s="1198"/>
      <c r="D11" s="1242" t="s">
        <v>1294</v>
      </c>
      <c r="E11" s="1243" t="s">
        <v>1586</v>
      </c>
      <c r="F11" s="1208">
        <f ca="1">F12+F20+F21+F22</f>
        <v>3773</v>
      </c>
      <c r="G11" s="1244"/>
      <c r="H11" s="1245" t="s">
        <v>1241</v>
      </c>
      <c r="I11" s="1211"/>
      <c r="J11" s="1194"/>
      <c r="K11" s="1250"/>
      <c r="L11" s="1250"/>
      <c r="N11" s="515" t="s">
        <v>1272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1769</v>
      </c>
      <c r="C12" s="1198"/>
      <c r="D12" s="1227">
        <v>1</v>
      </c>
      <c r="E12" s="1228" t="s">
        <v>1587</v>
      </c>
      <c r="F12" s="1229">
        <f>F13+F16+F17</f>
        <v>2596</v>
      </c>
      <c r="G12" s="1246"/>
      <c r="H12" s="1247" t="s">
        <v>1299</v>
      </c>
      <c r="I12" s="1211"/>
      <c r="J12" s="1194"/>
      <c r="K12" s="1250"/>
      <c r="L12" s="1250"/>
      <c r="N12" s="515" t="s">
        <v>1273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1279</v>
      </c>
      <c r="B13" s="507">
        <v>70</v>
      </c>
      <c r="C13" s="1198"/>
      <c r="D13" s="1219" t="s">
        <v>1280</v>
      </c>
      <c r="E13" s="1228" t="s">
        <v>1242</v>
      </c>
      <c r="F13" s="1229">
        <f>F14+F15</f>
        <v>2060</v>
      </c>
      <c r="G13" s="1246"/>
      <c r="H13" s="1247" t="s">
        <v>1300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1283</v>
      </c>
      <c r="E14" s="1228" t="s">
        <v>1243</v>
      </c>
      <c r="F14" s="522">
        <v>1560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65</v>
      </c>
      <c r="C15" s="1198"/>
      <c r="D15" s="1227" t="s">
        <v>1284</v>
      </c>
      <c r="E15" s="1228" t="s">
        <v>1244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1650</v>
      </c>
      <c r="B16" s="1288"/>
      <c r="C16" s="1198"/>
      <c r="D16" s="1219" t="s">
        <v>1281</v>
      </c>
      <c r="E16" s="1228" t="s">
        <v>1245</v>
      </c>
      <c r="F16" s="1053">
        <f>ROUND(F13*G16,0)</f>
        <v>124</v>
      </c>
      <c r="G16" s="520">
        <v>0.06</v>
      </c>
      <c r="H16" s="1251" t="s">
        <v>1247</v>
      </c>
      <c r="I16" s="1233" t="s">
        <v>1246</v>
      </c>
      <c r="J16" s="1194"/>
      <c r="K16" s="1250"/>
      <c r="L16" s="1250"/>
    </row>
    <row r="17" spans="1:18" ht="15.75" customHeight="1">
      <c r="A17" s="509" t="s">
        <v>1651</v>
      </c>
      <c r="B17" s="1503">
        <f ca="1">IF(B4&lt;DATE(2002,12,10),'1993基准地价'!C23,IF(B4&gt;=DATE(2014,8,28),'2014基准地价'!G20,'2002基准地价'!E10))</f>
        <v>5.6000000000000001E-2</v>
      </c>
      <c r="C17" s="1198"/>
      <c r="D17" s="1219" t="s">
        <v>1282</v>
      </c>
      <c r="E17" s="1228" t="s">
        <v>1248</v>
      </c>
      <c r="F17" s="1229">
        <f>F18+F19</f>
        <v>412</v>
      </c>
      <c r="G17" s="1246"/>
      <c r="H17" s="1247" t="s">
        <v>1300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0.99299999999999999</v>
      </c>
      <c r="C18" s="1198"/>
      <c r="D18" s="1227" t="s">
        <v>1285</v>
      </c>
      <c r="E18" s="1228" t="s">
        <v>1295</v>
      </c>
      <c r="F18" s="1053">
        <f>ROUND(IF(B12="住宅/居住",F13*G18,0),0)</f>
        <v>206</v>
      </c>
      <c r="G18" s="520">
        <v>0.1</v>
      </c>
      <c r="H18" s="1251" t="s">
        <v>1247</v>
      </c>
      <c r="I18" s="1233" t="s">
        <v>1249</v>
      </c>
      <c r="J18" s="1194" t="s">
        <v>1276</v>
      </c>
      <c r="K18" s="1250"/>
      <c r="L18" s="1250"/>
    </row>
    <row r="19" spans="1:18" ht="15.75" customHeight="1">
      <c r="A19" s="1249"/>
      <c r="B19" s="1250"/>
      <c r="C19" s="1198"/>
      <c r="D19" s="1227" t="s">
        <v>1286</v>
      </c>
      <c r="E19" s="1228" t="s">
        <v>1250</v>
      </c>
      <c r="F19" s="1053">
        <f>ROUND(F13*G19,0)</f>
        <v>206</v>
      </c>
      <c r="G19" s="520">
        <v>0.1</v>
      </c>
      <c r="H19" s="1251" t="s">
        <v>1247</v>
      </c>
      <c r="I19" s="1233" t="s">
        <v>1251</v>
      </c>
      <c r="J19" s="1194"/>
      <c r="K19" s="1250"/>
      <c r="L19" s="1250"/>
    </row>
    <row r="20" spans="1:18" ht="15.75" customHeight="1">
      <c r="A20" s="515" t="s">
        <v>1157</v>
      </c>
      <c r="B20" s="512" t="s">
        <v>1768</v>
      </c>
      <c r="C20" s="1198"/>
      <c r="D20" s="1227">
        <v>2</v>
      </c>
      <c r="E20" s="1228" t="s">
        <v>1236</v>
      </c>
      <c r="F20" s="1229">
        <f>ROUND(F12*G20,0)</f>
        <v>78</v>
      </c>
      <c r="G20" s="664">
        <v>0.03</v>
      </c>
      <c r="H20" s="1220"/>
      <c r="I20" s="1233" t="s">
        <v>1252</v>
      </c>
      <c r="J20" s="1194"/>
      <c r="K20" s="1250"/>
      <c r="L20" s="1250"/>
    </row>
    <row r="21" spans="1:18" ht="15.75" customHeight="1">
      <c r="A21" s="515" t="s">
        <v>1158</v>
      </c>
      <c r="B21" s="513" t="s">
        <v>1149</v>
      </c>
      <c r="C21" s="1198"/>
      <c r="D21" s="1421">
        <v>3</v>
      </c>
      <c r="E21" s="1422" t="s">
        <v>1588</v>
      </c>
      <c r="F21" s="1423">
        <f ca="1">ROUND((F12+F20)*(POWER((1+G21),B23/2)-1),0)</f>
        <v>29</v>
      </c>
      <c r="G21" s="1424">
        <f ca="1">存贷款利率!G1</f>
        <v>4.3499999999999997E-2</v>
      </c>
      <c r="H21" s="1232" t="str">
        <f>"计息期为"&amp;B23&amp;"年，"&amp;"复利计息"</f>
        <v>计息期为0.5年，复利计息</v>
      </c>
      <c r="I21" s="1221"/>
      <c r="J21" s="1204"/>
      <c r="K21" s="1250"/>
      <c r="L21" s="1250"/>
    </row>
    <row r="22" spans="1:18" ht="15.75" customHeight="1" thickBot="1">
      <c r="A22" s="515" t="s">
        <v>1159</v>
      </c>
      <c r="B22" s="514">
        <v>2011</v>
      </c>
      <c r="C22" s="1198"/>
      <c r="D22" s="1236">
        <v>4</v>
      </c>
      <c r="E22" s="1237" t="s">
        <v>1589</v>
      </c>
      <c r="F22" s="1238">
        <f>ROUND((F12+F20)*G22,0)</f>
        <v>1070</v>
      </c>
      <c r="G22" s="521">
        <f>G10</f>
        <v>0.4</v>
      </c>
      <c r="H22" s="1239" t="s">
        <v>1240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1277</v>
      </c>
      <c r="B23" s="519">
        <v>0.5</v>
      </c>
      <c r="C23" s="1250"/>
      <c r="D23" s="1242" t="s">
        <v>1590</v>
      </c>
      <c r="E23" s="1243" t="s">
        <v>1253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1654</v>
      </c>
      <c r="B24" s="519">
        <v>0.5</v>
      </c>
      <c r="C24" s="1250"/>
      <c r="D24" s="1214">
        <v>1</v>
      </c>
      <c r="E24" s="1215" t="s">
        <v>1254</v>
      </c>
      <c r="F24" s="1053">
        <f ca="1">F4+F11</f>
        <v>8998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1255</v>
      </c>
      <c r="F25" s="1258">
        <f ca="1">ROUND(F24*B7/10000,4)</f>
        <v>413.81799999999998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1289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1229</v>
      </c>
      <c r="E27" s="1262" t="s">
        <v>1235</v>
      </c>
      <c r="F27" s="1202" t="s">
        <v>1256</v>
      </c>
      <c r="G27" s="1202" t="s">
        <v>1257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1288</v>
      </c>
      <c r="E28" s="1265" t="s">
        <v>1258</v>
      </c>
      <c r="F28" s="1266">
        <f>ROUND(1-(1-O4)*O3/O2,2)</f>
        <v>0.86</v>
      </c>
      <c r="G28" s="523">
        <v>0.5</v>
      </c>
      <c r="H28" s="1267"/>
      <c r="I28" s="1211" t="s">
        <v>1259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1290</v>
      </c>
      <c r="E29" s="1265" t="s">
        <v>1260</v>
      </c>
      <c r="F29" s="1266">
        <f>ROUND((F30*G30+F31*G31+F32*G32)/100,2)</f>
        <v>0.9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1594</v>
      </c>
      <c r="P29" s="1442" t="s">
        <v>1595</v>
      </c>
      <c r="Q29" s="1442" t="s">
        <v>1596</v>
      </c>
      <c r="R29" s="1443" t="s">
        <v>1597</v>
      </c>
    </row>
    <row r="30" spans="1:18" ht="15.75" customHeight="1">
      <c r="A30" s="1249"/>
      <c r="B30" s="1250"/>
      <c r="C30" s="1250"/>
      <c r="D30" s="1264">
        <v>1</v>
      </c>
      <c r="E30" s="1268" t="s">
        <v>1261</v>
      </c>
      <c r="F30" s="524">
        <v>90</v>
      </c>
      <c r="G30" s="1266">
        <f>IF(ISNUMBER(FIND("砖木",B20)),O30,SUMPRODUCT((N30:N32=E30)*(O29:R29=B20)*(O30:R32)))</f>
        <v>0.2</v>
      </c>
      <c r="H30" s="1267"/>
      <c r="I30" s="1778" t="s">
        <v>1598</v>
      </c>
      <c r="J30" s="1436"/>
      <c r="K30" s="1250"/>
      <c r="L30" s="1250"/>
      <c r="N30" s="1444" t="s">
        <v>1591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1262</v>
      </c>
      <c r="F31" s="1269">
        <f>F30</f>
        <v>90</v>
      </c>
      <c r="G31" s="1266">
        <f>IF(ISNUMBER(FIND("砖木",B20)),O31,SUMPRODUCT((N30:N32=E31)*(O29:R29=B20)*(O30:R32)))</f>
        <v>0.45</v>
      </c>
      <c r="H31" s="1267"/>
      <c r="I31" s="1778"/>
      <c r="J31" s="1436"/>
      <c r="K31" s="1250"/>
      <c r="L31" s="1250"/>
      <c r="N31" s="1444" t="s">
        <v>1592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1263</v>
      </c>
      <c r="F32" s="1269">
        <f>F31</f>
        <v>90</v>
      </c>
      <c r="G32" s="1266">
        <f>IF(ISNUMBER(FIND("砖木",B20)),O32,SUMPRODUCT((N30:N32=E32)*(O29:R29=B20)*(O30:R32)))</f>
        <v>0.35</v>
      </c>
      <c r="H32" s="1267"/>
      <c r="I32" s="1778"/>
      <c r="J32" s="1436"/>
      <c r="K32" s="1250"/>
      <c r="L32" s="1250"/>
      <c r="N32" s="1444" t="s">
        <v>1593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1291</v>
      </c>
      <c r="E33" s="1271" t="s">
        <v>1264</v>
      </c>
      <c r="F33" s="1272">
        <f>ROUND(F28*G28+F29*G29,2)</f>
        <v>0.88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1292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1288</v>
      </c>
      <c r="E35" s="1273" t="s">
        <v>1265</v>
      </c>
      <c r="F35" s="1274">
        <f ca="1">ROUND(F24*F33,0)</f>
        <v>7918</v>
      </c>
      <c r="G35" s="1779" t="s">
        <v>1266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1290</v>
      </c>
      <c r="E36" s="1257" t="s">
        <v>1267</v>
      </c>
      <c r="F36" s="1275">
        <f ca="1">ROUND(F25*F33,4)</f>
        <v>364.15980000000002</v>
      </c>
      <c r="G36" s="1781" t="s">
        <v>1268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1211</v>
      </c>
    </row>
    <row r="52" spans="1:13" ht="15.75" customHeight="1">
      <c r="C52" s="1280" t="s">
        <v>1210</v>
      </c>
      <c r="D52" s="1280"/>
      <c r="E52" s="1280"/>
      <c r="F52" s="1280"/>
      <c r="G52" s="1284" t="s">
        <v>1215</v>
      </c>
      <c r="I52" s="1285"/>
      <c r="J52" s="1285"/>
      <c r="K52" s="1278"/>
      <c r="L52" s="1278"/>
      <c r="M52" s="1278"/>
    </row>
    <row r="53" spans="1:13" ht="15.75" customHeight="1">
      <c r="A53" s="1279" t="s">
        <v>1208</v>
      </c>
      <c r="B53" s="1280" t="s">
        <v>1209</v>
      </c>
      <c r="C53" s="1282" t="s">
        <v>1214</v>
      </c>
      <c r="D53" s="1282"/>
      <c r="E53" s="1282"/>
      <c r="F53" s="1282"/>
      <c r="G53" s="1284" t="s">
        <v>1219</v>
      </c>
      <c r="I53" s="1285"/>
      <c r="J53" s="1285"/>
      <c r="K53" s="1278"/>
      <c r="L53" s="1278"/>
      <c r="M53" s="1278"/>
    </row>
    <row r="54" spans="1:13" ht="15.75" customHeight="1">
      <c r="A54" s="1281" t="s">
        <v>1212</v>
      </c>
      <c r="B54" s="1282" t="s">
        <v>1213</v>
      </c>
      <c r="C54" s="1282" t="s">
        <v>1218</v>
      </c>
      <c r="D54" s="1282"/>
      <c r="E54" s="1282"/>
      <c r="F54" s="1282"/>
      <c r="G54" s="1284" t="s">
        <v>1223</v>
      </c>
      <c r="I54" s="1285"/>
      <c r="J54" s="1285"/>
      <c r="K54" s="1278"/>
      <c r="L54" s="1278"/>
      <c r="M54" s="1278"/>
    </row>
    <row r="55" spans="1:13" ht="15.75" customHeight="1">
      <c r="A55" s="1281" t="s">
        <v>1216</v>
      </c>
      <c r="B55" s="1282" t="s">
        <v>1217</v>
      </c>
      <c r="C55" s="1282" t="s">
        <v>1222</v>
      </c>
      <c r="D55" s="1282"/>
      <c r="E55" s="1282"/>
      <c r="F55" s="1282"/>
      <c r="G55" s="1284" t="s">
        <v>1225</v>
      </c>
      <c r="I55" s="1285"/>
      <c r="J55" s="1285"/>
      <c r="K55" s="1278"/>
      <c r="L55" s="1278"/>
      <c r="M55" s="1278"/>
    </row>
    <row r="56" spans="1:13" ht="15.75" customHeight="1">
      <c r="A56" s="1281" t="s">
        <v>1220</v>
      </c>
      <c r="B56" s="1282" t="s">
        <v>1221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67" zoomScale="80" zoomScaleNormal="80" zoomScaleSheetLayoutView="89" workbookViewId="0">
      <selection activeCell="C74" sqref="C74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1482</v>
      </c>
      <c r="B1" s="828"/>
      <c r="C1" s="726" t="s">
        <v>1185</v>
      </c>
      <c r="D1" s="526">
        <f>主表!B7</f>
        <v>459.9</v>
      </c>
      <c r="E1" s="725" t="s">
        <v>1570</v>
      </c>
      <c r="F1" s="1352" t="s">
        <v>1773</v>
      </c>
      <c r="G1" s="1531"/>
      <c r="H1" s="725"/>
      <c r="I1" s="725"/>
      <c r="J1" s="725"/>
      <c r="L1" s="829" t="s">
        <v>345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912</v>
      </c>
      <c r="B2" s="32">
        <f ca="1">C26</f>
        <v>2206140</v>
      </c>
      <c r="C2" s="686" t="s">
        <v>985</v>
      </c>
      <c r="D2" s="733" t="s">
        <v>988</v>
      </c>
      <c r="E2" s="734" t="str">
        <f>主表!B12</f>
        <v>住宅/居住</v>
      </c>
      <c r="F2" s="733" t="s">
        <v>913</v>
      </c>
      <c r="G2" s="735" t="str">
        <f>主表!B10</f>
        <v>九级</v>
      </c>
      <c r="H2" s="830" t="s">
        <v>914</v>
      </c>
      <c r="I2" s="684" t="str">
        <f>主表!B11</f>
        <v>Ⅸ-兴3</v>
      </c>
      <c r="J2" s="736"/>
      <c r="L2" s="831" t="s">
        <v>405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915</v>
      </c>
      <c r="B3" s="32">
        <f ca="1">IF(F1="地上",C29,SUMIF(B33:B39,G1,C33:C39))</f>
        <v>4797</v>
      </c>
      <c r="C3" s="686" t="s">
        <v>916</v>
      </c>
      <c r="D3" s="733" t="s">
        <v>256</v>
      </c>
      <c r="E3" s="737" t="s">
        <v>1771</v>
      </c>
      <c r="F3" s="1500" t="s">
        <v>1772</v>
      </c>
      <c r="G3" s="238">
        <f>IF(F3="容积率",主表!B8,主表!B9)</f>
        <v>1.5</v>
      </c>
      <c r="H3" s="833" t="s">
        <v>257</v>
      </c>
      <c r="I3" s="401">
        <v>1</v>
      </c>
      <c r="J3" s="736" t="s">
        <v>258</v>
      </c>
      <c r="L3" s="831" t="s">
        <v>583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6"/>
      <c r="B4" s="1797"/>
      <c r="C4" s="1797"/>
      <c r="D4" s="1798"/>
      <c r="E4" s="1798"/>
      <c r="F4" s="1798"/>
      <c r="G4" s="1798"/>
      <c r="H4" s="1798"/>
      <c r="I4" s="1798"/>
      <c r="J4" s="1799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917</v>
      </c>
      <c r="B5" s="835" t="s">
        <v>918</v>
      </c>
      <c r="C5" s="367">
        <f>ROUND(IF(E2="商业",IF(F16="增加",C6*C7+C16,C6*C7-C16),IF(E2="住宅/居住",IF(F16="增加",C6*C12+C16,C6*C12-C16),IF(F16="增加",C6+C16,C6-C16))),0)</f>
        <v>4464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665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918</v>
      </c>
      <c r="C6" s="370">
        <f>SUMIF(L1:L12,G2,M1:M12)</f>
        <v>4040</v>
      </c>
      <c r="D6" s="841" t="s">
        <v>1483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800" t="str">
        <f>IF(E2="商业",IF(C8="不临58条商业街","",2),"")</f>
        <v/>
      </c>
      <c r="B7" s="845" t="s">
        <v>919</v>
      </c>
      <c r="C7" s="371" t="e">
        <f>IF(C8="不临58条商业街",1,ROUND(1+(1.6*E8+1.2*E9+0.8*E10+0.4*E11)*C9,4))</f>
        <v>#DIV/0!</v>
      </c>
      <c r="D7" s="802" t="s">
        <v>920</v>
      </c>
      <c r="E7" s="402"/>
      <c r="F7" s="846"/>
      <c r="G7" s="847"/>
      <c r="H7" s="847"/>
      <c r="I7" s="847"/>
      <c r="J7" s="848"/>
      <c r="K7" s="754"/>
      <c r="L7" s="831" t="s">
        <v>668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801"/>
      <c r="B8" s="833" t="s">
        <v>921</v>
      </c>
      <c r="C8" s="963"/>
      <c r="D8" s="374" t="s">
        <v>259</v>
      </c>
      <c r="E8" s="375" t="e">
        <f>ROUND(C11/E7,4)</f>
        <v>#DIV/0!</v>
      </c>
      <c r="F8" s="975" t="s">
        <v>1499</v>
      </c>
      <c r="G8" s="850"/>
      <c r="H8" s="850"/>
      <c r="I8" s="850"/>
      <c r="J8" s="851"/>
      <c r="L8" s="831" t="s">
        <v>670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801"/>
      <c r="B9" s="833" t="s">
        <v>922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1500</v>
      </c>
      <c r="G9" s="850"/>
      <c r="H9" s="850"/>
      <c r="I9" s="850"/>
      <c r="J9" s="851"/>
      <c r="L9" s="831" t="s">
        <v>672</v>
      </c>
      <c r="M9" s="438">
        <f>SUMPRODUCT(('2014区片价'!B245:B289=I2)*('2014区片价'!C3:F3=E2)*('2014区片价'!C245:F289))</f>
        <v>4040</v>
      </c>
      <c r="N9" s="441">
        <f>SUMPRODUCT(('2014因素修正幅度'!B245:B289=I2)*('2014因素修正幅度'!C3:F3=E2)*('2014因素修正幅度'!C245:F289))</f>
        <v>0.15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801"/>
      <c r="B10" s="833" t="s">
        <v>923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1501</v>
      </c>
      <c r="G10" s="850"/>
      <c r="H10" s="850"/>
      <c r="I10" s="850"/>
      <c r="J10" s="851"/>
      <c r="L10" s="831" t="s">
        <v>676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801"/>
      <c r="B11" s="852" t="s">
        <v>924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1502</v>
      </c>
      <c r="G11" s="854"/>
      <c r="H11" s="854"/>
      <c r="I11" s="854"/>
      <c r="J11" s="855"/>
      <c r="L11" s="831" t="s">
        <v>986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800">
        <f>IF(E2="住宅/居住",2,"")</f>
        <v>2</v>
      </c>
      <c r="B12" s="856" t="s">
        <v>925</v>
      </c>
      <c r="C12" s="371">
        <f>ROUND(C15*D15*E15*F15*G15*H15*I15*J15,4)</f>
        <v>1.1000000000000001</v>
      </c>
      <c r="D12" s="857" t="s">
        <v>926</v>
      </c>
      <c r="E12" s="858"/>
      <c r="F12" s="858"/>
      <c r="G12" s="859"/>
      <c r="H12" s="859"/>
      <c r="I12" s="859"/>
      <c r="J12" s="860"/>
      <c r="L12" s="861" t="s">
        <v>987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802"/>
      <c r="B13" s="862" t="s">
        <v>1484</v>
      </c>
      <c r="C13" s="325" t="s">
        <v>1485</v>
      </c>
      <c r="D13" s="671" t="s">
        <v>1486</v>
      </c>
      <c r="E13" s="671" t="s">
        <v>1487</v>
      </c>
      <c r="F13" s="863" t="s">
        <v>263</v>
      </c>
      <c r="G13" s="864" t="s">
        <v>971</v>
      </c>
      <c r="H13" s="864" t="s">
        <v>971</v>
      </c>
      <c r="I13" s="864" t="s">
        <v>971</v>
      </c>
      <c r="J13" s="865" t="s">
        <v>971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802"/>
      <c r="B14" s="866"/>
      <c r="C14" s="867" t="s">
        <v>26</v>
      </c>
      <c r="D14" s="814" t="s">
        <v>25</v>
      </c>
      <c r="E14" s="814" t="s">
        <v>26</v>
      </c>
      <c r="F14" s="868" t="s">
        <v>1774</v>
      </c>
      <c r="G14" s="869" t="s">
        <v>954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803"/>
      <c r="B15" s="873" t="s">
        <v>1488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</v>
      </c>
      <c r="G15" s="403">
        <v>1</v>
      </c>
      <c r="H15" s="403">
        <v>1</v>
      </c>
      <c r="I15" s="403">
        <v>1</v>
      </c>
      <c r="J15" s="404">
        <v>1</v>
      </c>
      <c r="L15" s="874" t="s">
        <v>947</v>
      </c>
      <c r="M15" s="849" t="s">
        <v>948</v>
      </c>
      <c r="N15" s="849" t="s">
        <v>1316</v>
      </c>
      <c r="O15" s="849" t="s">
        <v>1315</v>
      </c>
      <c r="P15" s="875" t="s">
        <v>949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800">
        <f>IF(E2="办公/综合",2,IF(E2="工业",2,IF(E2="住宅/居住",3,IF(E2="商业",IF(C8="不临58条商业街",2,3)))))</f>
        <v>3</v>
      </c>
      <c r="B16" s="845" t="s">
        <v>927</v>
      </c>
      <c r="C16" s="1513">
        <f>ROUND(SUM(G17:J17)/C17,0)</f>
        <v>20</v>
      </c>
      <c r="D16" s="1515" t="s">
        <v>928</v>
      </c>
      <c r="E16" s="876" t="s">
        <v>1776</v>
      </c>
      <c r="F16" s="877" t="s">
        <v>1777</v>
      </c>
      <c r="G16" s="801" t="s">
        <v>1778</v>
      </c>
      <c r="H16" s="801"/>
      <c r="I16" s="801"/>
      <c r="J16" s="878"/>
      <c r="L16" s="879" t="s">
        <v>951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801"/>
      <c r="B17" s="880" t="s">
        <v>929</v>
      </c>
      <c r="C17" s="1514">
        <f>SUMPRODUCT(('2014修正'!A2:A5=E2)*('2014修正'!B1:M1=G2)*('2014修正'!B2:M5))</f>
        <v>1.5</v>
      </c>
      <c r="D17" s="1516" t="s">
        <v>930</v>
      </c>
      <c r="E17" s="853" t="str">
        <f>IF(OR(G2="八级",G2="九级",G2="十级",G2="十一级",G2="十二级"),"五通一平","七通一平")</f>
        <v>五通一平</v>
      </c>
      <c r="F17" s="881" t="s">
        <v>931</v>
      </c>
      <c r="G17" s="379">
        <f>SUMPRODUCT((七通一平=G16)*('2014修正'!B1:M1=G2)*('2014修正'!B6:M14))</f>
        <v>30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939</v>
      </c>
      <c r="M17" s="625">
        <f ca="1">ROUND($E$20*(1+M16),3)</f>
        <v>6.0999999999999999E-2</v>
      </c>
      <c r="N17" s="625">
        <f ca="1">ROUND($E$20*(1+N16),3)</f>
        <v>5.8000000000000003E-2</v>
      </c>
      <c r="O17" s="625">
        <f ca="1">ROUND($E$20*(1+O16),3)</f>
        <v>5.6000000000000001E-2</v>
      </c>
      <c r="P17" s="965">
        <f ca="1">ROUND($E$20*(1+P16),3)</f>
        <v>5.2999999999999999E-2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932</v>
      </c>
      <c r="B18" s="884" t="s">
        <v>933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973</v>
      </c>
      <c r="M18" s="382">
        <f>ROUNDDOWN(IF(H19&gt;=E19,DATEDIF(E19,H19,"M")/3,DATEDIF(H19,E19,"M")/3),0)</f>
        <v>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934</v>
      </c>
      <c r="B19" s="884" t="s">
        <v>935</v>
      </c>
      <c r="C19" s="1505">
        <f>IF(H19&lt;DATE(2014,8,28),0,ROUND(I19/F19,4))</f>
        <v>1.0662</v>
      </c>
      <c r="D19" s="1508" t="s">
        <v>264</v>
      </c>
      <c r="E19" s="1550">
        <v>41640</v>
      </c>
      <c r="F19" s="1632">
        <f>ROUND(SUMIF(地价!B3:F3,E2,地价!B24:F24),0)</f>
        <v>423</v>
      </c>
      <c r="G19" s="1508" t="s">
        <v>265</v>
      </c>
      <c r="H19" s="1349">
        <f>主表!B4</f>
        <v>42193</v>
      </c>
      <c r="I19" s="1633">
        <f>ROUND(SUMPRODUCT((地价!A9:A24=YEAR(H19)&amp;"-"&amp;ROUNDUP(MONTH(H19)/3,0))*(地价!B3:F3=E2)*(地价!B9:F24)),0)</f>
        <v>451</v>
      </c>
      <c r="J19" s="1634"/>
      <c r="K19" s="784"/>
      <c r="L19" s="799" t="s">
        <v>266</v>
      </c>
      <c r="M19" s="800" t="s">
        <v>267</v>
      </c>
      <c r="N19" s="623" t="s">
        <v>1754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936</v>
      </c>
      <c r="B20" s="891" t="s">
        <v>937</v>
      </c>
      <c r="C20" s="1506">
        <f ca="1">ROUND(POWER(1+G20,J20-I20)*(POWER(1+G20,I20)-1)/(POWER(1+G20,J20)-1),4)</f>
        <v>0.9929</v>
      </c>
      <c r="D20" s="1509" t="s">
        <v>938</v>
      </c>
      <c r="E20" s="1510">
        <f ca="1">INDIRECT("'存贷款利率'!e"&amp;存贷款利率!$K$4)/100</f>
        <v>4.8499999999999995E-2</v>
      </c>
      <c r="F20" s="1507" t="s">
        <v>939</v>
      </c>
      <c r="G20" s="1511">
        <f ca="1">SUMIF(M15:P15,E2,M17:P17)</f>
        <v>5.6000000000000001E-2</v>
      </c>
      <c r="H20" s="1512" t="s">
        <v>1652</v>
      </c>
      <c r="I20" s="1054">
        <f>IF(H20="剩余土地使用年限",主表!B15,主表!B16)</f>
        <v>65</v>
      </c>
      <c r="J20" s="390">
        <f>IF(E2="住宅/居住",70,IF(E2="商业",40,50))</f>
        <v>70</v>
      </c>
      <c r="K20" s="784"/>
      <c r="L20" s="803" t="s">
        <v>280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940</v>
      </c>
      <c r="B21" s="893" t="s">
        <v>281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282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941</v>
      </c>
      <c r="C22" s="1501" t="s">
        <v>1495</v>
      </c>
      <c r="D22" s="1501">
        <f>IF(E22=G22,F22,IF(G3&lt;=10,ROUND(F22+(H22-F22)*(G3-E22)/(G22-E22),4),"——"))</f>
        <v>1</v>
      </c>
      <c r="E22" s="1519">
        <f>ROUNDDOWN(G3,1)</f>
        <v>1.5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1.5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283</v>
      </c>
      <c r="J22" s="392" t="str">
        <f>IF(G3&gt;10,D114,"——")</f>
        <v>——</v>
      </c>
      <c r="K22" s="784"/>
      <c r="L22" s="803" t="s">
        <v>1316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942</v>
      </c>
      <c r="C23" s="384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870"/>
      <c r="E23" s="870"/>
      <c r="F23" s="899"/>
      <c r="G23" s="900"/>
      <c r="H23" s="901"/>
      <c r="I23" s="902"/>
      <c r="J23" s="903"/>
      <c r="L23" s="803" t="s">
        <v>1361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943</v>
      </c>
      <c r="B24" s="905" t="s">
        <v>944</v>
      </c>
      <c r="C24" s="393">
        <f>SUMIF(A46:A88,E2,B46:B88)</f>
        <v>1.0149999999999999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8" customHeight="1">
      <c r="A25" s="890" t="s">
        <v>945</v>
      </c>
      <c r="B25" s="909" t="s">
        <v>946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968</v>
      </c>
      <c r="C26" s="27">
        <f ca="1">E29+SUM(E33:E39)</f>
        <v>2206140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969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967</v>
      </c>
      <c r="C28" s="922" t="s">
        <v>950</v>
      </c>
      <c r="D28" s="922" t="s">
        <v>958</v>
      </c>
      <c r="E28" s="923" t="s">
        <v>959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962</v>
      </c>
      <c r="C29" s="27">
        <f ca="1">ROUND(C5*C18*C19*C20*C21*C24,0)</f>
        <v>4797</v>
      </c>
      <c r="D29" s="624">
        <f>主表!B7</f>
        <v>459.9</v>
      </c>
      <c r="E29" s="400">
        <f ca="1">ROUND(C29*D29,0)</f>
        <v>2206140</v>
      </c>
      <c r="F29" s="341" t="s">
        <v>1489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963</v>
      </c>
      <c r="C30" s="29">
        <f ca="1">ROUND(IF(E2="工业",C29*M39,C29*M38),0)</f>
        <v>1199</v>
      </c>
      <c r="D30" s="626"/>
      <c r="E30" s="400">
        <f ca="1">ROUND(C30*D30,0)</f>
        <v>0</v>
      </c>
      <c r="F30" s="930" t="s">
        <v>960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964</v>
      </c>
      <c r="C31" s="935" t="s">
        <v>965</v>
      </c>
      <c r="D31" s="859"/>
      <c r="E31" s="935"/>
      <c r="F31" s="935"/>
      <c r="G31" s="857" t="s">
        <v>966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950</v>
      </c>
      <c r="D32" s="939" t="s">
        <v>958</v>
      </c>
      <c r="E32" s="939" t="s">
        <v>959</v>
      </c>
      <c r="F32" s="734" t="s">
        <v>953</v>
      </c>
      <c r="G32" s="898" t="s">
        <v>950</v>
      </c>
      <c r="H32" s="898" t="s">
        <v>958</v>
      </c>
      <c r="I32" s="898" t="s">
        <v>959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5" t="s">
        <v>1758</v>
      </c>
      <c r="B33" s="942" t="s">
        <v>284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0.6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6"/>
      <c r="B34" s="325" t="s">
        <v>285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0.3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6"/>
      <c r="B35" s="325" t="s">
        <v>286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7"/>
      <c r="B36" s="325" t="s">
        <v>287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288</v>
      </c>
      <c r="C37" s="26">
        <f ca="1">ROUND(C5*C19*C20*C24*F37,0)</f>
        <v>959</v>
      </c>
      <c r="D37" s="624"/>
      <c r="E37" s="26">
        <f t="shared" ca="1" si="0"/>
        <v>0</v>
      </c>
      <c r="F37" s="27">
        <f>SUMIF('2014修正'!A45:A56,G2,'2014修正'!F45:F56)</f>
        <v>0.2</v>
      </c>
      <c r="G37" s="26">
        <f ca="1">ROUND(IF(E2="工业",C37*$M$39,C37*$M$38),0)</f>
        <v>240</v>
      </c>
      <c r="H37" s="26">
        <f t="shared" si="3"/>
        <v>0</v>
      </c>
      <c r="I37" s="26">
        <f t="shared" ca="1" si="2"/>
        <v>0</v>
      </c>
      <c r="J37" s="943"/>
      <c r="L37" s="945" t="s">
        <v>961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289</v>
      </c>
      <c r="C38" s="26">
        <f ca="1">ROUND(C5*C19*C20*C24*F38,0)</f>
        <v>959</v>
      </c>
      <c r="D38" s="624"/>
      <c r="E38" s="26">
        <f t="shared" ca="1" si="0"/>
        <v>0</v>
      </c>
      <c r="F38" s="27">
        <f>SUMIF('2014修正'!A45:A56,G2,'2014修正'!G45:G56)</f>
        <v>0.2</v>
      </c>
      <c r="G38" s="26">
        <f ca="1">ROUND(IF(E2="工业",C38*$M$39,C38*$M$38),0)</f>
        <v>240</v>
      </c>
      <c r="H38" s="26">
        <f t="shared" si="3"/>
        <v>0</v>
      </c>
      <c r="I38" s="26">
        <f t="shared" ca="1" si="2"/>
        <v>0</v>
      </c>
      <c r="J38" s="943"/>
      <c r="L38" s="946" t="s">
        <v>952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290</v>
      </c>
      <c r="C39" s="29">
        <f ca="1">ROUND(C5*C19*C20*C24*F39,0)</f>
        <v>719</v>
      </c>
      <c r="D39" s="626"/>
      <c r="E39" s="29">
        <f t="shared" ca="1" si="0"/>
        <v>0</v>
      </c>
      <c r="F39" s="387">
        <f>SUMIF('2014修正'!A45:A56,G2,'2014修正'!H45:H56)</f>
        <v>0.15</v>
      </c>
      <c r="G39" s="29">
        <f ca="1">ROUND(IF(E2="工业",C39*$M$39,C39*$M$38),0)</f>
        <v>180</v>
      </c>
      <c r="H39" s="29">
        <f t="shared" si="3"/>
        <v>0</v>
      </c>
      <c r="I39" s="29">
        <f t="shared" ca="1" si="2"/>
        <v>0</v>
      </c>
      <c r="J39" s="949"/>
      <c r="L39" s="950" t="s">
        <v>949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893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282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894</v>
      </c>
      <c r="B47" s="248" t="s">
        <v>895</v>
      </c>
      <c r="C47" s="248" t="s">
        <v>896</v>
      </c>
      <c r="D47" s="248" t="s">
        <v>1469</v>
      </c>
      <c r="E47" s="812" t="s">
        <v>1470</v>
      </c>
      <c r="F47" s="952" t="s">
        <v>1145</v>
      </c>
      <c r="G47" s="248" t="s">
        <v>1491</v>
      </c>
      <c r="H47" s="953" t="s">
        <v>1164</v>
      </c>
      <c r="I47" s="248" t="s">
        <v>1490</v>
      </c>
      <c r="J47" s="813" t="s">
        <v>1471</v>
      </c>
      <c r="K47" s="813" t="s">
        <v>1472</v>
      </c>
      <c r="L47" s="813" t="s">
        <v>1473</v>
      </c>
      <c r="M47" s="813" t="s">
        <v>1474</v>
      </c>
      <c r="N47" s="813" t="s">
        <v>1475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897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898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899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900</v>
      </c>
      <c r="B51" s="1706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901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902</v>
      </c>
      <c r="B53" s="1707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903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904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905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1316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894</v>
      </c>
      <c r="B58" s="254"/>
      <c r="C58" s="248" t="s">
        <v>896</v>
      </c>
      <c r="D58" s="248" t="s">
        <v>1469</v>
      </c>
      <c r="E58" s="812" t="s">
        <v>1476</v>
      </c>
      <c r="F58" s="952" t="s">
        <v>1145</v>
      </c>
      <c r="G58" s="248" t="s">
        <v>1492</v>
      </c>
      <c r="H58" s="953" t="s">
        <v>1165</v>
      </c>
      <c r="I58" s="248" t="s">
        <v>1490</v>
      </c>
      <c r="J58" s="813" t="s">
        <v>14</v>
      </c>
      <c r="K58" s="813" t="s">
        <v>13</v>
      </c>
      <c r="L58" s="813" t="s">
        <v>1477</v>
      </c>
      <c r="M58" s="813" t="s">
        <v>1478</v>
      </c>
      <c r="N58" s="813" t="s">
        <v>1479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906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898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899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900</v>
      </c>
      <c r="B62" s="1706" t="s">
        <v>1755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901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902</v>
      </c>
      <c r="B64" s="1707" t="s">
        <v>1756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903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904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905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1317</v>
      </c>
      <c r="B68" s="490">
        <f>1+E70</f>
        <v>1.0149999999999999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894</v>
      </c>
      <c r="B69" s="254"/>
      <c r="C69" s="248" t="s">
        <v>896</v>
      </c>
      <c r="D69" s="248" t="s">
        <v>1469</v>
      </c>
      <c r="E69" s="812" t="s">
        <v>1476</v>
      </c>
      <c r="F69" s="952" t="s">
        <v>1145</v>
      </c>
      <c r="G69" s="248" t="s">
        <v>1492</v>
      </c>
      <c r="H69" s="953" t="s">
        <v>1165</v>
      </c>
      <c r="I69" s="248" t="s">
        <v>1490</v>
      </c>
      <c r="J69" s="813" t="s">
        <v>14</v>
      </c>
      <c r="K69" s="813" t="s">
        <v>13</v>
      </c>
      <c r="L69" s="813" t="s">
        <v>1477</v>
      </c>
      <c r="M69" s="813" t="s">
        <v>1478</v>
      </c>
      <c r="N69" s="813" t="s">
        <v>1479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907</v>
      </c>
      <c r="B70" s="251" t="str">
        <f>估价对象房地状况!C3</f>
        <v>估价对象周边居住用地比例、居住小区规模和社区发展完善程度，综合评价居住社区成熟度一般</v>
      </c>
      <c r="C70" s="814" t="s">
        <v>15</v>
      </c>
      <c r="D70" s="493">
        <f t="shared" ref="D70:D78" si="14">SUMIF($J$69:$N$69,C70,J70:N70)</f>
        <v>0</v>
      </c>
      <c r="E70" s="253">
        <f>ROUND(SUM(D70:D78),4)</f>
        <v>1.4999999999999999E-2</v>
      </c>
      <c r="F70" s="967">
        <f>IF(E2="住宅/居住",SUMIF(L1:L12,G2,N1:N12),"——")</f>
        <v>0.15</v>
      </c>
      <c r="G70" s="494">
        <v>1.0500000000000001E-2</v>
      </c>
      <c r="H70" s="497">
        <f t="shared" ref="H70:H78" si="15">IFERROR($F$70*I70/2,"——")</f>
        <v>1.0500000000000001E-2</v>
      </c>
      <c r="I70" s="252">
        <v>0.14000000000000001</v>
      </c>
      <c r="J70" s="495">
        <f t="shared" ref="J70:J78" si="16">K70+$G70</f>
        <v>2.1000000000000001E-2</v>
      </c>
      <c r="K70" s="495">
        <f t="shared" ref="K70:K78" si="17">$L70+$G70</f>
        <v>1.0500000000000001E-2</v>
      </c>
      <c r="L70" s="495">
        <v>0</v>
      </c>
      <c r="M70" s="495">
        <f t="shared" ref="M70:N78" si="18">L70-$G70</f>
        <v>-1.0500000000000001E-2</v>
      </c>
      <c r="N70" s="495">
        <f t="shared" si="18"/>
        <v>-2.1000000000000001E-2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898</v>
      </c>
      <c r="B71" s="254" t="str">
        <f>估价对象房地状况!C6</f>
        <v>估价对象周边道路状况、公共交通通达情况、停车便捷程度，综合评价交通便捷度较好</v>
      </c>
      <c r="C71" s="814" t="s">
        <v>15</v>
      </c>
      <c r="D71" s="493">
        <f t="shared" si="14"/>
        <v>0</v>
      </c>
      <c r="E71" s="263"/>
      <c r="F71" s="968"/>
      <c r="G71" s="494">
        <v>2.2499999999999999E-2</v>
      </c>
      <c r="H71" s="497">
        <f t="shared" si="15"/>
        <v>2.2499999999999999E-2</v>
      </c>
      <c r="I71" s="252">
        <v>0.3</v>
      </c>
      <c r="J71" s="495">
        <f t="shared" si="16"/>
        <v>4.4999999999999998E-2</v>
      </c>
      <c r="K71" s="495">
        <f t="shared" si="17"/>
        <v>2.2499999999999999E-2</v>
      </c>
      <c r="L71" s="495">
        <v>0</v>
      </c>
      <c r="M71" s="495">
        <f t="shared" si="18"/>
        <v>-2.2499999999999999E-2</v>
      </c>
      <c r="N71" s="495">
        <f t="shared" si="18"/>
        <v>-4.4999999999999998E-2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899</v>
      </c>
      <c r="B72" s="254" t="str">
        <f>估价对象房地状况!C7</f>
        <v>零星有其他用地，基本不影响本宗地</v>
      </c>
      <c r="C72" s="814" t="s">
        <v>15</v>
      </c>
      <c r="D72" s="493">
        <f t="shared" si="14"/>
        <v>0</v>
      </c>
      <c r="E72" s="263"/>
      <c r="F72" s="968"/>
      <c r="G72" s="494">
        <v>6.0000000000000001E-3</v>
      </c>
      <c r="H72" s="497">
        <f t="shared" si="15"/>
        <v>6.0000000000000001E-3</v>
      </c>
      <c r="I72" s="252">
        <v>0.08</v>
      </c>
      <c r="J72" s="495">
        <f t="shared" si="16"/>
        <v>1.2E-2</v>
      </c>
      <c r="K72" s="495">
        <f t="shared" si="17"/>
        <v>6.0000000000000001E-3</v>
      </c>
      <c r="L72" s="495">
        <v>0</v>
      </c>
      <c r="M72" s="495">
        <f t="shared" si="18"/>
        <v>-6.0000000000000001E-3</v>
      </c>
      <c r="N72" s="495">
        <f t="shared" si="18"/>
        <v>-1.2E-2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908</v>
      </c>
      <c r="B73" s="254">
        <f>估价对象房地状况!C12</f>
        <v>0</v>
      </c>
      <c r="C73" s="814" t="s">
        <v>15</v>
      </c>
      <c r="D73" s="493">
        <f t="shared" si="14"/>
        <v>0</v>
      </c>
      <c r="E73" s="263"/>
      <c r="F73" s="968"/>
      <c r="G73" s="494">
        <v>3.0000000000000001E-3</v>
      </c>
      <c r="H73" s="497">
        <f t="shared" si="15"/>
        <v>3.0000000000000001E-3</v>
      </c>
      <c r="I73" s="252">
        <v>0.04</v>
      </c>
      <c r="J73" s="495">
        <f t="shared" si="16"/>
        <v>6.0000000000000001E-3</v>
      </c>
      <c r="K73" s="495">
        <f t="shared" si="17"/>
        <v>3.0000000000000001E-3</v>
      </c>
      <c r="L73" s="495">
        <v>0</v>
      </c>
      <c r="M73" s="495">
        <f t="shared" si="18"/>
        <v>-3.0000000000000001E-3</v>
      </c>
      <c r="N73" s="495">
        <f t="shared" si="18"/>
        <v>-6.0000000000000001E-3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903</v>
      </c>
      <c r="B74" s="489" t="str">
        <f>估价对象房地状况!C9</f>
        <v>估价对象所在区域公共配套设施齐备情况</v>
      </c>
      <c r="C74" s="814" t="s">
        <v>15</v>
      </c>
      <c r="D74" s="493">
        <f t="shared" si="14"/>
        <v>0</v>
      </c>
      <c r="E74" s="263"/>
      <c r="F74" s="968"/>
      <c r="G74" s="494">
        <v>6.0000000000000001E-3</v>
      </c>
      <c r="H74" s="497">
        <f t="shared" si="15"/>
        <v>6.0000000000000001E-3</v>
      </c>
      <c r="I74" s="252">
        <v>0.08</v>
      </c>
      <c r="J74" s="495">
        <f t="shared" si="16"/>
        <v>1.2E-2</v>
      </c>
      <c r="K74" s="495">
        <f t="shared" si="17"/>
        <v>6.0000000000000001E-3</v>
      </c>
      <c r="L74" s="495">
        <v>0</v>
      </c>
      <c r="M74" s="495">
        <f t="shared" si="18"/>
        <v>-6.0000000000000001E-3</v>
      </c>
      <c r="N74" s="495">
        <f t="shared" si="18"/>
        <v>-1.2E-2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904</v>
      </c>
      <c r="B75" s="489" t="str">
        <f>估价对象房地状况!C10</f>
        <v>估价对象所在区域基础设施水平</v>
      </c>
      <c r="C75" s="814" t="s">
        <v>15</v>
      </c>
      <c r="D75" s="493">
        <f t="shared" si="14"/>
        <v>0</v>
      </c>
      <c r="E75" s="263"/>
      <c r="F75" s="968"/>
      <c r="G75" s="494">
        <v>8.9999999999999993E-3</v>
      </c>
      <c r="H75" s="497">
        <f t="shared" si="15"/>
        <v>8.9999999999999993E-3</v>
      </c>
      <c r="I75" s="252">
        <v>0.12</v>
      </c>
      <c r="J75" s="495">
        <f t="shared" si="16"/>
        <v>1.7999999999999999E-2</v>
      </c>
      <c r="K75" s="495">
        <f t="shared" si="17"/>
        <v>8.9999999999999993E-3</v>
      </c>
      <c r="L75" s="495">
        <v>0</v>
      </c>
      <c r="M75" s="495">
        <f t="shared" si="18"/>
        <v>-8.9999999999999993E-3</v>
      </c>
      <c r="N75" s="495">
        <f t="shared" si="18"/>
        <v>-1.7999999999999999E-2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902</v>
      </c>
      <c r="B76" s="1707" t="s">
        <v>1756</v>
      </c>
      <c r="C76" s="814" t="s">
        <v>1775</v>
      </c>
      <c r="D76" s="493">
        <f t="shared" si="14"/>
        <v>3.7499999999999999E-3</v>
      </c>
      <c r="E76" s="263"/>
      <c r="F76" s="968"/>
      <c r="G76" s="494">
        <v>3.7499999999999999E-3</v>
      </c>
      <c r="H76" s="497">
        <f t="shared" si="15"/>
        <v>3.7499999999999999E-3</v>
      </c>
      <c r="I76" s="252">
        <v>0.05</v>
      </c>
      <c r="J76" s="495">
        <f t="shared" si="16"/>
        <v>7.4999999999999997E-3</v>
      </c>
      <c r="K76" s="495">
        <f t="shared" si="17"/>
        <v>3.7499999999999999E-3</v>
      </c>
      <c r="L76" s="495">
        <v>0</v>
      </c>
      <c r="M76" s="495">
        <f t="shared" si="18"/>
        <v>-3.7499999999999999E-3</v>
      </c>
      <c r="N76" s="495">
        <f t="shared" si="18"/>
        <v>-7.4999999999999997E-3</v>
      </c>
      <c r="Z76" s="728"/>
      <c r="AA76" s="729"/>
      <c r="AG76" s="730"/>
      <c r="AK76" s="729"/>
    </row>
    <row r="77" spans="1:37" ht="36">
      <c r="A77" s="247" t="s">
        <v>905</v>
      </c>
      <c r="B77" s="251" t="str">
        <f>估价对象房地状况!C8</f>
        <v>区域自然环境：；人文环境；综合评价环境状况一般</v>
      </c>
      <c r="C77" s="814" t="s">
        <v>1775</v>
      </c>
      <c r="D77" s="493">
        <f t="shared" si="14"/>
        <v>1.125E-2</v>
      </c>
      <c r="E77" s="263"/>
      <c r="F77" s="968"/>
      <c r="G77" s="494">
        <v>1.125E-2</v>
      </c>
      <c r="H77" s="497">
        <f t="shared" si="15"/>
        <v>1.125E-2</v>
      </c>
      <c r="I77" s="252">
        <v>0.15</v>
      </c>
      <c r="J77" s="495">
        <f t="shared" si="16"/>
        <v>2.2499999999999999E-2</v>
      </c>
      <c r="K77" s="495">
        <f t="shared" si="17"/>
        <v>1.125E-2</v>
      </c>
      <c r="L77" s="495">
        <v>0</v>
      </c>
      <c r="M77" s="495">
        <f t="shared" si="18"/>
        <v>-1.125E-2</v>
      </c>
      <c r="N77" s="495">
        <f t="shared" si="18"/>
        <v>-2.2499999999999999E-2</v>
      </c>
      <c r="Z77" s="728"/>
      <c r="AA77" s="729"/>
      <c r="AG77" s="730"/>
      <c r="AK77" s="729"/>
    </row>
    <row r="78" spans="1:37" ht="24.75" thickBot="1">
      <c r="A78" s="258" t="s">
        <v>909</v>
      </c>
      <c r="B78" s="492"/>
      <c r="C78" s="814" t="s">
        <v>15</v>
      </c>
      <c r="D78" s="493">
        <f t="shared" si="14"/>
        <v>0</v>
      </c>
      <c r="E78" s="264"/>
      <c r="F78" s="968"/>
      <c r="G78" s="494">
        <v>3.0000000000000001E-3</v>
      </c>
      <c r="H78" s="497">
        <f t="shared" si="15"/>
        <v>3.0000000000000001E-3</v>
      </c>
      <c r="I78" s="260">
        <v>0.04</v>
      </c>
      <c r="J78" s="495">
        <f t="shared" si="16"/>
        <v>6.0000000000000001E-3</v>
      </c>
      <c r="K78" s="495">
        <f t="shared" si="17"/>
        <v>3.0000000000000001E-3</v>
      </c>
      <c r="L78" s="495">
        <v>0</v>
      </c>
      <c r="M78" s="495">
        <f t="shared" si="18"/>
        <v>-3.0000000000000001E-3</v>
      </c>
      <c r="N78" s="495">
        <f t="shared" si="18"/>
        <v>-6.0000000000000001E-3</v>
      </c>
      <c r="Z78" s="728"/>
      <c r="AA78" s="729"/>
      <c r="AG78" s="730"/>
      <c r="AK78" s="729"/>
    </row>
    <row r="79" spans="1:37" ht="13.5">
      <c r="A79" s="242" t="s">
        <v>319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894</v>
      </c>
      <c r="B80" s="254"/>
      <c r="C80" s="248" t="s">
        <v>896</v>
      </c>
      <c r="D80" s="248" t="s">
        <v>1469</v>
      </c>
      <c r="E80" s="812" t="s">
        <v>1476</v>
      </c>
      <c r="F80" s="952" t="s">
        <v>1145</v>
      </c>
      <c r="G80" s="248" t="s">
        <v>1492</v>
      </c>
      <c r="H80" s="953" t="s">
        <v>1165</v>
      </c>
      <c r="I80" s="248" t="s">
        <v>1490</v>
      </c>
      <c r="J80" s="813" t="s">
        <v>14</v>
      </c>
      <c r="K80" s="813" t="s">
        <v>13</v>
      </c>
      <c r="L80" s="813" t="s">
        <v>1477</v>
      </c>
      <c r="M80" s="813" t="s">
        <v>1478</v>
      </c>
      <c r="N80" s="813" t="s">
        <v>1479</v>
      </c>
      <c r="Z80" s="728"/>
      <c r="AA80" s="729"/>
      <c r="AG80" s="730"/>
      <c r="AK80" s="729"/>
    </row>
    <row r="81" spans="1:37" ht="36">
      <c r="A81" s="247" t="s">
        <v>910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898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899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908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903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904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902</v>
      </c>
      <c r="B87" s="1707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911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4" t="s">
        <v>1166</v>
      </c>
      <c r="B91" s="1804"/>
      <c r="C91" s="1804"/>
      <c r="D91" s="1804"/>
      <c r="E91" s="1804"/>
      <c r="F91" s="1804"/>
      <c r="G91" s="1804"/>
      <c r="H91" s="1804"/>
      <c r="I91" s="1804"/>
      <c r="J91" s="1804"/>
      <c r="K91" s="672"/>
      <c r="L91" s="672"/>
      <c r="M91" s="672"/>
      <c r="N91" s="672"/>
    </row>
    <row r="92" spans="1:37">
      <c r="A92" s="1790" t="s">
        <v>1167</v>
      </c>
      <c r="B92" s="1790" t="s">
        <v>1168</v>
      </c>
      <c r="C92" s="341" t="s">
        <v>1169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70" t="s">
        <v>1170</v>
      </c>
      <c r="D93" s="670" t="s">
        <v>1171</v>
      </c>
      <c r="E93" s="670" t="s">
        <v>1172</v>
      </c>
      <c r="F93" s="670" t="s">
        <v>1173</v>
      </c>
      <c r="G93" s="670" t="s">
        <v>1174</v>
      </c>
      <c r="H93" s="670" t="s">
        <v>1175</v>
      </c>
      <c r="I93" s="670" t="s">
        <v>1176</v>
      </c>
      <c r="J93" s="670" t="s">
        <v>1177</v>
      </c>
      <c r="K93" s="670" t="s">
        <v>1178</v>
      </c>
      <c r="L93" s="670" t="s">
        <v>1179</v>
      </c>
      <c r="M93" s="670" t="s">
        <v>1180</v>
      </c>
      <c r="N93" s="670" t="s">
        <v>1181</v>
      </c>
    </row>
    <row r="94" spans="1:37" ht="12.75">
      <c r="A94" s="1791" t="s">
        <v>1493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92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92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92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92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92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92"/>
      <c r="B100" s="969" t="s">
        <v>1496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93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1" t="s">
        <v>1494</v>
      </c>
      <c r="B102" s="973" t="s">
        <v>1497</v>
      </c>
      <c r="C102" s="974">
        <f>$G$3</f>
        <v>1.5</v>
      </c>
      <c r="D102" s="974">
        <f t="shared" ref="D102:N102" si="25">$G$3</f>
        <v>1.5</v>
      </c>
      <c r="E102" s="974">
        <f t="shared" si="25"/>
        <v>1.5</v>
      </c>
      <c r="F102" s="974">
        <f t="shared" si="25"/>
        <v>1.5</v>
      </c>
      <c r="G102" s="974">
        <f t="shared" si="25"/>
        <v>1.5</v>
      </c>
      <c r="H102" s="974">
        <f t="shared" si="25"/>
        <v>1.5</v>
      </c>
      <c r="I102" s="974">
        <f t="shared" si="25"/>
        <v>1.5</v>
      </c>
      <c r="J102" s="974">
        <f t="shared" si="25"/>
        <v>1.5</v>
      </c>
      <c r="K102" s="974">
        <f t="shared" si="25"/>
        <v>1.5</v>
      </c>
      <c r="L102" s="974">
        <f t="shared" si="25"/>
        <v>1.5</v>
      </c>
      <c r="M102" s="974">
        <f t="shared" si="25"/>
        <v>1.5</v>
      </c>
      <c r="N102" s="974">
        <f t="shared" si="25"/>
        <v>1.5</v>
      </c>
    </row>
    <row r="103" spans="1:14" ht="12.75">
      <c r="A103" s="1792"/>
      <c r="B103" s="969">
        <v>1</v>
      </c>
      <c r="C103" s="970">
        <f>1.9362/C102</f>
        <v>1.2907999999999999</v>
      </c>
      <c r="D103" s="970">
        <f>1.9362/D102</f>
        <v>1.2907999999999999</v>
      </c>
      <c r="E103" s="970">
        <f>1.8629/E102</f>
        <v>1.2419333333333333</v>
      </c>
      <c r="F103" s="970">
        <f>1.8629/F102</f>
        <v>1.2419333333333333</v>
      </c>
      <c r="G103" s="970">
        <f>1.8629/G102</f>
        <v>1.2419333333333333</v>
      </c>
      <c r="H103" s="970">
        <f>1.8629/H102</f>
        <v>1.2419333333333333</v>
      </c>
      <c r="I103" s="970">
        <f>1.8629/I102</f>
        <v>1.2419333333333333</v>
      </c>
      <c r="J103" s="970">
        <f>1.942/J102</f>
        <v>1.2946666666666666</v>
      </c>
      <c r="K103" s="970">
        <f>1.942/K102</f>
        <v>1.2946666666666666</v>
      </c>
      <c r="L103" s="970">
        <f>1.942/L102</f>
        <v>1.2946666666666666</v>
      </c>
      <c r="M103" s="970">
        <f>1.942/M102</f>
        <v>1.2946666666666666</v>
      </c>
      <c r="N103" s="970">
        <f>1.942/N102</f>
        <v>1.2946666666666666</v>
      </c>
    </row>
    <row r="104" spans="1:14" ht="12.75">
      <c r="A104" s="1792"/>
      <c r="B104" s="969">
        <v>2</v>
      </c>
      <c r="C104" s="970">
        <f>1.4198/C102</f>
        <v>0.94653333333333334</v>
      </c>
      <c r="D104" s="970">
        <f>1.4198/D102</f>
        <v>0.94653333333333334</v>
      </c>
      <c r="E104" s="970">
        <f>1.3372/E102</f>
        <v>0.89146666666666663</v>
      </c>
      <c r="F104" s="970">
        <f>1.3372/F102</f>
        <v>0.89146666666666663</v>
      </c>
      <c r="G104" s="970">
        <f>1.3372/G102</f>
        <v>0.89146666666666663</v>
      </c>
      <c r="H104" s="970">
        <f>1.3372/H102</f>
        <v>0.89146666666666663</v>
      </c>
      <c r="I104" s="970">
        <f>1.3372/I102</f>
        <v>0.89146666666666663</v>
      </c>
      <c r="J104" s="970">
        <f>1.2799/J102</f>
        <v>0.85326666666666673</v>
      </c>
      <c r="K104" s="970">
        <f>1.2799/K102</f>
        <v>0.85326666666666673</v>
      </c>
      <c r="L104" s="970">
        <f>1.2799/L102</f>
        <v>0.85326666666666673</v>
      </c>
      <c r="M104" s="970">
        <f>1.2799/M102</f>
        <v>0.85326666666666673</v>
      </c>
      <c r="N104" s="970">
        <f>1.2799/N102</f>
        <v>0.85326666666666673</v>
      </c>
    </row>
    <row r="105" spans="1:14" ht="12.75">
      <c r="A105" s="1792"/>
      <c r="B105" s="969">
        <v>3</v>
      </c>
      <c r="C105" s="970">
        <f>1.1594/C102</f>
        <v>0.77293333333333336</v>
      </c>
      <c r="D105" s="970">
        <f>1.1594/D102</f>
        <v>0.77293333333333336</v>
      </c>
      <c r="E105" s="970">
        <f>1.0788/E102</f>
        <v>0.71919999999999995</v>
      </c>
      <c r="F105" s="970">
        <f>1.0788/F102</f>
        <v>0.71919999999999995</v>
      </c>
      <c r="G105" s="970">
        <f>1.0788/G102</f>
        <v>0.71919999999999995</v>
      </c>
      <c r="H105" s="970">
        <f>1.0788/H102</f>
        <v>0.71919999999999995</v>
      </c>
      <c r="I105" s="970">
        <f>1.0788/I102</f>
        <v>0.71919999999999995</v>
      </c>
      <c r="J105" s="970">
        <f>1.0072/J102</f>
        <v>0.67146666666666677</v>
      </c>
      <c r="K105" s="970">
        <f>1.0072/K102</f>
        <v>0.67146666666666677</v>
      </c>
      <c r="L105" s="970">
        <f>1.0072/L102</f>
        <v>0.67146666666666677</v>
      </c>
      <c r="M105" s="970">
        <f>1.0072/M102</f>
        <v>0.67146666666666677</v>
      </c>
      <c r="N105" s="970">
        <f>1.0072/N102</f>
        <v>0.67146666666666677</v>
      </c>
    </row>
    <row r="106" spans="1:14" ht="12.75">
      <c r="A106" s="1792"/>
      <c r="B106" s="969">
        <v>4</v>
      </c>
      <c r="C106" s="970">
        <f>0.9622/C102</f>
        <v>0.64146666666666674</v>
      </c>
      <c r="D106" s="970">
        <f>0.9622/D102</f>
        <v>0.64146666666666674</v>
      </c>
      <c r="E106" s="970">
        <f>0.8656/E102</f>
        <v>0.57706666666666673</v>
      </c>
      <c r="F106" s="970">
        <f>0.8656/F102</f>
        <v>0.57706666666666673</v>
      </c>
      <c r="G106" s="970">
        <f>0.8656/G102</f>
        <v>0.57706666666666673</v>
      </c>
      <c r="H106" s="970">
        <f>0.8656/H102</f>
        <v>0.57706666666666673</v>
      </c>
      <c r="I106" s="970">
        <f>0.8656/I102</f>
        <v>0.57706666666666673</v>
      </c>
      <c r="J106" s="970">
        <f>0.7525/J102</f>
        <v>0.50166666666666659</v>
      </c>
      <c r="K106" s="970">
        <f>0.7525/K102</f>
        <v>0.50166666666666659</v>
      </c>
      <c r="L106" s="970">
        <f>0.7525/L102</f>
        <v>0.50166666666666659</v>
      </c>
      <c r="M106" s="970">
        <f>0.7525/M102</f>
        <v>0.50166666666666659</v>
      </c>
      <c r="N106" s="970">
        <f>0.7525/N102</f>
        <v>0.50166666666666659</v>
      </c>
    </row>
    <row r="107" spans="1:14" ht="12.75">
      <c r="A107" s="1792"/>
      <c r="B107" s="969">
        <v>5</v>
      </c>
      <c r="C107" s="970">
        <f>0.8417/C102</f>
        <v>0.56113333333333337</v>
      </c>
      <c r="D107" s="970">
        <f>0.8417/D102</f>
        <v>0.56113333333333337</v>
      </c>
      <c r="E107" s="970">
        <f>0.7371/E102</f>
        <v>0.4914</v>
      </c>
      <c r="F107" s="970">
        <f>0.7371/F102</f>
        <v>0.4914</v>
      </c>
      <c r="G107" s="970">
        <f>0.7371/G102</f>
        <v>0.4914</v>
      </c>
      <c r="H107" s="970">
        <f>0.7371/H102</f>
        <v>0.4914</v>
      </c>
      <c r="I107" s="970">
        <f>0.7371/I102</f>
        <v>0.4914</v>
      </c>
      <c r="J107" s="970">
        <f>0.5659/J102</f>
        <v>0.37726666666666664</v>
      </c>
      <c r="K107" s="970">
        <f>0.5659/K102</f>
        <v>0.37726666666666664</v>
      </c>
      <c r="L107" s="970">
        <f>0.5659/L102</f>
        <v>0.37726666666666664</v>
      </c>
      <c r="M107" s="970">
        <f>0.5659/M102</f>
        <v>0.37726666666666664</v>
      </c>
      <c r="N107" s="970">
        <f>0.5659/N102</f>
        <v>0.37726666666666664</v>
      </c>
    </row>
    <row r="108" spans="1:14" ht="12.75">
      <c r="A108" s="1792"/>
      <c r="B108" s="969">
        <v>6</v>
      </c>
      <c r="C108" s="970">
        <f>0.7608/C102</f>
        <v>0.50719999999999998</v>
      </c>
      <c r="D108" s="970">
        <f>0.7608/D102</f>
        <v>0.50719999999999998</v>
      </c>
      <c r="E108" s="970">
        <f>0.6482/E102</f>
        <v>0.43213333333333331</v>
      </c>
      <c r="F108" s="970">
        <f>0.6482/F102</f>
        <v>0.43213333333333331</v>
      </c>
      <c r="G108" s="970">
        <f>0.6482/G102</f>
        <v>0.43213333333333331</v>
      </c>
      <c r="H108" s="970">
        <f>0.6482/H102</f>
        <v>0.43213333333333331</v>
      </c>
      <c r="I108" s="970">
        <f>0.6482/I102</f>
        <v>0.43213333333333331</v>
      </c>
      <c r="J108" s="970">
        <f>0.4525/J102</f>
        <v>0.30166666666666669</v>
      </c>
      <c r="K108" s="970">
        <f>0.4525/K102</f>
        <v>0.30166666666666669</v>
      </c>
      <c r="L108" s="970">
        <f>0.4525/L102</f>
        <v>0.30166666666666669</v>
      </c>
      <c r="M108" s="970">
        <f>0.4525/M102</f>
        <v>0.30166666666666669</v>
      </c>
      <c r="N108" s="970">
        <f>0.4525/N102</f>
        <v>0.30166666666666669</v>
      </c>
    </row>
    <row r="109" spans="1:14" ht="12.75">
      <c r="A109" s="1792"/>
      <c r="B109" s="1794" t="s">
        <v>1498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93"/>
      <c r="B110" s="1795"/>
      <c r="C110" s="972">
        <f>(-0.163*(C109^2)-0.59*C109+7617)*(10^(-4))/C102</f>
        <v>0.50774980000000003</v>
      </c>
      <c r="D110" s="972">
        <f>(-0.163*(D109^2)-0.59*D109+7617)*(10^(-4))/D102</f>
        <v>0.50774980000000003</v>
      </c>
      <c r="E110" s="972">
        <f>(-0.161*(E109^2)-7.509*E109+6533)*(10^(-4))/E102</f>
        <v>0.43502200000000002</v>
      </c>
      <c r="F110" s="972">
        <f>(-0.161*(F109^2)-7.509*F109+6533)*(10^(-4))/F102</f>
        <v>0.43502200000000002</v>
      </c>
      <c r="G110" s="972">
        <f>(-0.161*(G109^2)-7.509*G109+6533)*(10^(-4))/G102</f>
        <v>0.43502200000000002</v>
      </c>
      <c r="H110" s="972">
        <f>(-0.161*(H109^2)-7.509*H109+6533)*(10^(-4))/H102</f>
        <v>0.43502200000000002</v>
      </c>
      <c r="I110" s="972">
        <f>(-0.161*(I109^2)-7.509*I109+6533)*(10^(-4))/I102</f>
        <v>0.43502200000000002</v>
      </c>
      <c r="J110" s="972">
        <f>(-0.214*(J109^2)-21.991*J109+4665)*(10^(-4))/J102</f>
        <v>0.30951966666666669</v>
      </c>
      <c r="K110" s="972">
        <f>(-0.214*(K109^2)-21.991*K109+4665)*(10^(-4))/K102</f>
        <v>0.30951966666666669</v>
      </c>
      <c r="L110" s="972">
        <f>(-0.214*(L109^2)-21.991*L109+4665)*(10^(-4))/L102</f>
        <v>0.30951966666666669</v>
      </c>
      <c r="M110" s="972">
        <f>(-0.214*(M109^2)-21.991*M109+4665)*(10^(-4))/M102</f>
        <v>0.30951966666666669</v>
      </c>
      <c r="N110" s="972">
        <f>(-0.214*(N109^2)-21.991*N109+4665)*(10^(-4))/N102</f>
        <v>0.30951966666666669</v>
      </c>
    </row>
    <row r="111" spans="1:14">
      <c r="A111" s="1789" t="s">
        <v>1182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1480</v>
      </c>
      <c r="B114" s="498">
        <f>G3</f>
        <v>1.5</v>
      </c>
      <c r="C114" s="955" t="s">
        <v>1481</v>
      </c>
      <c r="D114" s="351">
        <f>SUMPRODUCT((A116:A119=F114)*(B115:M115=H114)*B116:M119)</f>
        <v>0.72699999999999998</v>
      </c>
      <c r="E114" s="735" t="s">
        <v>1167</v>
      </c>
      <c r="F114" s="956" t="str">
        <f>E2</f>
        <v>住宅/居住</v>
      </c>
      <c r="G114" s="735" t="s">
        <v>1184</v>
      </c>
      <c r="H114" s="956" t="str">
        <f>G2</f>
        <v>九级</v>
      </c>
      <c r="I114" s="735"/>
      <c r="J114" s="816"/>
      <c r="K114" s="816"/>
      <c r="L114" s="816"/>
      <c r="M114" s="816"/>
    </row>
    <row r="115" spans="1:13">
      <c r="A115" s="957"/>
      <c r="B115" s="958" t="s">
        <v>1170</v>
      </c>
      <c r="C115" s="958" t="s">
        <v>1171</v>
      </c>
      <c r="D115" s="958" t="s">
        <v>1172</v>
      </c>
      <c r="E115" s="959" t="s">
        <v>1173</v>
      </c>
      <c r="F115" s="959" t="s">
        <v>1174</v>
      </c>
      <c r="G115" s="959" t="s">
        <v>1175</v>
      </c>
      <c r="H115" s="960" t="s">
        <v>1176</v>
      </c>
      <c r="I115" s="960" t="s">
        <v>1177</v>
      </c>
      <c r="J115" s="961" t="s">
        <v>1178</v>
      </c>
      <c r="K115" s="961" t="s">
        <v>1179</v>
      </c>
      <c r="L115" s="961" t="s">
        <v>1180</v>
      </c>
      <c r="M115" s="962" t="s">
        <v>1181</v>
      </c>
    </row>
    <row r="116" spans="1:13" ht="12.75">
      <c r="A116" s="817" t="s">
        <v>0</v>
      </c>
      <c r="B116" s="355">
        <f>ROUND(0.9335-0.0094*B114,4)</f>
        <v>0.9194</v>
      </c>
      <c r="C116" s="355">
        <f>B116</f>
        <v>0.9194</v>
      </c>
      <c r="D116" s="355">
        <f>ROUND(0.8331-0.0109*B114,4)</f>
        <v>0.81679999999999997</v>
      </c>
      <c r="E116" s="355">
        <f>D116</f>
        <v>0.81679999999999997</v>
      </c>
      <c r="F116" s="355">
        <f>E116</f>
        <v>0.81679999999999997</v>
      </c>
      <c r="G116" s="355">
        <f>F116</f>
        <v>0.81679999999999997</v>
      </c>
      <c r="H116" s="355">
        <f>G116</f>
        <v>0.81679999999999997</v>
      </c>
      <c r="I116" s="355">
        <f>ROUND(0.689-0.0155*B114,4)</f>
        <v>0.66579999999999995</v>
      </c>
      <c r="J116" s="355">
        <f t="shared" ref="J116:M119" si="27">I116</f>
        <v>0.66579999999999995</v>
      </c>
      <c r="K116" s="355">
        <f t="shared" si="27"/>
        <v>0.66579999999999995</v>
      </c>
      <c r="L116" s="355">
        <f t="shared" si="27"/>
        <v>0.66579999999999995</v>
      </c>
      <c r="M116" s="356">
        <f t="shared" si="27"/>
        <v>0.66579999999999995</v>
      </c>
    </row>
    <row r="117" spans="1:13" ht="12.75">
      <c r="A117" s="817" t="s">
        <v>1316</v>
      </c>
      <c r="B117" s="355">
        <f>ROUND(0.949-0.012*B114,4)</f>
        <v>0.93100000000000005</v>
      </c>
      <c r="C117" s="355">
        <f>B117</f>
        <v>0.93100000000000005</v>
      </c>
      <c r="D117" s="355">
        <f>ROUND(0.8567-0.013*B114,4)</f>
        <v>0.83720000000000006</v>
      </c>
      <c r="E117" s="355">
        <f t="shared" ref="E117:H118" si="28">D117</f>
        <v>0.83720000000000006</v>
      </c>
      <c r="F117" s="355">
        <f t="shared" si="28"/>
        <v>0.83720000000000006</v>
      </c>
      <c r="G117" s="355">
        <f t="shared" si="28"/>
        <v>0.83720000000000006</v>
      </c>
      <c r="H117" s="355">
        <f t="shared" si="28"/>
        <v>0.83720000000000006</v>
      </c>
      <c r="I117" s="355">
        <f>ROUND(0.7694-0.014*B114,4)</f>
        <v>0.74839999999999995</v>
      </c>
      <c r="J117" s="355">
        <f t="shared" si="27"/>
        <v>0.74839999999999995</v>
      </c>
      <c r="K117" s="355">
        <f t="shared" si="27"/>
        <v>0.74839999999999995</v>
      </c>
      <c r="L117" s="355">
        <f t="shared" si="27"/>
        <v>0.74839999999999995</v>
      </c>
      <c r="M117" s="356">
        <f t="shared" si="27"/>
        <v>0.74839999999999995</v>
      </c>
    </row>
    <row r="118" spans="1:13" ht="12.75">
      <c r="A118" s="817" t="s">
        <v>1317</v>
      </c>
      <c r="B118" s="355">
        <f>ROUND(0.8808-0.006*B114,4)</f>
        <v>0.87180000000000002</v>
      </c>
      <c r="C118" s="355">
        <f>B118</f>
        <v>0.87180000000000002</v>
      </c>
      <c r="D118" s="355">
        <f>ROUND(0.8748-0.008*B114,4)</f>
        <v>0.86280000000000001</v>
      </c>
      <c r="E118" s="355">
        <f t="shared" si="28"/>
        <v>0.86280000000000001</v>
      </c>
      <c r="F118" s="355">
        <f t="shared" si="28"/>
        <v>0.86280000000000001</v>
      </c>
      <c r="G118" s="355">
        <f t="shared" si="28"/>
        <v>0.86280000000000001</v>
      </c>
      <c r="H118" s="355">
        <f t="shared" si="28"/>
        <v>0.86280000000000001</v>
      </c>
      <c r="I118" s="355">
        <f>ROUND(0.7412-0.0095*B114,4)</f>
        <v>0.72699999999999998</v>
      </c>
      <c r="J118" s="355">
        <f t="shared" si="27"/>
        <v>0.72699999999999998</v>
      </c>
      <c r="K118" s="355">
        <f t="shared" si="27"/>
        <v>0.72699999999999998</v>
      </c>
      <c r="L118" s="355">
        <f t="shared" si="27"/>
        <v>0.72699999999999998</v>
      </c>
      <c r="M118" s="356">
        <f t="shared" si="27"/>
        <v>0.72699999999999998</v>
      </c>
    </row>
    <row r="119" spans="1:13" ht="13.5" thickBot="1">
      <c r="A119" s="818" t="s">
        <v>229</v>
      </c>
      <c r="B119" s="357">
        <f>ROUND(0.7275-0.01*B114,4)</f>
        <v>0.71250000000000002</v>
      </c>
      <c r="C119" s="357">
        <f>B119</f>
        <v>0.71250000000000002</v>
      </c>
      <c r="D119" s="357">
        <f>ROUND(0.7043-0.012*B114,4)</f>
        <v>0.68630000000000002</v>
      </c>
      <c r="E119" s="357">
        <f>D119</f>
        <v>0.68630000000000002</v>
      </c>
      <c r="F119" s="357">
        <f>E119</f>
        <v>0.68630000000000002</v>
      </c>
      <c r="G119" s="357">
        <f>ROUND(0.6299-0.0122*B114,4)</f>
        <v>0.61160000000000003</v>
      </c>
      <c r="H119" s="357">
        <f>G119</f>
        <v>0.61160000000000003</v>
      </c>
      <c r="I119" s="357">
        <f>ROUND(0.5667-0.0136*B114,4)</f>
        <v>0.54630000000000001</v>
      </c>
      <c r="J119" s="357">
        <f t="shared" si="27"/>
        <v>0.54630000000000001</v>
      </c>
      <c r="K119" s="357">
        <f t="shared" si="27"/>
        <v>0.54630000000000001</v>
      </c>
      <c r="L119" s="357">
        <f t="shared" si="27"/>
        <v>0.54630000000000001</v>
      </c>
      <c r="M119" s="358">
        <f t="shared" si="27"/>
        <v>0.54630000000000001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989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990</v>
      </c>
      <c r="D3" s="416" t="s">
        <v>1314</v>
      </c>
      <c r="E3" s="416" t="s">
        <v>1315</v>
      </c>
      <c r="F3" s="416" t="s">
        <v>991</v>
      </c>
    </row>
    <row r="4" spans="1:6" ht="14.25" thickBot="1">
      <c r="A4" s="417" t="s">
        <v>992</v>
      </c>
      <c r="B4" s="418" t="s">
        <v>993</v>
      </c>
      <c r="C4" s="416"/>
      <c r="D4" s="416"/>
      <c r="E4" s="416"/>
      <c r="F4" s="416"/>
    </row>
    <row r="5" spans="1:6" ht="14.25" thickBot="1">
      <c r="A5" s="277" t="s">
        <v>994</v>
      </c>
      <c r="B5" s="278" t="s">
        <v>995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345</v>
      </c>
      <c r="B6" s="271" t="s">
        <v>996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345</v>
      </c>
      <c r="B7" s="285" t="s">
        <v>334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345</v>
      </c>
      <c r="B8" s="271" t="s">
        <v>346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345</v>
      </c>
      <c r="B9" s="286" t="s">
        <v>358</v>
      </c>
      <c r="C9" s="423">
        <v>0.05</v>
      </c>
      <c r="D9" s="424"/>
      <c r="E9" s="424"/>
      <c r="F9" s="425"/>
    </row>
    <row r="10" spans="1:6" ht="14.25" thickBot="1">
      <c r="A10" s="277" t="s">
        <v>405</v>
      </c>
      <c r="B10" s="278" t="s">
        <v>997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405</v>
      </c>
      <c r="B11" s="285" t="s">
        <v>321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405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405</v>
      </c>
      <c r="B13" s="285" t="s">
        <v>347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405</v>
      </c>
      <c r="B14" s="285" t="s">
        <v>359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405</v>
      </c>
      <c r="B15" s="285" t="s">
        <v>371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405</v>
      </c>
      <c r="B16" s="285" t="s">
        <v>383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405</v>
      </c>
      <c r="B17" s="285" t="s">
        <v>395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405</v>
      </c>
      <c r="B18" s="285" t="s">
        <v>408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405</v>
      </c>
      <c r="B19" s="285" t="s">
        <v>419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405</v>
      </c>
      <c r="B20" s="285" t="s">
        <v>430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405</v>
      </c>
      <c r="B21" s="285" t="s">
        <v>441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405</v>
      </c>
      <c r="B22" s="285" t="s">
        <v>998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405</v>
      </c>
      <c r="B23" s="285" t="s">
        <v>463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405</v>
      </c>
      <c r="B24" s="285" t="s">
        <v>474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405</v>
      </c>
      <c r="B25" s="285" t="s">
        <v>484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405</v>
      </c>
      <c r="B26" s="285" t="s">
        <v>494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405</v>
      </c>
      <c r="B27" s="285" t="s">
        <v>504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405</v>
      </c>
      <c r="B28" s="286" t="s">
        <v>514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583</v>
      </c>
      <c r="B29" s="278" t="s">
        <v>999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583</v>
      </c>
      <c r="B30" s="285" t="s">
        <v>322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583</v>
      </c>
      <c r="B31" s="285" t="s">
        <v>335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583</v>
      </c>
      <c r="B32" s="285" t="s">
        <v>348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583</v>
      </c>
      <c r="B33" s="285" t="s">
        <v>360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583</v>
      </c>
      <c r="B34" s="285" t="s">
        <v>372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583</v>
      </c>
      <c r="B35" s="285" t="s">
        <v>384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583</v>
      </c>
      <c r="B36" s="285" t="s">
        <v>396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583</v>
      </c>
      <c r="B37" s="285" t="s">
        <v>409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583</v>
      </c>
      <c r="B38" s="285" t="s">
        <v>420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583</v>
      </c>
      <c r="B39" s="285" t="s">
        <v>431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583</v>
      </c>
      <c r="B40" s="285" t="s">
        <v>442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583</v>
      </c>
      <c r="B41" s="285" t="s">
        <v>453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583</v>
      </c>
      <c r="B42" s="285" t="s">
        <v>464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583</v>
      </c>
      <c r="B43" s="285" t="s">
        <v>475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583</v>
      </c>
      <c r="B44" s="285" t="s">
        <v>485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583</v>
      </c>
      <c r="B45" s="285" t="s">
        <v>495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583</v>
      </c>
      <c r="B46" s="285" t="s">
        <v>505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583</v>
      </c>
      <c r="B47" s="285" t="s">
        <v>515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583</v>
      </c>
      <c r="B48" s="286" t="s">
        <v>524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1000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323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336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349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361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373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385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397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410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421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432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443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454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465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476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486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496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506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516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525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534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542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549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1001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1002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1003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1004</v>
      </c>
      <c r="C75" s="424"/>
      <c r="D75" s="424"/>
      <c r="E75" s="424"/>
      <c r="F75" s="428">
        <v>0.05</v>
      </c>
    </row>
    <row r="76" spans="1:6" ht="14.25" thickBot="1">
      <c r="A76" s="277" t="s">
        <v>665</v>
      </c>
      <c r="B76" s="278" t="s">
        <v>1005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665</v>
      </c>
      <c r="B77" s="271" t="s">
        <v>324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665</v>
      </c>
      <c r="B78" s="271" t="s">
        <v>337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665</v>
      </c>
      <c r="B79" s="271" t="s">
        <v>350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665</v>
      </c>
      <c r="B80" s="271" t="s">
        <v>362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665</v>
      </c>
      <c r="B81" s="271" t="s">
        <v>374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665</v>
      </c>
      <c r="B82" s="271" t="s">
        <v>386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665</v>
      </c>
      <c r="B83" s="271" t="s">
        <v>398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665</v>
      </c>
      <c r="B84" s="271" t="s">
        <v>411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665</v>
      </c>
      <c r="B85" s="271" t="s">
        <v>422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665</v>
      </c>
      <c r="B86" s="271" t="s">
        <v>433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665</v>
      </c>
      <c r="B87" s="271" t="s">
        <v>444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665</v>
      </c>
      <c r="B88" s="271" t="s">
        <v>455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665</v>
      </c>
      <c r="B89" s="271" t="s">
        <v>466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665</v>
      </c>
      <c r="B90" s="271" t="s">
        <v>477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665</v>
      </c>
      <c r="B91" s="271" t="s">
        <v>487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665</v>
      </c>
      <c r="B92" s="271" t="s">
        <v>497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665</v>
      </c>
      <c r="B93" s="271" t="s">
        <v>507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665</v>
      </c>
      <c r="B94" s="271" t="s">
        <v>517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665</v>
      </c>
      <c r="B95" s="271" t="s">
        <v>526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665</v>
      </c>
      <c r="B96" s="271" t="s">
        <v>535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665</v>
      </c>
      <c r="B97" s="271" t="s">
        <v>543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665</v>
      </c>
      <c r="B98" s="271" t="s">
        <v>550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665</v>
      </c>
      <c r="B99" s="271" t="s">
        <v>557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665</v>
      </c>
      <c r="B100" s="271" t="s">
        <v>564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665</v>
      </c>
      <c r="B101" s="271" t="s">
        <v>571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665</v>
      </c>
      <c r="B102" s="271" t="s">
        <v>1006</v>
      </c>
      <c r="C102" s="427"/>
      <c r="D102" s="427"/>
      <c r="E102" s="427"/>
      <c r="F102" s="422">
        <v>0.05</v>
      </c>
    </row>
    <row r="103" spans="1:6" ht="24.75" thickBot="1">
      <c r="A103" s="277" t="s">
        <v>665</v>
      </c>
      <c r="B103" s="271" t="s">
        <v>1007</v>
      </c>
      <c r="C103" s="427"/>
      <c r="D103" s="427"/>
      <c r="E103" s="427"/>
      <c r="F103" s="422">
        <v>0.05</v>
      </c>
    </row>
    <row r="104" spans="1:6" ht="14.25" thickBot="1">
      <c r="A104" s="277" t="s">
        <v>665</v>
      </c>
      <c r="B104" s="271" t="s">
        <v>1008</v>
      </c>
      <c r="C104" s="427"/>
      <c r="D104" s="427"/>
      <c r="E104" s="427"/>
      <c r="F104" s="422">
        <v>0.05</v>
      </c>
    </row>
    <row r="105" spans="1:6" ht="14.25" thickBot="1">
      <c r="A105" s="277" t="s">
        <v>665</v>
      </c>
      <c r="B105" s="271" t="s">
        <v>1009</v>
      </c>
      <c r="C105" s="427"/>
      <c r="D105" s="427"/>
      <c r="E105" s="427"/>
      <c r="F105" s="422">
        <v>0.05</v>
      </c>
    </row>
    <row r="106" spans="1:6" ht="14.25" thickBot="1">
      <c r="A106" s="277" t="s">
        <v>665</v>
      </c>
      <c r="B106" s="271" t="s">
        <v>1010</v>
      </c>
      <c r="C106" s="427"/>
      <c r="D106" s="427"/>
      <c r="E106" s="427"/>
      <c r="F106" s="422">
        <v>0.05</v>
      </c>
    </row>
    <row r="107" spans="1:6" ht="24.75" thickBot="1">
      <c r="A107" s="277" t="s">
        <v>665</v>
      </c>
      <c r="B107" s="271" t="s">
        <v>1011</v>
      </c>
      <c r="C107" s="427"/>
      <c r="D107" s="427"/>
      <c r="E107" s="427"/>
      <c r="F107" s="422">
        <v>0.05</v>
      </c>
    </row>
    <row r="108" spans="1:6" ht="24.75" thickBot="1">
      <c r="A108" s="277" t="s">
        <v>665</v>
      </c>
      <c r="B108" s="271" t="s">
        <v>1012</v>
      </c>
      <c r="C108" s="427"/>
      <c r="D108" s="427"/>
      <c r="E108" s="427"/>
      <c r="F108" s="422">
        <v>0.05</v>
      </c>
    </row>
    <row r="109" spans="1:6" ht="24.75" thickBot="1">
      <c r="A109" s="294" t="s">
        <v>665</v>
      </c>
      <c r="B109" s="287" t="s">
        <v>1013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1014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325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338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351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363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375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387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399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412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423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434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445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456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467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478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488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498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508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518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527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536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544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551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558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1015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572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579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586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1016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1017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1018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606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611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616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1019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1020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1021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1022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1023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1024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1025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1026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649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1027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1028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1029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1030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1031</v>
      </c>
      <c r="C157" s="424"/>
      <c r="D157" s="424"/>
      <c r="E157" s="424"/>
      <c r="F157" s="428">
        <v>0.05</v>
      </c>
    </row>
    <row r="158" spans="1:6" ht="14.25" thickBot="1">
      <c r="A158" s="277" t="s">
        <v>668</v>
      </c>
      <c r="B158" s="278" t="s">
        <v>1032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668</v>
      </c>
      <c r="B159" s="271" t="s">
        <v>326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668</v>
      </c>
      <c r="B160" s="271" t="s">
        <v>339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668</v>
      </c>
      <c r="B161" s="271" t="s">
        <v>352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668</v>
      </c>
      <c r="B162" s="271" t="s">
        <v>364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668</v>
      </c>
      <c r="B163" s="271" t="s">
        <v>376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668</v>
      </c>
      <c r="B164" s="271" t="s">
        <v>388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668</v>
      </c>
      <c r="B165" s="271" t="s">
        <v>400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668</v>
      </c>
      <c r="B166" s="271" t="s">
        <v>413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668</v>
      </c>
      <c r="B167" s="271" t="s">
        <v>424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668</v>
      </c>
      <c r="B168" s="271" t="s">
        <v>435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668</v>
      </c>
      <c r="B169" s="271" t="s">
        <v>446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668</v>
      </c>
      <c r="B170" s="271" t="s">
        <v>457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668</v>
      </c>
      <c r="B171" s="271" t="s">
        <v>1033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668</v>
      </c>
      <c r="B172" s="271" t="s">
        <v>1034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668</v>
      </c>
      <c r="B173" s="271" t="s">
        <v>489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668</v>
      </c>
      <c r="B174" s="271" t="s">
        <v>1035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668</v>
      </c>
      <c r="B175" s="271" t="s">
        <v>1036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668</v>
      </c>
      <c r="B176" s="271" t="s">
        <v>519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668</v>
      </c>
      <c r="B177" s="271" t="s">
        <v>1037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668</v>
      </c>
      <c r="B178" s="271" t="s">
        <v>537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668</v>
      </c>
      <c r="B179" s="271" t="s">
        <v>545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668</v>
      </c>
      <c r="B180" s="271" t="s">
        <v>1038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668</v>
      </c>
      <c r="B181" s="271" t="s">
        <v>559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668</v>
      </c>
      <c r="B182" s="271" t="s">
        <v>566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668</v>
      </c>
      <c r="B183" s="271" t="s">
        <v>573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668</v>
      </c>
      <c r="B184" s="271" t="s">
        <v>580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668</v>
      </c>
      <c r="B185" s="271" t="s">
        <v>1039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668</v>
      </c>
      <c r="B186" s="271" t="s">
        <v>1040</v>
      </c>
      <c r="C186" s="427"/>
      <c r="D186" s="427"/>
      <c r="E186" s="427"/>
      <c r="F186" s="422">
        <v>0.05</v>
      </c>
    </row>
    <row r="187" spans="1:6" ht="14.25" thickBot="1">
      <c r="A187" s="277" t="s">
        <v>668</v>
      </c>
      <c r="B187" s="271" t="s">
        <v>1041</v>
      </c>
      <c r="C187" s="427"/>
      <c r="D187" s="427"/>
      <c r="E187" s="427"/>
      <c r="F187" s="422">
        <v>0.05</v>
      </c>
    </row>
    <row r="188" spans="1:6" ht="14.25" thickBot="1">
      <c r="A188" s="277" t="s">
        <v>668</v>
      </c>
      <c r="B188" s="271" t="s">
        <v>1042</v>
      </c>
      <c r="C188" s="427"/>
      <c r="D188" s="427"/>
      <c r="E188" s="427"/>
      <c r="F188" s="422">
        <v>0.05</v>
      </c>
    </row>
    <row r="189" spans="1:6" ht="24.75" thickBot="1">
      <c r="A189" s="277" t="s">
        <v>668</v>
      </c>
      <c r="B189" s="271" t="s">
        <v>1043</v>
      </c>
      <c r="C189" s="427"/>
      <c r="D189" s="427"/>
      <c r="E189" s="427"/>
      <c r="F189" s="422">
        <v>0.05</v>
      </c>
    </row>
    <row r="190" spans="1:6" ht="24.75" thickBot="1">
      <c r="A190" s="277" t="s">
        <v>668</v>
      </c>
      <c r="B190" s="271" t="s">
        <v>1044</v>
      </c>
      <c r="C190" s="427"/>
      <c r="D190" s="427"/>
      <c r="E190" s="427"/>
      <c r="F190" s="422">
        <v>0.05</v>
      </c>
    </row>
    <row r="191" spans="1:6" ht="24.75" thickBot="1">
      <c r="A191" s="277" t="s">
        <v>668</v>
      </c>
      <c r="B191" s="271" t="s">
        <v>1045</v>
      </c>
      <c r="C191" s="427"/>
      <c r="D191" s="427"/>
      <c r="E191" s="427"/>
      <c r="F191" s="422">
        <v>0.05</v>
      </c>
    </row>
    <row r="192" spans="1:6" ht="24.75" thickBot="1">
      <c r="A192" s="277" t="s">
        <v>668</v>
      </c>
      <c r="B192" s="271" t="s">
        <v>1046</v>
      </c>
      <c r="C192" s="427"/>
      <c r="D192" s="427"/>
      <c r="E192" s="427"/>
      <c r="F192" s="422">
        <v>0.05</v>
      </c>
    </row>
    <row r="193" spans="1:6" ht="24.75" thickBot="1">
      <c r="A193" s="277" t="s">
        <v>668</v>
      </c>
      <c r="B193" s="271" t="s">
        <v>1047</v>
      </c>
      <c r="C193" s="427"/>
      <c r="D193" s="427"/>
      <c r="E193" s="427"/>
      <c r="F193" s="422">
        <v>0.05</v>
      </c>
    </row>
    <row r="194" spans="1:6" ht="24.75" thickBot="1">
      <c r="A194" s="277" t="s">
        <v>668</v>
      </c>
      <c r="B194" s="271" t="s">
        <v>1048</v>
      </c>
      <c r="C194" s="427"/>
      <c r="D194" s="427"/>
      <c r="E194" s="427"/>
      <c r="F194" s="422">
        <v>0.05</v>
      </c>
    </row>
    <row r="195" spans="1:6" ht="14.25" thickBot="1">
      <c r="A195" s="277" t="s">
        <v>668</v>
      </c>
      <c r="B195" s="271" t="s">
        <v>1049</v>
      </c>
      <c r="C195" s="427"/>
      <c r="D195" s="427"/>
      <c r="E195" s="427"/>
      <c r="F195" s="422">
        <v>0.05</v>
      </c>
    </row>
    <row r="196" spans="1:6" ht="24.75" thickBot="1">
      <c r="A196" s="277" t="s">
        <v>668</v>
      </c>
      <c r="B196" s="271" t="s">
        <v>1050</v>
      </c>
      <c r="C196" s="427"/>
      <c r="D196" s="427"/>
      <c r="E196" s="427"/>
      <c r="F196" s="422">
        <v>0.05</v>
      </c>
    </row>
    <row r="197" spans="1:6" ht="24.75" thickBot="1">
      <c r="A197" s="277" t="s">
        <v>668</v>
      </c>
      <c r="B197" s="271" t="s">
        <v>1051</v>
      </c>
      <c r="C197" s="427"/>
      <c r="D197" s="427"/>
      <c r="E197" s="427"/>
      <c r="F197" s="422">
        <v>0.05</v>
      </c>
    </row>
    <row r="198" spans="1:6" ht="24.75" thickBot="1">
      <c r="A198" s="277" t="s">
        <v>668</v>
      </c>
      <c r="B198" s="271" t="s">
        <v>1052</v>
      </c>
      <c r="C198" s="427"/>
      <c r="D198" s="427"/>
      <c r="E198" s="427"/>
      <c r="F198" s="422">
        <v>0.05</v>
      </c>
    </row>
    <row r="199" spans="1:6" ht="24.75" thickBot="1">
      <c r="A199" s="277" t="s">
        <v>668</v>
      </c>
      <c r="B199" s="271" t="s">
        <v>1053</v>
      </c>
      <c r="C199" s="427"/>
      <c r="D199" s="427"/>
      <c r="E199" s="427"/>
      <c r="F199" s="422">
        <v>0.05</v>
      </c>
    </row>
    <row r="200" spans="1:6" ht="24.75" thickBot="1">
      <c r="A200" s="277" t="s">
        <v>668</v>
      </c>
      <c r="B200" s="271" t="s">
        <v>1054</v>
      </c>
      <c r="C200" s="427"/>
      <c r="D200" s="427"/>
      <c r="E200" s="427"/>
      <c r="F200" s="422">
        <v>0.05</v>
      </c>
    </row>
    <row r="201" spans="1:6" ht="24.75" thickBot="1">
      <c r="A201" s="277" t="s">
        <v>668</v>
      </c>
      <c r="B201" s="271" t="s">
        <v>1055</v>
      </c>
      <c r="C201" s="427"/>
      <c r="D201" s="427"/>
      <c r="E201" s="427"/>
      <c r="F201" s="422">
        <v>0.05</v>
      </c>
    </row>
    <row r="202" spans="1:6" ht="24.75" thickBot="1">
      <c r="A202" s="277" t="s">
        <v>668</v>
      </c>
      <c r="B202" s="271" t="s">
        <v>1056</v>
      </c>
      <c r="C202" s="427"/>
      <c r="D202" s="427"/>
      <c r="E202" s="427"/>
      <c r="F202" s="422">
        <v>0.05</v>
      </c>
    </row>
    <row r="203" spans="1:6" ht="24.75" thickBot="1">
      <c r="A203" s="277" t="s">
        <v>668</v>
      </c>
      <c r="B203" s="271" t="s">
        <v>1057</v>
      </c>
      <c r="C203" s="427"/>
      <c r="D203" s="427"/>
      <c r="E203" s="427"/>
      <c r="F203" s="422">
        <v>0.05</v>
      </c>
    </row>
    <row r="204" spans="1:6" ht="14.25" thickBot="1">
      <c r="A204" s="277" t="s">
        <v>668</v>
      </c>
      <c r="B204" s="271" t="s">
        <v>1058</v>
      </c>
      <c r="C204" s="427"/>
      <c r="D204" s="427"/>
      <c r="E204" s="427"/>
      <c r="F204" s="422">
        <v>0.05</v>
      </c>
    </row>
    <row r="205" spans="1:6" ht="14.25" thickBot="1">
      <c r="A205" s="294" t="s">
        <v>668</v>
      </c>
      <c r="B205" s="287" t="s">
        <v>1059</v>
      </c>
      <c r="C205" s="424"/>
      <c r="D205" s="424"/>
      <c r="E205" s="424"/>
      <c r="F205" s="428">
        <v>0.05</v>
      </c>
    </row>
    <row r="206" spans="1:6" ht="14.25" thickBot="1">
      <c r="A206" s="277" t="s">
        <v>670</v>
      </c>
      <c r="B206" s="278" t="s">
        <v>1060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670</v>
      </c>
      <c r="B207" s="271" t="s">
        <v>327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670</v>
      </c>
      <c r="B208" s="271" t="s">
        <v>340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670</v>
      </c>
      <c r="B209" s="271" t="s">
        <v>353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670</v>
      </c>
      <c r="B210" s="271" t="s">
        <v>1061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670</v>
      </c>
      <c r="B211" s="271" t="s">
        <v>1062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670</v>
      </c>
      <c r="B212" s="271" t="s">
        <v>1063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670</v>
      </c>
      <c r="B213" s="271" t="s">
        <v>401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670</v>
      </c>
      <c r="B214" s="271" t="s">
        <v>414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670</v>
      </c>
      <c r="B215" s="271" t="s">
        <v>1064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670</v>
      </c>
      <c r="B216" s="271" t="s">
        <v>436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670</v>
      </c>
      <c r="B217" s="271" t="s">
        <v>447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670</v>
      </c>
      <c r="B218" s="271" t="s">
        <v>1065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670</v>
      </c>
      <c r="B219" s="271" t="s">
        <v>469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670</v>
      </c>
      <c r="B220" s="271" t="s">
        <v>1066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670</v>
      </c>
      <c r="B221" s="271" t="s">
        <v>490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670</v>
      </c>
      <c r="B222" s="271" t="s">
        <v>500</v>
      </c>
      <c r="C222" s="421"/>
      <c r="D222" s="427"/>
      <c r="E222" s="427"/>
      <c r="F222" s="422">
        <v>0.1</v>
      </c>
    </row>
    <row r="223" spans="1:6" ht="14.25" thickBot="1">
      <c r="A223" s="277" t="s">
        <v>670</v>
      </c>
      <c r="B223" s="271" t="s">
        <v>510</v>
      </c>
      <c r="C223" s="421"/>
      <c r="D223" s="427"/>
      <c r="E223" s="427"/>
      <c r="F223" s="422">
        <v>0.15</v>
      </c>
    </row>
    <row r="224" spans="1:6" ht="14.25" thickBot="1">
      <c r="A224" s="277" t="s">
        <v>670</v>
      </c>
      <c r="B224" s="271" t="s">
        <v>520</v>
      </c>
      <c r="C224" s="421"/>
      <c r="D224" s="427"/>
      <c r="E224" s="427"/>
      <c r="F224" s="422">
        <v>0.15</v>
      </c>
    </row>
    <row r="225" spans="1:6" ht="14.25" thickBot="1">
      <c r="A225" s="277" t="s">
        <v>670</v>
      </c>
      <c r="B225" s="271" t="s">
        <v>1067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670</v>
      </c>
      <c r="B226" s="271" t="s">
        <v>538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670</v>
      </c>
      <c r="B227" s="271" t="s">
        <v>1068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670</v>
      </c>
      <c r="B228" s="271" t="s">
        <v>553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670</v>
      </c>
      <c r="B229" s="271" t="s">
        <v>560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670</v>
      </c>
      <c r="B230" s="271" t="s">
        <v>567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670</v>
      </c>
      <c r="B231" s="271" t="s">
        <v>1069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670</v>
      </c>
      <c r="B232" s="271" t="s">
        <v>1070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670</v>
      </c>
      <c r="B233" s="271" t="s">
        <v>1071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670</v>
      </c>
      <c r="B234" s="271" t="s">
        <v>1072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670</v>
      </c>
      <c r="B235" s="271" t="s">
        <v>1073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670</v>
      </c>
      <c r="B236" s="271" t="s">
        <v>603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670</v>
      </c>
      <c r="B237" s="271" t="s">
        <v>1074</v>
      </c>
      <c r="C237" s="427"/>
      <c r="D237" s="427"/>
      <c r="E237" s="427"/>
      <c r="F237" s="422">
        <v>0.05</v>
      </c>
    </row>
    <row r="238" spans="1:6" ht="24.75" thickBot="1">
      <c r="A238" s="277" t="s">
        <v>670</v>
      </c>
      <c r="B238" s="271" t="s">
        <v>1075</v>
      </c>
      <c r="C238" s="427"/>
      <c r="D238" s="427"/>
      <c r="E238" s="427"/>
      <c r="F238" s="422">
        <v>0.05</v>
      </c>
    </row>
    <row r="239" spans="1:6" ht="24.75" thickBot="1">
      <c r="A239" s="277" t="s">
        <v>670</v>
      </c>
      <c r="B239" s="271" t="s">
        <v>1076</v>
      </c>
      <c r="C239" s="427"/>
      <c r="D239" s="427"/>
      <c r="E239" s="427"/>
      <c r="F239" s="422">
        <v>0.05</v>
      </c>
    </row>
    <row r="240" spans="1:6" ht="24.75" thickBot="1">
      <c r="A240" s="277" t="s">
        <v>670</v>
      </c>
      <c r="B240" s="271" t="s">
        <v>1077</v>
      </c>
      <c r="C240" s="427"/>
      <c r="D240" s="427"/>
      <c r="E240" s="427"/>
      <c r="F240" s="422">
        <v>0.05</v>
      </c>
    </row>
    <row r="241" spans="1:6" ht="24.75" thickBot="1">
      <c r="A241" s="277" t="s">
        <v>670</v>
      </c>
      <c r="B241" s="271" t="s">
        <v>1078</v>
      </c>
      <c r="C241" s="427"/>
      <c r="D241" s="427"/>
      <c r="E241" s="427"/>
      <c r="F241" s="422">
        <v>0.05</v>
      </c>
    </row>
    <row r="242" spans="1:6" ht="24.75" thickBot="1">
      <c r="A242" s="277" t="s">
        <v>670</v>
      </c>
      <c r="B242" s="271" t="s">
        <v>1079</v>
      </c>
      <c r="C242" s="427"/>
      <c r="D242" s="427"/>
      <c r="E242" s="427"/>
      <c r="F242" s="422">
        <v>0.05</v>
      </c>
    </row>
    <row r="243" spans="1:6" ht="24.75" thickBot="1">
      <c r="A243" s="277" t="s">
        <v>670</v>
      </c>
      <c r="B243" s="271" t="s">
        <v>1080</v>
      </c>
      <c r="C243" s="427"/>
      <c r="D243" s="427"/>
      <c r="E243" s="427"/>
      <c r="F243" s="422">
        <v>0.05</v>
      </c>
    </row>
    <row r="244" spans="1:6" ht="24.75" thickBot="1">
      <c r="A244" s="294" t="s">
        <v>670</v>
      </c>
      <c r="B244" s="287" t="s">
        <v>1081</v>
      </c>
      <c r="C244" s="424"/>
      <c r="D244" s="424"/>
      <c r="E244" s="424"/>
      <c r="F244" s="428">
        <v>0.05</v>
      </c>
    </row>
    <row r="245" spans="1:6" ht="14.25" thickBot="1">
      <c r="A245" s="277" t="s">
        <v>672</v>
      </c>
      <c r="B245" s="278" t="s">
        <v>1082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672</v>
      </c>
      <c r="B246" s="271" t="s">
        <v>328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672</v>
      </c>
      <c r="B247" s="271" t="s">
        <v>1083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672</v>
      </c>
      <c r="B248" s="271" t="s">
        <v>1084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672</v>
      </c>
      <c r="B249" s="271" t="s">
        <v>1085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672</v>
      </c>
      <c r="B250" s="271" t="s">
        <v>1086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672</v>
      </c>
      <c r="B251" s="271" t="s">
        <v>390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672</v>
      </c>
      <c r="B252" s="271" t="s">
        <v>402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672</v>
      </c>
      <c r="B253" s="271" t="s">
        <v>415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672</v>
      </c>
      <c r="B254" s="271" t="s">
        <v>426</v>
      </c>
      <c r="C254" s="427"/>
      <c r="D254" s="427"/>
      <c r="E254" s="427"/>
      <c r="F254" s="422">
        <v>0.15</v>
      </c>
    </row>
    <row r="255" spans="1:6" ht="14.25" thickBot="1">
      <c r="A255" s="277" t="s">
        <v>672</v>
      </c>
      <c r="B255" s="271" t="s">
        <v>437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672</v>
      </c>
      <c r="B256" s="271" t="s">
        <v>1087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672</v>
      </c>
      <c r="B257" s="271" t="s">
        <v>459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672</v>
      </c>
      <c r="B258" s="271" t="s">
        <v>470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672</v>
      </c>
      <c r="B259" s="271" t="s">
        <v>1088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672</v>
      </c>
      <c r="B260" s="271" t="s">
        <v>491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672</v>
      </c>
      <c r="B261" s="271" t="s">
        <v>501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672</v>
      </c>
      <c r="B262" s="271" t="s">
        <v>511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672</v>
      </c>
      <c r="B263" s="271" t="s">
        <v>1089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672</v>
      </c>
      <c r="B264" s="271" t="s">
        <v>530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672</v>
      </c>
      <c r="B265" s="271" t="s">
        <v>539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672</v>
      </c>
      <c r="B266" s="271" t="s">
        <v>547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672</v>
      </c>
      <c r="B267" s="271" t="s">
        <v>554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672</v>
      </c>
      <c r="B268" s="271" t="s">
        <v>1090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672</v>
      </c>
      <c r="B269" s="271" t="s">
        <v>568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672</v>
      </c>
      <c r="B270" s="271" t="s">
        <v>575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672</v>
      </c>
      <c r="B271" s="271" t="s">
        <v>582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672</v>
      </c>
      <c r="B272" s="271" t="s">
        <v>589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672</v>
      </c>
      <c r="B273" s="271" t="s">
        <v>1091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672</v>
      </c>
      <c r="B274" s="271" t="s">
        <v>1092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672</v>
      </c>
      <c r="B275" s="271" t="s">
        <v>1093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672</v>
      </c>
      <c r="B276" s="271" t="s">
        <v>1094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672</v>
      </c>
      <c r="B277" s="271" t="s">
        <v>1095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672</v>
      </c>
      <c r="B278" s="271" t="s">
        <v>1096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672</v>
      </c>
      <c r="B279" s="271" t="s">
        <v>1097</v>
      </c>
      <c r="C279" s="427"/>
      <c r="D279" s="427"/>
      <c r="E279" s="427"/>
      <c r="F279" s="422">
        <v>0.05</v>
      </c>
    </row>
    <row r="280" spans="1:6" ht="24.75" thickBot="1">
      <c r="A280" s="277" t="s">
        <v>672</v>
      </c>
      <c r="B280" s="271" t="s">
        <v>1098</v>
      </c>
      <c r="C280" s="427"/>
      <c r="D280" s="427"/>
      <c r="E280" s="427"/>
      <c r="F280" s="422">
        <v>0.05</v>
      </c>
    </row>
    <row r="281" spans="1:6" ht="24.75" thickBot="1">
      <c r="A281" s="277" t="s">
        <v>672</v>
      </c>
      <c r="B281" s="271" t="s">
        <v>1099</v>
      </c>
      <c r="C281" s="427"/>
      <c r="D281" s="427"/>
      <c r="E281" s="427"/>
      <c r="F281" s="422">
        <v>0.05</v>
      </c>
    </row>
    <row r="282" spans="1:6" ht="24.75" thickBot="1">
      <c r="A282" s="277" t="s">
        <v>672</v>
      </c>
      <c r="B282" s="271" t="s">
        <v>1100</v>
      </c>
      <c r="C282" s="427"/>
      <c r="D282" s="427"/>
      <c r="E282" s="427"/>
      <c r="F282" s="422">
        <v>0.05</v>
      </c>
    </row>
    <row r="283" spans="1:6" ht="24.75" thickBot="1">
      <c r="A283" s="277" t="s">
        <v>672</v>
      </c>
      <c r="B283" s="271" t="s">
        <v>1101</v>
      </c>
      <c r="C283" s="427"/>
      <c r="D283" s="427"/>
      <c r="E283" s="427"/>
      <c r="F283" s="422">
        <v>0.05</v>
      </c>
    </row>
    <row r="284" spans="1:6" ht="24.75" thickBot="1">
      <c r="A284" s="277" t="s">
        <v>672</v>
      </c>
      <c r="B284" s="271" t="s">
        <v>1102</v>
      </c>
      <c r="C284" s="427"/>
      <c r="D284" s="427"/>
      <c r="E284" s="427"/>
      <c r="F284" s="422">
        <v>0.05</v>
      </c>
    </row>
    <row r="285" spans="1:6" ht="24.75" thickBot="1">
      <c r="A285" s="277" t="s">
        <v>672</v>
      </c>
      <c r="B285" s="271" t="s">
        <v>1103</v>
      </c>
      <c r="C285" s="427"/>
      <c r="D285" s="427"/>
      <c r="E285" s="427"/>
      <c r="F285" s="422">
        <v>0.05</v>
      </c>
    </row>
    <row r="286" spans="1:6" ht="24.75" thickBot="1">
      <c r="A286" s="277" t="s">
        <v>672</v>
      </c>
      <c r="B286" s="271" t="s">
        <v>1104</v>
      </c>
      <c r="C286" s="427"/>
      <c r="D286" s="427"/>
      <c r="E286" s="427"/>
      <c r="F286" s="422">
        <v>0.05</v>
      </c>
    </row>
    <row r="287" spans="1:6" ht="24.75" thickBot="1">
      <c r="A287" s="277" t="s">
        <v>672</v>
      </c>
      <c r="B287" s="271" t="s">
        <v>1105</v>
      </c>
      <c r="C287" s="427"/>
      <c r="D287" s="427"/>
      <c r="E287" s="427"/>
      <c r="F287" s="422">
        <v>0.05</v>
      </c>
    </row>
    <row r="288" spans="1:6" ht="24.75" thickBot="1">
      <c r="A288" s="277" t="s">
        <v>672</v>
      </c>
      <c r="B288" s="271" t="s">
        <v>1106</v>
      </c>
      <c r="C288" s="427"/>
      <c r="D288" s="427"/>
      <c r="E288" s="427"/>
      <c r="F288" s="422">
        <v>0.05</v>
      </c>
    </row>
    <row r="289" spans="1:6" ht="24.75" thickBot="1">
      <c r="A289" s="294" t="s">
        <v>672</v>
      </c>
      <c r="B289" s="287" t="s">
        <v>1107</v>
      </c>
      <c r="C289" s="424"/>
      <c r="D289" s="424"/>
      <c r="E289" s="424"/>
      <c r="F289" s="428">
        <v>0.05</v>
      </c>
    </row>
    <row r="290" spans="1:6" ht="14.25" thickBot="1">
      <c r="A290" s="277" t="s">
        <v>676</v>
      </c>
      <c r="B290" s="278" t="s">
        <v>1108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676</v>
      </c>
      <c r="B291" s="271" t="s">
        <v>329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676</v>
      </c>
      <c r="B292" s="271" t="s">
        <v>1109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676</v>
      </c>
      <c r="B293" s="271" t="s">
        <v>1110</v>
      </c>
      <c r="C293" s="427"/>
      <c r="D293" s="427"/>
      <c r="E293" s="427"/>
      <c r="F293" s="422">
        <v>0.1</v>
      </c>
    </row>
    <row r="294" spans="1:6" ht="14.25" thickBot="1">
      <c r="A294" s="277" t="s">
        <v>676</v>
      </c>
      <c r="B294" s="271" t="s">
        <v>1111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676</v>
      </c>
      <c r="B295" s="271" t="s">
        <v>367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676</v>
      </c>
      <c r="B296" s="271" t="s">
        <v>1112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676</v>
      </c>
      <c r="B297" s="271" t="s">
        <v>1113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676</v>
      </c>
      <c r="B298" s="271" t="s">
        <v>403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676</v>
      </c>
      <c r="B299" s="271" t="s">
        <v>416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676</v>
      </c>
      <c r="B300" s="271" t="s">
        <v>1114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676</v>
      </c>
      <c r="B301" s="271" t="s">
        <v>438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676</v>
      </c>
      <c r="B302" s="271" t="s">
        <v>1115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676</v>
      </c>
      <c r="B303" s="271" t="s">
        <v>460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676</v>
      </c>
      <c r="B304" s="271" t="s">
        <v>471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676</v>
      </c>
      <c r="B305" s="271" t="s">
        <v>1116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676</v>
      </c>
      <c r="B306" s="271" t="s">
        <v>492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676</v>
      </c>
      <c r="B307" s="271" t="s">
        <v>1117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676</v>
      </c>
      <c r="B308" s="271" t="s">
        <v>512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676</v>
      </c>
      <c r="B309" s="271" t="s">
        <v>522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676</v>
      </c>
      <c r="B310" s="271" t="s">
        <v>1118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676</v>
      </c>
      <c r="B311" s="271" t="s">
        <v>1119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676</v>
      </c>
      <c r="B312" s="271" t="s">
        <v>548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676</v>
      </c>
      <c r="B313" s="271" t="s">
        <v>1120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676</v>
      </c>
      <c r="B314" s="271" t="s">
        <v>1121</v>
      </c>
      <c r="C314" s="427"/>
      <c r="D314" s="427"/>
      <c r="E314" s="427"/>
      <c r="F314" s="422">
        <v>0.05</v>
      </c>
    </row>
    <row r="315" spans="1:6" ht="24.75" thickBot="1">
      <c r="A315" s="277" t="s">
        <v>676</v>
      </c>
      <c r="B315" s="271" t="s">
        <v>1122</v>
      </c>
      <c r="C315" s="427"/>
      <c r="D315" s="427"/>
      <c r="E315" s="427"/>
      <c r="F315" s="422">
        <v>0.05</v>
      </c>
    </row>
    <row r="316" spans="1:6" ht="24.75" thickBot="1">
      <c r="A316" s="294" t="s">
        <v>676</v>
      </c>
      <c r="B316" s="287" t="s">
        <v>1123</v>
      </c>
      <c r="C316" s="424"/>
      <c r="D316" s="424"/>
      <c r="E316" s="424"/>
      <c r="F316" s="428">
        <v>0.05</v>
      </c>
    </row>
    <row r="317" spans="1:6" ht="14.25" thickBot="1">
      <c r="A317" s="277" t="s">
        <v>1124</v>
      </c>
      <c r="B317" s="278" t="s">
        <v>1125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1124</v>
      </c>
      <c r="B318" s="271" t="s">
        <v>1126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1124</v>
      </c>
      <c r="B319" s="271" t="s">
        <v>1127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1124</v>
      </c>
      <c r="B320" s="271" t="s">
        <v>356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1124</v>
      </c>
      <c r="B321" s="271" t="s">
        <v>1128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1124</v>
      </c>
      <c r="B322" s="271" t="s">
        <v>1129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1124</v>
      </c>
      <c r="B323" s="271" t="s">
        <v>1130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1124</v>
      </c>
      <c r="B324" s="271" t="s">
        <v>1131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1124</v>
      </c>
      <c r="B325" s="271" t="s">
        <v>1132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1124</v>
      </c>
      <c r="B326" s="271" t="s">
        <v>428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1124</v>
      </c>
      <c r="B327" s="271" t="s">
        <v>1133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1124</v>
      </c>
      <c r="B328" s="271" t="s">
        <v>450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1124</v>
      </c>
      <c r="B329" s="271" t="s">
        <v>461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1124</v>
      </c>
      <c r="B330" s="271" t="s">
        <v>472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1124</v>
      </c>
      <c r="B331" s="271" t="s">
        <v>1134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1124</v>
      </c>
      <c r="B332" s="271" t="s">
        <v>493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1124</v>
      </c>
      <c r="B333" s="271" t="s">
        <v>1135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1124</v>
      </c>
      <c r="B334" s="271" t="s">
        <v>513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1124</v>
      </c>
      <c r="B335" s="271" t="s">
        <v>523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1124</v>
      </c>
      <c r="B336" s="271" t="s">
        <v>1136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1124</v>
      </c>
      <c r="B337" s="287" t="s">
        <v>541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1137</v>
      </c>
      <c r="B338" s="278" t="s">
        <v>1138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1137</v>
      </c>
      <c r="B339" s="271" t="s">
        <v>1139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1137</v>
      </c>
      <c r="B340" s="271" t="s">
        <v>1140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1137</v>
      </c>
      <c r="B341" s="271" t="s">
        <v>1141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1137</v>
      </c>
      <c r="B342" s="271" t="s">
        <v>1142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1137</v>
      </c>
      <c r="B343" s="271" t="s">
        <v>1143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1137</v>
      </c>
      <c r="B344" s="287" t="s">
        <v>1144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291</v>
      </c>
      <c r="B1" s="1808"/>
      <c r="C1" s="1808"/>
      <c r="D1" s="1808"/>
      <c r="E1" s="1808"/>
      <c r="F1" s="1808"/>
      <c r="H1" s="266"/>
      <c r="I1" s="267" t="s">
        <v>292</v>
      </c>
      <c r="J1" s="268" t="s">
        <v>293</v>
      </c>
      <c r="K1" s="268" t="s">
        <v>294</v>
      </c>
      <c r="L1" s="268" t="s">
        <v>295</v>
      </c>
      <c r="M1" s="268" t="s">
        <v>296</v>
      </c>
      <c r="N1" s="268" t="s">
        <v>297</v>
      </c>
      <c r="O1" s="268" t="s">
        <v>298</v>
      </c>
      <c r="P1" s="268" t="s">
        <v>299</v>
      </c>
      <c r="Q1" s="268" t="s">
        <v>300</v>
      </c>
      <c r="R1" s="268" t="s">
        <v>301</v>
      </c>
      <c r="S1" s="268" t="s">
        <v>302</v>
      </c>
      <c r="T1" s="269" t="s">
        <v>303</v>
      </c>
    </row>
    <row r="2" spans="1:20" ht="14.25" thickBot="1">
      <c r="A2" s="1809" t="s">
        <v>304</v>
      </c>
      <c r="B2" s="1809"/>
      <c r="C2" s="1809"/>
      <c r="D2" s="1809"/>
      <c r="E2" s="1809"/>
      <c r="F2" s="1809"/>
      <c r="I2" s="270" t="s">
        <v>305</v>
      </c>
      <c r="J2" s="271" t="s">
        <v>306</v>
      </c>
      <c r="K2" s="271" t="s">
        <v>307</v>
      </c>
      <c r="L2" s="271" t="s">
        <v>308</v>
      </c>
      <c r="M2" s="271" t="s">
        <v>309</v>
      </c>
      <c r="N2" s="271" t="s">
        <v>310</v>
      </c>
      <c r="O2" s="271" t="s">
        <v>311</v>
      </c>
      <c r="P2" s="271" t="s">
        <v>312</v>
      </c>
      <c r="Q2" s="271" t="s">
        <v>313</v>
      </c>
      <c r="R2" s="271" t="s">
        <v>314</v>
      </c>
      <c r="S2" s="271" t="s">
        <v>315</v>
      </c>
      <c r="T2" s="271" t="s">
        <v>316</v>
      </c>
    </row>
    <row r="3" spans="1:20" s="266" customFormat="1" ht="19.5" customHeight="1">
      <c r="A3" s="1810" t="s">
        <v>317</v>
      </c>
      <c r="B3" s="272"/>
      <c r="C3" s="273" t="s">
        <v>318</v>
      </c>
      <c r="D3" s="273" t="s">
        <v>1316</v>
      </c>
      <c r="E3" s="273" t="s">
        <v>1317</v>
      </c>
      <c r="F3" s="273" t="s">
        <v>319</v>
      </c>
      <c r="G3" s="274"/>
      <c r="I3" s="270" t="s">
        <v>320</v>
      </c>
      <c r="J3" s="271" t="s">
        <v>321</v>
      </c>
      <c r="K3" s="271" t="s">
        <v>322</v>
      </c>
      <c r="L3" s="271" t="s">
        <v>323</v>
      </c>
      <c r="M3" s="271" t="s">
        <v>324</v>
      </c>
      <c r="N3" s="271" t="s">
        <v>325</v>
      </c>
      <c r="O3" s="271" t="s">
        <v>326</v>
      </c>
      <c r="P3" s="271" t="s">
        <v>327</v>
      </c>
      <c r="Q3" s="271" t="s">
        <v>328</v>
      </c>
      <c r="R3" s="271" t="s">
        <v>329</v>
      </c>
      <c r="S3" s="271" t="s">
        <v>330</v>
      </c>
      <c r="T3" s="271" t="s">
        <v>331</v>
      </c>
    </row>
    <row r="4" spans="1:20" s="266" customFormat="1" ht="19.5" customHeight="1" thickBot="1">
      <c r="A4" s="1811"/>
      <c r="B4" s="275" t="s">
        <v>332</v>
      </c>
      <c r="C4" s="275" t="s">
        <v>333</v>
      </c>
      <c r="D4" s="275" t="s">
        <v>333</v>
      </c>
      <c r="E4" s="275" t="s">
        <v>333</v>
      </c>
      <c r="F4" s="276" t="s">
        <v>333</v>
      </c>
      <c r="G4" s="274"/>
      <c r="I4" s="270" t="s">
        <v>334</v>
      </c>
      <c r="J4" s="271" t="s">
        <v>255</v>
      </c>
      <c r="K4" s="271" t="s">
        <v>335</v>
      </c>
      <c r="L4" s="271" t="s">
        <v>336</v>
      </c>
      <c r="M4" s="271" t="s">
        <v>337</v>
      </c>
      <c r="N4" s="271" t="s">
        <v>338</v>
      </c>
      <c r="O4" s="271" t="s">
        <v>339</v>
      </c>
      <c r="P4" s="271" t="s">
        <v>340</v>
      </c>
      <c r="Q4" s="271" t="s">
        <v>341</v>
      </c>
      <c r="R4" s="271" t="s">
        <v>342</v>
      </c>
      <c r="S4" s="271" t="s">
        <v>343</v>
      </c>
      <c r="T4" s="271" t="s">
        <v>344</v>
      </c>
    </row>
    <row r="5" spans="1:20" ht="14.25" customHeight="1" thickBot="1">
      <c r="A5" s="277" t="s">
        <v>345</v>
      </c>
      <c r="B5" s="278" t="s">
        <v>305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292</v>
      </c>
      <c r="H5" s="281">
        <f>SUMPRODUCT((B5:B9='2014基准地价'!I2)*(C3:F3='2014基准地价'!E2)*(C5:F9))</f>
        <v>0</v>
      </c>
      <c r="I5" s="270" t="s">
        <v>346</v>
      </c>
      <c r="J5" s="271" t="s">
        <v>347</v>
      </c>
      <c r="K5" s="271" t="s">
        <v>348</v>
      </c>
      <c r="L5" s="271" t="s">
        <v>349</v>
      </c>
      <c r="M5" s="271" t="s">
        <v>350</v>
      </c>
      <c r="N5" s="271" t="s">
        <v>351</v>
      </c>
      <c r="O5" s="271" t="s">
        <v>352</v>
      </c>
      <c r="P5" s="271" t="s">
        <v>353</v>
      </c>
      <c r="Q5" s="271" t="s">
        <v>354</v>
      </c>
      <c r="R5" s="271" t="s">
        <v>355</v>
      </c>
      <c r="S5" s="271" t="s">
        <v>356</v>
      </c>
      <c r="T5" s="271" t="s">
        <v>357</v>
      </c>
    </row>
    <row r="6" spans="1:20" ht="14.25" customHeight="1" thickBot="1">
      <c r="A6" s="277" t="s">
        <v>345</v>
      </c>
      <c r="B6" s="271" t="s">
        <v>320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293</v>
      </c>
      <c r="H6" s="284">
        <f>SUMPRODUCT((B10:B28='2014基准地价'!I2)*(C3:F3='2014基准地价'!E2)*(C10:F28))</f>
        <v>0</v>
      </c>
      <c r="I6" s="270" t="s">
        <v>358</v>
      </c>
      <c r="J6" s="271" t="s">
        <v>359</v>
      </c>
      <c r="K6" s="271" t="s">
        <v>360</v>
      </c>
      <c r="L6" s="271" t="s">
        <v>361</v>
      </c>
      <c r="M6" s="271" t="s">
        <v>362</v>
      </c>
      <c r="N6" s="271" t="s">
        <v>363</v>
      </c>
      <c r="O6" s="271" t="s">
        <v>364</v>
      </c>
      <c r="P6" s="271" t="s">
        <v>365</v>
      </c>
      <c r="Q6" s="271" t="s">
        <v>366</v>
      </c>
      <c r="R6" s="271" t="s">
        <v>367</v>
      </c>
      <c r="S6" s="271" t="s">
        <v>368</v>
      </c>
      <c r="T6" s="271" t="s">
        <v>369</v>
      </c>
    </row>
    <row r="7" spans="1:20" ht="14.25" customHeight="1" thickBot="1">
      <c r="A7" s="277" t="s">
        <v>345</v>
      </c>
      <c r="B7" s="285" t="s">
        <v>334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370</v>
      </c>
      <c r="H7" s="284">
        <f>SUMPRODUCT((B29:B48='2014基准地价'!I2)*(C3:F3='2014基准地价'!E2)*(C29:F48))</f>
        <v>0</v>
      </c>
      <c r="J7" s="271" t="s">
        <v>371</v>
      </c>
      <c r="K7" s="271" t="s">
        <v>372</v>
      </c>
      <c r="L7" s="271" t="s">
        <v>373</v>
      </c>
      <c r="M7" s="271" t="s">
        <v>374</v>
      </c>
      <c r="N7" s="271" t="s">
        <v>375</v>
      </c>
      <c r="O7" s="271" t="s">
        <v>376</v>
      </c>
      <c r="P7" s="271" t="s">
        <v>377</v>
      </c>
      <c r="Q7" s="271" t="s">
        <v>378</v>
      </c>
      <c r="R7" s="271" t="s">
        <v>379</v>
      </c>
      <c r="S7" s="271" t="s">
        <v>380</v>
      </c>
      <c r="T7" s="285" t="s">
        <v>381</v>
      </c>
    </row>
    <row r="8" spans="1:20" ht="14.25" customHeight="1" thickBot="1">
      <c r="A8" s="277" t="s">
        <v>345</v>
      </c>
      <c r="B8" s="271" t="s">
        <v>346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382</v>
      </c>
      <c r="H8" s="284">
        <f>SUMPRODUCT((B49:B75='2014基准地价'!I2)*(C3:F3='2014基准地价'!E2)*(C49:F75))</f>
        <v>0</v>
      </c>
      <c r="J8" s="271" t="s">
        <v>383</v>
      </c>
      <c r="K8" s="271" t="s">
        <v>384</v>
      </c>
      <c r="L8" s="271" t="s">
        <v>385</v>
      </c>
      <c r="M8" s="271" t="s">
        <v>386</v>
      </c>
      <c r="N8" s="271" t="s">
        <v>387</v>
      </c>
      <c r="O8" s="271" t="s">
        <v>388</v>
      </c>
      <c r="P8" s="271" t="s">
        <v>389</v>
      </c>
      <c r="Q8" s="271" t="s">
        <v>390</v>
      </c>
      <c r="R8" s="271" t="s">
        <v>391</v>
      </c>
      <c r="S8" s="271" t="s">
        <v>392</v>
      </c>
      <c r="T8" s="271" t="s">
        <v>393</v>
      </c>
    </row>
    <row r="9" spans="1:20" ht="14.25" customHeight="1" thickBot="1">
      <c r="A9" s="277" t="s">
        <v>345</v>
      </c>
      <c r="B9" s="286" t="s">
        <v>358</v>
      </c>
      <c r="C9" s="287">
        <v>28140</v>
      </c>
      <c r="D9" s="287"/>
      <c r="E9" s="287"/>
      <c r="F9" s="288"/>
      <c r="G9" s="283" t="s">
        <v>394</v>
      </c>
      <c r="H9" s="284">
        <f>SUMPRODUCT((B76:B109='2014基准地价'!I2)*(C3:F3='2014基准地价'!E2)*(C76:F109))</f>
        <v>0</v>
      </c>
      <c r="J9" s="271" t="s">
        <v>395</v>
      </c>
      <c r="K9" s="271" t="s">
        <v>396</v>
      </c>
      <c r="L9" s="271" t="s">
        <v>397</v>
      </c>
      <c r="M9" s="271" t="s">
        <v>398</v>
      </c>
      <c r="N9" s="271" t="s">
        <v>399</v>
      </c>
      <c r="O9" s="271" t="s">
        <v>400</v>
      </c>
      <c r="P9" s="271" t="s">
        <v>401</v>
      </c>
      <c r="Q9" s="271" t="s">
        <v>402</v>
      </c>
      <c r="R9" s="271" t="s">
        <v>403</v>
      </c>
      <c r="S9" s="271" t="s">
        <v>404</v>
      </c>
    </row>
    <row r="10" spans="1:20" ht="14.25" customHeight="1" thickBot="1">
      <c r="A10" s="277" t="s">
        <v>405</v>
      </c>
      <c r="B10" s="278" t="s">
        <v>406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407</v>
      </c>
      <c r="H10" s="284">
        <f>SUMPRODUCT((B110:B157='2014基准地价'!I2)*(C3:F3='2014基准地价'!E2)*(C110:F157))</f>
        <v>0</v>
      </c>
      <c r="J10" s="271" t="s">
        <v>408</v>
      </c>
      <c r="K10" s="271" t="s">
        <v>409</v>
      </c>
      <c r="L10" s="271" t="s">
        <v>410</v>
      </c>
      <c r="M10" s="271" t="s">
        <v>411</v>
      </c>
      <c r="N10" s="271" t="s">
        <v>412</v>
      </c>
      <c r="O10" s="271" t="s">
        <v>413</v>
      </c>
      <c r="P10" s="271" t="s">
        <v>414</v>
      </c>
      <c r="Q10" s="271" t="s">
        <v>415</v>
      </c>
      <c r="R10" s="271" t="s">
        <v>416</v>
      </c>
      <c r="S10" s="271" t="s">
        <v>417</v>
      </c>
    </row>
    <row r="11" spans="1:20" ht="14.25" customHeight="1" thickBot="1">
      <c r="A11" s="277" t="s">
        <v>405</v>
      </c>
      <c r="B11" s="285" t="s">
        <v>321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418</v>
      </c>
      <c r="H11" s="284">
        <f>SUMPRODUCT((B158:B205='2014基准地价'!I2)*(C3:F3='2014基准地价'!E2)*(C158:F205))</f>
        <v>0</v>
      </c>
      <c r="J11" s="271" t="s">
        <v>419</v>
      </c>
      <c r="K11" s="271" t="s">
        <v>420</v>
      </c>
      <c r="L11" s="271" t="s">
        <v>421</v>
      </c>
      <c r="M11" s="271" t="s">
        <v>422</v>
      </c>
      <c r="N11" s="271" t="s">
        <v>423</v>
      </c>
      <c r="O11" s="271" t="s">
        <v>424</v>
      </c>
      <c r="P11" s="271" t="s">
        <v>425</v>
      </c>
      <c r="Q11" s="271" t="s">
        <v>426</v>
      </c>
      <c r="R11" s="271" t="s">
        <v>427</v>
      </c>
      <c r="S11" s="271" t="s">
        <v>428</v>
      </c>
    </row>
    <row r="12" spans="1:20" ht="14.25" customHeight="1" thickBot="1">
      <c r="A12" s="277" t="s">
        <v>405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429</v>
      </c>
      <c r="H12" s="284">
        <f>SUMPRODUCT((B206:B244='2014基准地价'!I2)*(C3:F3='2014基准地价'!E2)*(C206:F244))</f>
        <v>0</v>
      </c>
      <c r="J12" s="271" t="s">
        <v>430</v>
      </c>
      <c r="K12" s="271" t="s">
        <v>431</v>
      </c>
      <c r="L12" s="271" t="s">
        <v>432</v>
      </c>
      <c r="M12" s="271" t="s">
        <v>433</v>
      </c>
      <c r="N12" s="271" t="s">
        <v>434</v>
      </c>
      <c r="O12" s="271" t="s">
        <v>435</v>
      </c>
      <c r="P12" s="271" t="s">
        <v>436</v>
      </c>
      <c r="Q12" s="271" t="s">
        <v>437</v>
      </c>
      <c r="R12" s="271" t="s">
        <v>438</v>
      </c>
      <c r="S12" s="271" t="s">
        <v>439</v>
      </c>
    </row>
    <row r="13" spans="1:20" ht="14.25" customHeight="1" thickBot="1">
      <c r="A13" s="277" t="s">
        <v>405</v>
      </c>
      <c r="B13" s="285" t="s">
        <v>347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440</v>
      </c>
      <c r="H13" s="284">
        <f>SUMPRODUCT((B245:B289='2014基准地价'!I2)*(C3:F3='2014基准地价'!E2)*(C245:F289))</f>
        <v>4040</v>
      </c>
      <c r="J13" s="271" t="s">
        <v>441</v>
      </c>
      <c r="K13" s="271" t="s">
        <v>442</v>
      </c>
      <c r="L13" s="271" t="s">
        <v>443</v>
      </c>
      <c r="M13" s="271" t="s">
        <v>444</v>
      </c>
      <c r="N13" s="271" t="s">
        <v>445</v>
      </c>
      <c r="O13" s="271" t="s">
        <v>446</v>
      </c>
      <c r="P13" s="271" t="s">
        <v>447</v>
      </c>
      <c r="Q13" s="271" t="s">
        <v>448</v>
      </c>
      <c r="R13" s="271" t="s">
        <v>449</v>
      </c>
      <c r="S13" s="271" t="s">
        <v>450</v>
      </c>
    </row>
    <row r="14" spans="1:20" ht="14.25" customHeight="1" thickBot="1">
      <c r="A14" s="277" t="s">
        <v>405</v>
      </c>
      <c r="B14" s="285" t="s">
        <v>359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451</v>
      </c>
      <c r="H14" s="284">
        <f>SUMPRODUCT((B290:B316='2014基准地价'!I2)*(C3:F3='2014基准地价'!E2)*(C290:F316))</f>
        <v>0</v>
      </c>
      <c r="J14" s="271" t="s">
        <v>452</v>
      </c>
      <c r="K14" s="271" t="s">
        <v>453</v>
      </c>
      <c r="L14" s="271" t="s">
        <v>454</v>
      </c>
      <c r="M14" s="271" t="s">
        <v>455</v>
      </c>
      <c r="N14" s="271" t="s">
        <v>456</v>
      </c>
      <c r="O14" s="271" t="s">
        <v>457</v>
      </c>
      <c r="P14" s="271" t="s">
        <v>458</v>
      </c>
      <c r="Q14" s="271" t="s">
        <v>459</v>
      </c>
      <c r="R14" s="271" t="s">
        <v>460</v>
      </c>
      <c r="S14" s="271" t="s">
        <v>461</v>
      </c>
    </row>
    <row r="15" spans="1:20" ht="14.25" customHeight="1" thickBot="1">
      <c r="A15" s="277" t="s">
        <v>405</v>
      </c>
      <c r="B15" s="285" t="s">
        <v>371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462</v>
      </c>
      <c r="H15" s="284">
        <f>SUMPRODUCT((B317:B337='2014基准地价'!I2)*(C3:F3='2014基准地价'!E2)*(C317:F337))</f>
        <v>0</v>
      </c>
      <c r="J15" s="271" t="s">
        <v>463</v>
      </c>
      <c r="K15" s="271" t="s">
        <v>464</v>
      </c>
      <c r="L15" s="271" t="s">
        <v>465</v>
      </c>
      <c r="M15" s="271" t="s">
        <v>466</v>
      </c>
      <c r="N15" s="271" t="s">
        <v>467</v>
      </c>
      <c r="O15" s="271" t="s">
        <v>468</v>
      </c>
      <c r="P15" s="271" t="s">
        <v>469</v>
      </c>
      <c r="Q15" s="271" t="s">
        <v>470</v>
      </c>
      <c r="R15" s="271" t="s">
        <v>471</v>
      </c>
      <c r="S15" s="271" t="s">
        <v>472</v>
      </c>
    </row>
    <row r="16" spans="1:20" ht="14.25" customHeight="1" thickBot="1">
      <c r="A16" s="277" t="s">
        <v>405</v>
      </c>
      <c r="B16" s="285" t="s">
        <v>383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473</v>
      </c>
      <c r="H16" s="291">
        <f>SUMPRODUCT((B338:B344='2014基准地价'!I2)*(C3:F3='2014基准地价'!E2)*(C338:F344))</f>
        <v>0</v>
      </c>
      <c r="J16" s="271" t="s">
        <v>474</v>
      </c>
      <c r="K16" s="271" t="s">
        <v>475</v>
      </c>
      <c r="L16" s="271" t="s">
        <v>476</v>
      </c>
      <c r="M16" s="271" t="s">
        <v>477</v>
      </c>
      <c r="N16" s="271" t="s">
        <v>478</v>
      </c>
      <c r="O16" s="271" t="s">
        <v>479</v>
      </c>
      <c r="P16" s="271" t="s">
        <v>480</v>
      </c>
      <c r="Q16" s="271" t="s">
        <v>481</v>
      </c>
      <c r="R16" s="271" t="s">
        <v>482</v>
      </c>
      <c r="S16" s="271" t="s">
        <v>483</v>
      </c>
    </row>
    <row r="17" spans="1:19" ht="14.25" customHeight="1" thickBot="1">
      <c r="A17" s="277" t="s">
        <v>405</v>
      </c>
      <c r="B17" s="285" t="s">
        <v>395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484</v>
      </c>
      <c r="K17" s="271" t="s">
        <v>485</v>
      </c>
      <c r="L17" s="271" t="s">
        <v>486</v>
      </c>
      <c r="M17" s="271" t="s">
        <v>487</v>
      </c>
      <c r="N17" s="271" t="s">
        <v>488</v>
      </c>
      <c r="O17" s="271" t="s">
        <v>489</v>
      </c>
      <c r="P17" s="271" t="s">
        <v>490</v>
      </c>
      <c r="Q17" s="271" t="s">
        <v>491</v>
      </c>
      <c r="R17" s="271" t="s">
        <v>492</v>
      </c>
      <c r="S17" s="271" t="s">
        <v>493</v>
      </c>
    </row>
    <row r="18" spans="1:19" ht="14.25" customHeight="1" thickBot="1">
      <c r="A18" s="277" t="s">
        <v>405</v>
      </c>
      <c r="B18" s="285" t="s">
        <v>408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494</v>
      </c>
      <c r="K18" s="271" t="s">
        <v>495</v>
      </c>
      <c r="L18" s="271" t="s">
        <v>496</v>
      </c>
      <c r="M18" s="271" t="s">
        <v>497</v>
      </c>
      <c r="N18" s="271" t="s">
        <v>498</v>
      </c>
      <c r="O18" s="271" t="s">
        <v>499</v>
      </c>
      <c r="P18" s="271" t="s">
        <v>500</v>
      </c>
      <c r="Q18" s="271" t="s">
        <v>501</v>
      </c>
      <c r="R18" s="271" t="s">
        <v>502</v>
      </c>
      <c r="S18" s="271" t="s">
        <v>503</v>
      </c>
    </row>
    <row r="19" spans="1:19" ht="14.25" customHeight="1" thickBot="1">
      <c r="A19" s="277" t="s">
        <v>405</v>
      </c>
      <c r="B19" s="285" t="s">
        <v>419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504</v>
      </c>
      <c r="K19" s="271" t="s">
        <v>505</v>
      </c>
      <c r="L19" s="271" t="s">
        <v>506</v>
      </c>
      <c r="M19" s="271" t="s">
        <v>507</v>
      </c>
      <c r="N19" s="271" t="s">
        <v>508</v>
      </c>
      <c r="O19" s="271" t="s">
        <v>509</v>
      </c>
      <c r="P19" s="271" t="s">
        <v>510</v>
      </c>
      <c r="Q19" s="271" t="s">
        <v>511</v>
      </c>
      <c r="R19" s="271" t="s">
        <v>512</v>
      </c>
      <c r="S19" s="271" t="s">
        <v>513</v>
      </c>
    </row>
    <row r="20" spans="1:19" ht="14.25" customHeight="1" thickBot="1">
      <c r="A20" s="277" t="s">
        <v>405</v>
      </c>
      <c r="B20" s="285" t="s">
        <v>430</v>
      </c>
      <c r="C20" s="271">
        <v>27660</v>
      </c>
      <c r="D20" s="271">
        <v>24240</v>
      </c>
      <c r="E20" s="271">
        <v>24020</v>
      </c>
      <c r="F20" s="292"/>
      <c r="J20" s="271" t="s">
        <v>514</v>
      </c>
      <c r="K20" s="271" t="s">
        <v>515</v>
      </c>
      <c r="L20" s="271" t="s">
        <v>516</v>
      </c>
      <c r="M20" s="271" t="s">
        <v>517</v>
      </c>
      <c r="N20" s="271" t="s">
        <v>518</v>
      </c>
      <c r="O20" s="271" t="s">
        <v>519</v>
      </c>
      <c r="P20" s="271" t="s">
        <v>520</v>
      </c>
      <c r="Q20" s="271" t="s">
        <v>521</v>
      </c>
      <c r="R20" s="271" t="s">
        <v>522</v>
      </c>
      <c r="S20" s="271" t="s">
        <v>523</v>
      </c>
    </row>
    <row r="21" spans="1:19" ht="14.25" customHeight="1" thickBot="1">
      <c r="A21" s="277" t="s">
        <v>405</v>
      </c>
      <c r="B21" s="285" t="s">
        <v>441</v>
      </c>
      <c r="C21" s="271">
        <v>24720</v>
      </c>
      <c r="D21" s="271">
        <v>21670</v>
      </c>
      <c r="E21" s="271">
        <v>21510</v>
      </c>
      <c r="F21" s="292"/>
      <c r="K21" s="271" t="s">
        <v>524</v>
      </c>
      <c r="L21" s="271" t="s">
        <v>525</v>
      </c>
      <c r="M21" s="271" t="s">
        <v>526</v>
      </c>
      <c r="N21" s="271" t="s">
        <v>527</v>
      </c>
      <c r="O21" s="271" t="s">
        <v>528</v>
      </c>
      <c r="P21" s="271" t="s">
        <v>529</v>
      </c>
      <c r="Q21" s="271" t="s">
        <v>530</v>
      </c>
      <c r="R21" s="271" t="s">
        <v>531</v>
      </c>
      <c r="S21" s="271" t="s">
        <v>532</v>
      </c>
    </row>
    <row r="22" spans="1:19" ht="14.25" customHeight="1" thickBot="1">
      <c r="A22" s="277" t="s">
        <v>405</v>
      </c>
      <c r="B22" s="285" t="s">
        <v>533</v>
      </c>
      <c r="C22" s="271">
        <v>26530</v>
      </c>
      <c r="D22" s="271">
        <v>22980</v>
      </c>
      <c r="E22" s="271">
        <v>22650</v>
      </c>
      <c r="F22" s="292"/>
      <c r="L22" s="271" t="s">
        <v>534</v>
      </c>
      <c r="M22" s="271" t="s">
        <v>535</v>
      </c>
      <c r="N22" s="271" t="s">
        <v>536</v>
      </c>
      <c r="O22" s="271" t="s">
        <v>537</v>
      </c>
      <c r="P22" s="271" t="s">
        <v>538</v>
      </c>
      <c r="Q22" s="271" t="s">
        <v>539</v>
      </c>
      <c r="R22" s="271" t="s">
        <v>540</v>
      </c>
      <c r="S22" s="285" t="s">
        <v>541</v>
      </c>
    </row>
    <row r="23" spans="1:19" ht="14.25" customHeight="1" thickBot="1">
      <c r="A23" s="277" t="s">
        <v>405</v>
      </c>
      <c r="B23" s="285" t="s">
        <v>463</v>
      </c>
      <c r="C23" s="271">
        <v>24700</v>
      </c>
      <c r="D23" s="271">
        <v>27290</v>
      </c>
      <c r="E23" s="271">
        <v>26710</v>
      </c>
      <c r="F23" s="292"/>
      <c r="L23" s="271" t="s">
        <v>542</v>
      </c>
      <c r="M23" s="271" t="s">
        <v>543</v>
      </c>
      <c r="N23" s="271" t="s">
        <v>544</v>
      </c>
      <c r="O23" s="271" t="s">
        <v>545</v>
      </c>
      <c r="P23" s="271" t="s">
        <v>546</v>
      </c>
      <c r="Q23" s="271" t="s">
        <v>547</v>
      </c>
      <c r="R23" s="271" t="s">
        <v>548</v>
      </c>
    </row>
    <row r="24" spans="1:19" ht="14.25" customHeight="1" thickBot="1">
      <c r="A24" s="277" t="s">
        <v>405</v>
      </c>
      <c r="B24" s="285" t="s">
        <v>474</v>
      </c>
      <c r="C24" s="271">
        <v>23070</v>
      </c>
      <c r="D24" s="271">
        <v>24130</v>
      </c>
      <c r="E24" s="271">
        <v>23860</v>
      </c>
      <c r="F24" s="292"/>
      <c r="L24" s="271" t="s">
        <v>549</v>
      </c>
      <c r="M24" s="271" t="s">
        <v>550</v>
      </c>
      <c r="N24" s="271" t="s">
        <v>551</v>
      </c>
      <c r="O24" s="271" t="s">
        <v>552</v>
      </c>
      <c r="P24" s="271" t="s">
        <v>553</v>
      </c>
      <c r="Q24" s="271" t="s">
        <v>554</v>
      </c>
      <c r="R24" s="271" t="s">
        <v>555</v>
      </c>
    </row>
    <row r="25" spans="1:19" ht="14.25" customHeight="1" thickBot="1">
      <c r="A25" s="277" t="s">
        <v>405</v>
      </c>
      <c r="B25" s="285" t="s">
        <v>484</v>
      </c>
      <c r="C25" s="271">
        <v>27550</v>
      </c>
      <c r="D25" s="271">
        <v>25850</v>
      </c>
      <c r="E25" s="271">
        <v>25340</v>
      </c>
      <c r="F25" s="292"/>
      <c r="L25" s="271" t="s">
        <v>556</v>
      </c>
      <c r="M25" s="271" t="s">
        <v>557</v>
      </c>
      <c r="N25" s="271" t="s">
        <v>558</v>
      </c>
      <c r="O25" s="271" t="s">
        <v>559</v>
      </c>
      <c r="P25" s="271" t="s">
        <v>560</v>
      </c>
      <c r="Q25" s="271" t="s">
        <v>561</v>
      </c>
      <c r="R25" s="271" t="s">
        <v>562</v>
      </c>
    </row>
    <row r="26" spans="1:19" ht="14.25" customHeight="1" thickBot="1">
      <c r="A26" s="277" t="s">
        <v>405</v>
      </c>
      <c r="B26" s="285" t="s">
        <v>494</v>
      </c>
      <c r="C26" s="271"/>
      <c r="D26" s="271">
        <v>23900</v>
      </c>
      <c r="E26" s="271">
        <v>23590</v>
      </c>
      <c r="F26" s="292"/>
      <c r="L26" s="271" t="s">
        <v>563</v>
      </c>
      <c r="M26" s="271" t="s">
        <v>564</v>
      </c>
      <c r="N26" s="271" t="s">
        <v>565</v>
      </c>
      <c r="O26" s="271" t="s">
        <v>566</v>
      </c>
      <c r="P26" s="271" t="s">
        <v>567</v>
      </c>
      <c r="Q26" s="271" t="s">
        <v>568</v>
      </c>
      <c r="R26" s="271" t="s">
        <v>569</v>
      </c>
    </row>
    <row r="27" spans="1:19" ht="14.25" customHeight="1" thickBot="1">
      <c r="A27" s="277" t="s">
        <v>405</v>
      </c>
      <c r="B27" s="285" t="s">
        <v>504</v>
      </c>
      <c r="C27" s="271"/>
      <c r="D27" s="271">
        <v>22850</v>
      </c>
      <c r="E27" s="271">
        <v>21920</v>
      </c>
      <c r="F27" s="292"/>
      <c r="L27" s="271" t="s">
        <v>570</v>
      </c>
      <c r="M27" s="271" t="s">
        <v>571</v>
      </c>
      <c r="N27" s="271" t="s">
        <v>572</v>
      </c>
      <c r="O27" s="271" t="s">
        <v>573</v>
      </c>
      <c r="P27" s="271" t="s">
        <v>574</v>
      </c>
      <c r="Q27" s="271" t="s">
        <v>575</v>
      </c>
      <c r="R27" s="271" t="s">
        <v>576</v>
      </c>
    </row>
    <row r="28" spans="1:19" ht="14.25" customHeight="1" thickBot="1">
      <c r="A28" s="294" t="s">
        <v>405</v>
      </c>
      <c r="B28" s="286" t="s">
        <v>514</v>
      </c>
      <c r="C28" s="287"/>
      <c r="D28" s="287">
        <v>26610</v>
      </c>
      <c r="E28" s="287">
        <v>26370</v>
      </c>
      <c r="F28" s="288"/>
      <c r="L28" s="271" t="s">
        <v>577</v>
      </c>
      <c r="M28" s="271" t="s">
        <v>578</v>
      </c>
      <c r="N28" s="271" t="s">
        <v>579</v>
      </c>
      <c r="O28" s="271" t="s">
        <v>580</v>
      </c>
      <c r="P28" s="271" t="s">
        <v>581</v>
      </c>
      <c r="Q28" s="271" t="s">
        <v>582</v>
      </c>
    </row>
    <row r="29" spans="1:19" ht="14.25" customHeight="1" thickBot="1">
      <c r="A29" s="277" t="s">
        <v>583</v>
      </c>
      <c r="B29" s="278" t="s">
        <v>584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585</v>
      </c>
      <c r="N29" s="271" t="s">
        <v>586</v>
      </c>
      <c r="O29" s="271" t="s">
        <v>587</v>
      </c>
      <c r="P29" s="271" t="s">
        <v>588</v>
      </c>
      <c r="Q29" s="271" t="s">
        <v>589</v>
      </c>
    </row>
    <row r="30" spans="1:19" ht="14.25" customHeight="1" thickBot="1">
      <c r="A30" s="277" t="s">
        <v>583</v>
      </c>
      <c r="B30" s="285" t="s">
        <v>322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590</v>
      </c>
      <c r="N30" s="271" t="s">
        <v>591</v>
      </c>
      <c r="O30" s="271" t="s">
        <v>592</v>
      </c>
      <c r="P30" s="271" t="s">
        <v>593</v>
      </c>
      <c r="Q30" s="271" t="s">
        <v>594</v>
      </c>
    </row>
    <row r="31" spans="1:19" ht="14.25" customHeight="1" thickBot="1">
      <c r="A31" s="277" t="s">
        <v>583</v>
      </c>
      <c r="B31" s="285" t="s">
        <v>335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595</v>
      </c>
      <c r="N31" s="271" t="s">
        <v>596</v>
      </c>
      <c r="O31" s="271" t="s">
        <v>597</v>
      </c>
      <c r="P31" s="271" t="s">
        <v>598</v>
      </c>
      <c r="Q31" s="271" t="s">
        <v>599</v>
      </c>
    </row>
    <row r="32" spans="1:19" ht="14.25" customHeight="1" thickBot="1">
      <c r="A32" s="277" t="s">
        <v>583</v>
      </c>
      <c r="B32" s="285" t="s">
        <v>348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600</v>
      </c>
      <c r="N32" s="271" t="s">
        <v>601</v>
      </c>
      <c r="O32" s="271" t="s">
        <v>602</v>
      </c>
      <c r="P32" s="271" t="s">
        <v>603</v>
      </c>
      <c r="Q32" s="271" t="s">
        <v>604</v>
      </c>
    </row>
    <row r="33" spans="1:17" ht="14.25" customHeight="1" thickBot="1">
      <c r="A33" s="277" t="s">
        <v>583</v>
      </c>
      <c r="B33" s="285" t="s">
        <v>360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605</v>
      </c>
      <c r="N33" s="271" t="s">
        <v>606</v>
      </c>
      <c r="O33" s="271" t="s">
        <v>607</v>
      </c>
      <c r="P33" s="271" t="s">
        <v>608</v>
      </c>
      <c r="Q33" s="271" t="s">
        <v>609</v>
      </c>
    </row>
    <row r="34" spans="1:17" ht="14.25" customHeight="1" thickBot="1">
      <c r="A34" s="277" t="s">
        <v>583</v>
      </c>
      <c r="B34" s="285" t="s">
        <v>372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610</v>
      </c>
      <c r="N34" s="271" t="s">
        <v>611</v>
      </c>
      <c r="O34" s="271" t="s">
        <v>612</v>
      </c>
      <c r="P34" s="271" t="s">
        <v>613</v>
      </c>
      <c r="Q34" s="271" t="s">
        <v>614</v>
      </c>
    </row>
    <row r="35" spans="1:17" ht="14.25" customHeight="1" thickBot="1">
      <c r="A35" s="277" t="s">
        <v>583</v>
      </c>
      <c r="B35" s="285" t="s">
        <v>384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615</v>
      </c>
      <c r="N35" s="271" t="s">
        <v>616</v>
      </c>
      <c r="O35" s="271" t="s">
        <v>617</v>
      </c>
      <c r="P35" s="271" t="s">
        <v>618</v>
      </c>
      <c r="Q35" s="271" t="s">
        <v>619</v>
      </c>
    </row>
    <row r="36" spans="1:17" ht="14.25" customHeight="1" thickBot="1">
      <c r="A36" s="277" t="s">
        <v>583</v>
      </c>
      <c r="B36" s="285" t="s">
        <v>396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620</v>
      </c>
      <c r="O36" s="271" t="s">
        <v>621</v>
      </c>
      <c r="P36" s="271" t="s">
        <v>622</v>
      </c>
      <c r="Q36" s="271" t="s">
        <v>623</v>
      </c>
    </row>
    <row r="37" spans="1:17" ht="14.25" customHeight="1" thickBot="1">
      <c r="A37" s="277" t="s">
        <v>583</v>
      </c>
      <c r="B37" s="285" t="s">
        <v>409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624</v>
      </c>
      <c r="O37" s="271" t="s">
        <v>625</v>
      </c>
      <c r="P37" s="271" t="s">
        <v>626</v>
      </c>
      <c r="Q37" s="271" t="s">
        <v>627</v>
      </c>
    </row>
    <row r="38" spans="1:17" ht="14.25" customHeight="1" thickBot="1">
      <c r="A38" s="277" t="s">
        <v>583</v>
      </c>
      <c r="B38" s="285" t="s">
        <v>420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628</v>
      </c>
      <c r="O38" s="271" t="s">
        <v>629</v>
      </c>
      <c r="P38" s="271" t="s">
        <v>630</v>
      </c>
      <c r="Q38" s="271" t="s">
        <v>631</v>
      </c>
    </row>
    <row r="39" spans="1:17" ht="14.25" customHeight="1" thickBot="1">
      <c r="A39" s="277" t="s">
        <v>583</v>
      </c>
      <c r="B39" s="285" t="s">
        <v>431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632</v>
      </c>
      <c r="O39" s="271" t="s">
        <v>633</v>
      </c>
      <c r="P39" s="271" t="s">
        <v>634</v>
      </c>
      <c r="Q39" s="271" t="s">
        <v>635</v>
      </c>
    </row>
    <row r="40" spans="1:17" ht="14.25" customHeight="1" thickBot="1">
      <c r="A40" s="277" t="s">
        <v>583</v>
      </c>
      <c r="B40" s="285" t="s">
        <v>442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636</v>
      </c>
      <c r="O40" s="271" t="s">
        <v>637</v>
      </c>
      <c r="P40" s="271" t="s">
        <v>638</v>
      </c>
      <c r="Q40" s="271" t="s">
        <v>639</v>
      </c>
    </row>
    <row r="41" spans="1:17" ht="14.25" customHeight="1" thickBot="1">
      <c r="A41" s="277" t="s">
        <v>583</v>
      </c>
      <c r="B41" s="285" t="s">
        <v>453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640</v>
      </c>
      <c r="O41" s="285" t="s">
        <v>641</v>
      </c>
      <c r="Q41" s="285" t="s">
        <v>642</v>
      </c>
    </row>
    <row r="42" spans="1:17" ht="14.25" customHeight="1" thickBot="1">
      <c r="A42" s="277" t="s">
        <v>583</v>
      </c>
      <c r="B42" s="285" t="s">
        <v>464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643</v>
      </c>
      <c r="O42" s="271" t="s">
        <v>644</v>
      </c>
      <c r="Q42" s="271" t="s">
        <v>645</v>
      </c>
    </row>
    <row r="43" spans="1:17" ht="14.25" customHeight="1" thickBot="1">
      <c r="A43" s="277" t="s">
        <v>583</v>
      </c>
      <c r="B43" s="285" t="s">
        <v>475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646</v>
      </c>
      <c r="O43" s="271" t="s">
        <v>647</v>
      </c>
      <c r="Q43" s="271" t="s">
        <v>648</v>
      </c>
    </row>
    <row r="44" spans="1:17" ht="14.25" customHeight="1" thickBot="1">
      <c r="A44" s="277" t="s">
        <v>583</v>
      </c>
      <c r="B44" s="285" t="s">
        <v>485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649</v>
      </c>
      <c r="O44" s="271" t="s">
        <v>650</v>
      </c>
      <c r="Q44" s="271" t="s">
        <v>651</v>
      </c>
    </row>
    <row r="45" spans="1:17" ht="14.25" customHeight="1" thickBot="1">
      <c r="A45" s="277" t="s">
        <v>583</v>
      </c>
      <c r="B45" s="285" t="s">
        <v>495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652</v>
      </c>
      <c r="O45" s="271" t="s">
        <v>653</v>
      </c>
      <c r="Q45" s="271" t="s">
        <v>654</v>
      </c>
    </row>
    <row r="46" spans="1:17" ht="14.25" customHeight="1" thickBot="1">
      <c r="A46" s="277" t="s">
        <v>583</v>
      </c>
      <c r="B46" s="285" t="s">
        <v>505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655</v>
      </c>
      <c r="O46" s="271" t="s">
        <v>656</v>
      </c>
      <c r="Q46" s="271" t="s">
        <v>657</v>
      </c>
    </row>
    <row r="47" spans="1:17" ht="14.25" customHeight="1" thickBot="1">
      <c r="A47" s="277" t="s">
        <v>583</v>
      </c>
      <c r="B47" s="285" t="s">
        <v>515</v>
      </c>
      <c r="C47" s="271">
        <v>18220</v>
      </c>
      <c r="D47" s="271"/>
      <c r="E47" s="271">
        <v>17220</v>
      </c>
      <c r="F47" s="289"/>
      <c r="H47" s="296"/>
      <c r="N47" s="271" t="s">
        <v>658</v>
      </c>
      <c r="O47" s="271" t="s">
        <v>659</v>
      </c>
    </row>
    <row r="48" spans="1:17" ht="14.25" customHeight="1" thickBot="1">
      <c r="A48" s="277" t="s">
        <v>583</v>
      </c>
      <c r="B48" s="286" t="s">
        <v>524</v>
      </c>
      <c r="C48" s="287">
        <v>19430</v>
      </c>
      <c r="D48" s="287"/>
      <c r="E48" s="287">
        <v>17830</v>
      </c>
      <c r="F48" s="297"/>
      <c r="H48" s="293"/>
      <c r="N48" s="271" t="s">
        <v>660</v>
      </c>
      <c r="O48" s="271" t="s">
        <v>661</v>
      </c>
    </row>
    <row r="49" spans="1:15" ht="14.25" customHeight="1" thickBot="1">
      <c r="A49" s="277" t="s">
        <v>254</v>
      </c>
      <c r="B49" s="278" t="s">
        <v>662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663</v>
      </c>
      <c r="O49" s="271" t="s">
        <v>664</v>
      </c>
    </row>
    <row r="50" spans="1:15" ht="14.25" customHeight="1" thickBot="1">
      <c r="A50" s="277" t="s">
        <v>254</v>
      </c>
      <c r="B50" s="271" t="s">
        <v>323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336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349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361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373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385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397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410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421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432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443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454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465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476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486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496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506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516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525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534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542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549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556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563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570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577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665</v>
      </c>
      <c r="B76" s="278" t="s">
        <v>666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665</v>
      </c>
      <c r="B77" s="271" t="s">
        <v>324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665</v>
      </c>
      <c r="B78" s="271" t="s">
        <v>337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665</v>
      </c>
      <c r="B79" s="271" t="s">
        <v>350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665</v>
      </c>
      <c r="B80" s="271" t="s">
        <v>362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665</v>
      </c>
      <c r="B81" s="271" t="s">
        <v>374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665</v>
      </c>
      <c r="B82" s="271" t="s">
        <v>386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665</v>
      </c>
      <c r="B83" s="271" t="s">
        <v>398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665</v>
      </c>
      <c r="B84" s="271" t="s">
        <v>411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665</v>
      </c>
      <c r="B85" s="271" t="s">
        <v>422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665</v>
      </c>
      <c r="B86" s="271" t="s">
        <v>433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665</v>
      </c>
      <c r="B87" s="271" t="s">
        <v>444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665</v>
      </c>
      <c r="B88" s="271" t="s">
        <v>455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665</v>
      </c>
      <c r="B89" s="271" t="s">
        <v>466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665</v>
      </c>
      <c r="B90" s="271" t="s">
        <v>477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665</v>
      </c>
      <c r="B91" s="271" t="s">
        <v>487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665</v>
      </c>
      <c r="B92" s="271" t="s">
        <v>497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665</v>
      </c>
      <c r="B93" s="271" t="s">
        <v>507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665</v>
      </c>
      <c r="B94" s="271" t="s">
        <v>517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665</v>
      </c>
      <c r="B95" s="271" t="s">
        <v>526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665</v>
      </c>
      <c r="B96" s="271" t="s">
        <v>535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665</v>
      </c>
      <c r="B97" s="271" t="s">
        <v>543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665</v>
      </c>
      <c r="B98" s="271" t="s">
        <v>550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665</v>
      </c>
      <c r="B99" s="271" t="s">
        <v>557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665</v>
      </c>
      <c r="B100" s="271" t="s">
        <v>564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665</v>
      </c>
      <c r="B101" s="271" t="s">
        <v>571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665</v>
      </c>
      <c r="B102" s="271" t="s">
        <v>578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665</v>
      </c>
      <c r="B103" s="271" t="s">
        <v>585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665</v>
      </c>
      <c r="B104" s="271" t="s">
        <v>590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665</v>
      </c>
      <c r="B105" s="271" t="s">
        <v>595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665</v>
      </c>
      <c r="B106" s="271" t="s">
        <v>600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665</v>
      </c>
      <c r="B107" s="271" t="s">
        <v>605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665</v>
      </c>
      <c r="B108" s="271" t="s">
        <v>610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665</v>
      </c>
      <c r="B109" s="287" t="s">
        <v>615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667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325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338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351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363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375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387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399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412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423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434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445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456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467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478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488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498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508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518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527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536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544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551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558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565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572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579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586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591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596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601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606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611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616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620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624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628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632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636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640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643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646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649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652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655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658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660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663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668</v>
      </c>
      <c r="B158" s="278" t="s">
        <v>669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668</v>
      </c>
      <c r="B159" s="271" t="s">
        <v>326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668</v>
      </c>
      <c r="B160" s="271" t="s">
        <v>339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668</v>
      </c>
      <c r="B161" s="271" t="s">
        <v>352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668</v>
      </c>
      <c r="B162" s="271" t="s">
        <v>364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668</v>
      </c>
      <c r="B163" s="271" t="s">
        <v>376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668</v>
      </c>
      <c r="B164" s="271" t="s">
        <v>388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668</v>
      </c>
      <c r="B165" s="271" t="s">
        <v>400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668</v>
      </c>
      <c r="B166" s="271" t="s">
        <v>413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668</v>
      </c>
      <c r="B167" s="271" t="s">
        <v>424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668</v>
      </c>
      <c r="B168" s="271" t="s">
        <v>435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668</v>
      </c>
      <c r="B169" s="271" t="s">
        <v>446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668</v>
      </c>
      <c r="B170" s="271" t="s">
        <v>457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668</v>
      </c>
      <c r="B171" s="271" t="s">
        <v>468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668</v>
      </c>
      <c r="B172" s="271" t="s">
        <v>479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668</v>
      </c>
      <c r="B173" s="271" t="s">
        <v>489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668</v>
      </c>
      <c r="B174" s="271" t="s">
        <v>499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668</v>
      </c>
      <c r="B175" s="271" t="s">
        <v>509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668</v>
      </c>
      <c r="B176" s="271" t="s">
        <v>519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668</v>
      </c>
      <c r="B177" s="271" t="s">
        <v>528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668</v>
      </c>
      <c r="B178" s="271" t="s">
        <v>537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668</v>
      </c>
      <c r="B179" s="271" t="s">
        <v>545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668</v>
      </c>
      <c r="B180" s="271" t="s">
        <v>552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668</v>
      </c>
      <c r="B181" s="271" t="s">
        <v>559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668</v>
      </c>
      <c r="B182" s="271" t="s">
        <v>566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668</v>
      </c>
      <c r="B183" s="271" t="s">
        <v>573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668</v>
      </c>
      <c r="B184" s="271" t="s">
        <v>580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668</v>
      </c>
      <c r="B185" s="271" t="s">
        <v>587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668</v>
      </c>
      <c r="B186" s="271" t="s">
        <v>592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668</v>
      </c>
      <c r="B187" s="271" t="s">
        <v>597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668</v>
      </c>
      <c r="B188" s="271" t="s">
        <v>602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668</v>
      </c>
      <c r="B189" s="271" t="s">
        <v>607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668</v>
      </c>
      <c r="B190" s="271" t="s">
        <v>612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668</v>
      </c>
      <c r="B191" s="271" t="s">
        <v>617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668</v>
      </c>
      <c r="B192" s="271" t="s">
        <v>621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668</v>
      </c>
      <c r="B193" s="271" t="s">
        <v>625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668</v>
      </c>
      <c r="B194" s="271" t="s">
        <v>629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668</v>
      </c>
      <c r="B195" s="271" t="s">
        <v>633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668</v>
      </c>
      <c r="B196" s="271" t="s">
        <v>637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668</v>
      </c>
      <c r="B197" s="271" t="s">
        <v>641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668</v>
      </c>
      <c r="B198" s="271" t="s">
        <v>644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668</v>
      </c>
      <c r="B199" s="271" t="s">
        <v>647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668</v>
      </c>
      <c r="B200" s="271" t="s">
        <v>650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668</v>
      </c>
      <c r="B201" s="271" t="s">
        <v>653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668</v>
      </c>
      <c r="B202" s="271" t="s">
        <v>656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668</v>
      </c>
      <c r="B203" s="271" t="s">
        <v>659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668</v>
      </c>
      <c r="B204" s="271" t="s">
        <v>661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668</v>
      </c>
      <c r="B205" s="271" t="s">
        <v>664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670</v>
      </c>
      <c r="B206" s="278" t="s">
        <v>671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670</v>
      </c>
      <c r="B207" s="271" t="s">
        <v>327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670</v>
      </c>
      <c r="B208" s="271" t="s">
        <v>340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670</v>
      </c>
      <c r="B209" s="271" t="s">
        <v>353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670</v>
      </c>
      <c r="B210" s="271" t="s">
        <v>365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670</v>
      </c>
      <c r="B211" s="271" t="s">
        <v>377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670</v>
      </c>
      <c r="B212" s="271" t="s">
        <v>389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670</v>
      </c>
      <c r="B213" s="271" t="s">
        <v>401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670</v>
      </c>
      <c r="B214" s="271" t="s">
        <v>414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670</v>
      </c>
      <c r="B215" s="271" t="s">
        <v>425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670</v>
      </c>
      <c r="B216" s="271" t="s">
        <v>436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670</v>
      </c>
      <c r="B217" s="271" t="s">
        <v>447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670</v>
      </c>
      <c r="B218" s="271" t="s">
        <v>458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670</v>
      </c>
      <c r="B219" s="271" t="s">
        <v>469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670</v>
      </c>
      <c r="B220" s="271" t="s">
        <v>480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670</v>
      </c>
      <c r="B221" s="271" t="s">
        <v>490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670</v>
      </c>
      <c r="B222" s="271" t="s">
        <v>500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670</v>
      </c>
      <c r="B223" s="271" t="s">
        <v>510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670</v>
      </c>
      <c r="B224" s="271" t="s">
        <v>520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670</v>
      </c>
      <c r="B225" s="271" t="s">
        <v>529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670</v>
      </c>
      <c r="B226" s="271" t="s">
        <v>538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670</v>
      </c>
      <c r="B227" s="271" t="s">
        <v>546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670</v>
      </c>
      <c r="B228" s="271" t="s">
        <v>553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670</v>
      </c>
      <c r="B229" s="271" t="s">
        <v>560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670</v>
      </c>
      <c r="B230" s="271" t="s">
        <v>567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670</v>
      </c>
      <c r="B231" s="271" t="s">
        <v>574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670</v>
      </c>
      <c r="B232" s="271" t="s">
        <v>581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670</v>
      </c>
      <c r="B233" s="271" t="s">
        <v>588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670</v>
      </c>
      <c r="B234" s="271" t="s">
        <v>593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670</v>
      </c>
      <c r="B235" s="271" t="s">
        <v>598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670</v>
      </c>
      <c r="B236" s="271" t="s">
        <v>603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670</v>
      </c>
      <c r="B237" s="271" t="s">
        <v>608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670</v>
      </c>
      <c r="B238" s="271" t="s">
        <v>613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670</v>
      </c>
      <c r="B239" s="271" t="s">
        <v>618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670</v>
      </c>
      <c r="B240" s="271" t="s">
        <v>622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670</v>
      </c>
      <c r="B241" s="271" t="s">
        <v>626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670</v>
      </c>
      <c r="B242" s="271" t="s">
        <v>630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670</v>
      </c>
      <c r="B243" s="271" t="s">
        <v>634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670</v>
      </c>
      <c r="B244" s="287" t="s">
        <v>638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672</v>
      </c>
      <c r="B245" s="278" t="s">
        <v>673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672</v>
      </c>
      <c r="B246" s="271" t="s">
        <v>328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672</v>
      </c>
      <c r="B247" s="271" t="s">
        <v>674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672</v>
      </c>
      <c r="B248" s="271" t="s">
        <v>675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672</v>
      </c>
      <c r="B249" s="271" t="s">
        <v>366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672</v>
      </c>
      <c r="B250" s="271" t="s">
        <v>378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672</v>
      </c>
      <c r="B251" s="271" t="s">
        <v>390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672</v>
      </c>
      <c r="B252" s="271" t="s">
        <v>402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672</v>
      </c>
      <c r="B253" s="271" t="s">
        <v>415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672</v>
      </c>
      <c r="B254" s="271" t="s">
        <v>426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672</v>
      </c>
      <c r="B255" s="271" t="s">
        <v>437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672</v>
      </c>
      <c r="B256" s="271" t="s">
        <v>448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672</v>
      </c>
      <c r="B257" s="271" t="s">
        <v>459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672</v>
      </c>
      <c r="B258" s="271" t="s">
        <v>470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672</v>
      </c>
      <c r="B259" s="271" t="s">
        <v>481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672</v>
      </c>
      <c r="B260" s="271" t="s">
        <v>491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672</v>
      </c>
      <c r="B261" s="271" t="s">
        <v>501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672</v>
      </c>
      <c r="B262" s="271" t="s">
        <v>511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672</v>
      </c>
      <c r="B263" s="271" t="s">
        <v>521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672</v>
      </c>
      <c r="B264" s="271" t="s">
        <v>530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672</v>
      </c>
      <c r="B265" s="271" t="s">
        <v>539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672</v>
      </c>
      <c r="B266" s="271" t="s">
        <v>547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672</v>
      </c>
      <c r="B267" s="271" t="s">
        <v>554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672</v>
      </c>
      <c r="B268" s="271" t="s">
        <v>561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672</v>
      </c>
      <c r="B269" s="271" t="s">
        <v>568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672</v>
      </c>
      <c r="B270" s="271" t="s">
        <v>575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672</v>
      </c>
      <c r="B271" s="271" t="s">
        <v>582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672</v>
      </c>
      <c r="B272" s="271" t="s">
        <v>589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672</v>
      </c>
      <c r="B273" s="271" t="s">
        <v>594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672</v>
      </c>
      <c r="B274" s="271" t="s">
        <v>599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672</v>
      </c>
      <c r="B275" s="271" t="s">
        <v>604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672</v>
      </c>
      <c r="B276" s="271" t="s">
        <v>609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672</v>
      </c>
      <c r="B277" s="271" t="s">
        <v>614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672</v>
      </c>
      <c r="B278" s="271" t="s">
        <v>619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672</v>
      </c>
      <c r="B279" s="271" t="s">
        <v>623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672</v>
      </c>
      <c r="B280" s="271" t="s">
        <v>627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672</v>
      </c>
      <c r="B281" s="271" t="s">
        <v>631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672</v>
      </c>
      <c r="B282" s="271" t="s">
        <v>635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672</v>
      </c>
      <c r="B283" s="271" t="s">
        <v>639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672</v>
      </c>
      <c r="B284" s="271" t="s">
        <v>642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672</v>
      </c>
      <c r="B285" s="271" t="s">
        <v>645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672</v>
      </c>
      <c r="B286" s="271" t="s">
        <v>648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672</v>
      </c>
      <c r="B287" s="271" t="s">
        <v>651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672</v>
      </c>
      <c r="B288" s="271" t="s">
        <v>654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672</v>
      </c>
      <c r="B289" s="287" t="s">
        <v>657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676</v>
      </c>
      <c r="B290" s="278" t="s">
        <v>677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676</v>
      </c>
      <c r="B291" s="271" t="s">
        <v>329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676</v>
      </c>
      <c r="B292" s="271" t="s">
        <v>678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676</v>
      </c>
      <c r="B293" s="271" t="s">
        <v>679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676</v>
      </c>
      <c r="B294" s="271" t="s">
        <v>680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676</v>
      </c>
      <c r="B295" s="271" t="s">
        <v>367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676</v>
      </c>
      <c r="B296" s="271" t="s">
        <v>379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676</v>
      </c>
      <c r="B297" s="271" t="s">
        <v>391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676</v>
      </c>
      <c r="B298" s="271" t="s">
        <v>403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676</v>
      </c>
      <c r="B299" s="271" t="s">
        <v>416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676</v>
      </c>
      <c r="B300" s="271" t="s">
        <v>427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676</v>
      </c>
      <c r="B301" s="271" t="s">
        <v>438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676</v>
      </c>
      <c r="B302" s="271" t="s">
        <v>449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676</v>
      </c>
      <c r="B303" s="271" t="s">
        <v>460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676</v>
      </c>
      <c r="B304" s="271" t="s">
        <v>471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676</v>
      </c>
      <c r="B305" s="271" t="s">
        <v>482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676</v>
      </c>
      <c r="B306" s="271" t="s">
        <v>492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676</v>
      </c>
      <c r="B307" s="271" t="s">
        <v>502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676</v>
      </c>
      <c r="B308" s="271" t="s">
        <v>512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676</v>
      </c>
      <c r="B309" s="271" t="s">
        <v>522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676</v>
      </c>
      <c r="B310" s="271" t="s">
        <v>531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676</v>
      </c>
      <c r="B311" s="271" t="s">
        <v>540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676</v>
      </c>
      <c r="B312" s="271" t="s">
        <v>548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676</v>
      </c>
      <c r="B313" s="271" t="s">
        <v>555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676</v>
      </c>
      <c r="B314" s="271" t="s">
        <v>562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676</v>
      </c>
      <c r="B315" s="271" t="s">
        <v>569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676</v>
      </c>
      <c r="B316" s="287" t="s">
        <v>576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462</v>
      </c>
      <c r="B317" s="278" t="s">
        <v>681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462</v>
      </c>
      <c r="B318" s="271" t="s">
        <v>682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462</v>
      </c>
      <c r="B319" s="271" t="s">
        <v>683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462</v>
      </c>
      <c r="B320" s="271" t="s">
        <v>356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462</v>
      </c>
      <c r="B321" s="271" t="s">
        <v>368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462</v>
      </c>
      <c r="B322" s="271" t="s">
        <v>380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462</v>
      </c>
      <c r="B323" s="271" t="s">
        <v>392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462</v>
      </c>
      <c r="B324" s="271" t="s">
        <v>404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462</v>
      </c>
      <c r="B325" s="271" t="s">
        <v>417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462</v>
      </c>
      <c r="B326" s="271" t="s">
        <v>428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462</v>
      </c>
      <c r="B327" s="271" t="s">
        <v>439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462</v>
      </c>
      <c r="B328" s="271" t="s">
        <v>450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462</v>
      </c>
      <c r="B329" s="271" t="s">
        <v>461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462</v>
      </c>
      <c r="B330" s="271" t="s">
        <v>472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462</v>
      </c>
      <c r="B331" s="271" t="s">
        <v>483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462</v>
      </c>
      <c r="B332" s="271" t="s">
        <v>493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462</v>
      </c>
      <c r="B333" s="271" t="s">
        <v>503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462</v>
      </c>
      <c r="B334" s="271" t="s">
        <v>513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462</v>
      </c>
      <c r="B335" s="271" t="s">
        <v>523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462</v>
      </c>
      <c r="B336" s="271" t="s">
        <v>532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462</v>
      </c>
      <c r="B337" s="287" t="s">
        <v>541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473</v>
      </c>
      <c r="B338" s="278" t="s">
        <v>684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473</v>
      </c>
      <c r="B339" s="271" t="s">
        <v>685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473</v>
      </c>
      <c r="B340" s="271" t="s">
        <v>686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473</v>
      </c>
      <c r="B341" s="271" t="s">
        <v>687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473</v>
      </c>
      <c r="B342" s="271" t="s">
        <v>369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473</v>
      </c>
      <c r="B343" s="271" t="s">
        <v>381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473</v>
      </c>
      <c r="B344" s="287" t="s">
        <v>393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2018-08-17T00:41:33Z</dcterms:modified>
</cp:coreProperties>
</file>