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1C4D06AE-EA8D-4A15-BB3C-3B32AC139F6F}" xr6:coauthVersionLast="47" xr6:coauthVersionMax="47" xr10:uidLastSave="{00000000-0000-0000-0000-000000000000}"/>
  <bookViews>
    <workbookView xWindow="-108" yWindow="-108" windowWidth="20376" windowHeight="12216"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收益法 (元)" sheetId="67" r:id="rId21"/>
    <sheet name="信息" sheetId="80" r:id="rId22"/>
    <sheet name="案例" sheetId="81" r:id="rId23"/>
    <sheet name="成本法 (元)" sheetId="69" r:id="rId24"/>
    <sheet name="假设开发法" sheetId="12" state="hidden" r:id="rId25"/>
    <sheet name="收益法" sheetId="15" state="hidden" r:id="rId26"/>
    <sheet name="基准地价修正" sheetId="43" r:id="rId27"/>
    <sheet name="收益法-酒店模型" sheetId="77" state="hidden" r:id="rId28"/>
    <sheet name="收益法（汇总）" sheetId="70"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19"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19">'比较法-商业'!$A$1:$K$54,'比较法-商业'!$A$57:$M$131</definedName>
    <definedName name="_xlnm.Print_Area" localSheetId="29">'比较法-住宅'!$A$1:$K$54,'比较法-住宅'!$A$57:$M$131</definedName>
    <definedName name="_xlnm.Print_Area" localSheetId="18">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6">基准地价修正!$A$1:$J$44,基准地价修正!$A$47:$H$101,基准地价修正!$R$1:$V$16</definedName>
    <definedName name="_xlnm.Print_Area" localSheetId="24">假设开发法!$A$1:$K$32</definedName>
    <definedName name="_xlnm.Print_Area" localSheetId="17">结果表!$A$1:$I$127</definedName>
    <definedName name="_xlnm.Print_Area" localSheetId="25">收益法!$A$1:$F$43,收益法!$H$3:$M$29,收益法!$A$46:$F$71,收益法!$I$46:$N$65</definedName>
    <definedName name="_xlnm.Print_Area" localSheetId="20">'收益法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104" i="33" l="1"/>
  <c r="F104" i="33"/>
  <c r="G104" i="33"/>
  <c r="H104" i="33" s="1"/>
  <c r="D104" i="33"/>
  <c r="B14" i="74"/>
  <c r="U3" i="81"/>
  <c r="M35" i="33"/>
  <c r="M32" i="33"/>
  <c r="M29" i="33"/>
  <c r="I36" i="33"/>
  <c r="G36" i="33"/>
  <c r="E36" i="33"/>
  <c r="M34" i="33"/>
  <c r="M31" i="33"/>
  <c r="M28" i="33"/>
  <c r="C36" i="33"/>
  <c r="C33" i="33"/>
  <c r="D66" i="33"/>
  <c r="C66" i="33" s="1"/>
  <c r="E66" i="33"/>
  <c r="I47" i="33"/>
  <c r="I33" i="33"/>
  <c r="I5" i="33"/>
  <c r="G47" i="33"/>
  <c r="G33" i="33"/>
  <c r="G5" i="33"/>
  <c r="E47" i="33"/>
  <c r="E33" i="33"/>
  <c r="I7" i="33"/>
  <c r="G7" i="33"/>
  <c r="E7" i="33"/>
  <c r="E5" i="33"/>
  <c r="D33" i="43"/>
  <c r="J49" i="67"/>
  <c r="O21" i="1"/>
  <c r="U6" i="1"/>
  <c r="U19" i="1"/>
  <c r="Y6" i="1"/>
  <c r="N6" i="1"/>
  <c r="N19" i="1"/>
  <c r="B58" i="1" l="1"/>
  <c r="B21" i="1"/>
  <c r="F19" i="6"/>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33" i="79" l="1"/>
  <c r="T34" i="79"/>
  <c r="T35" i="79"/>
  <c r="S20" i="79"/>
  <c r="AG20" i="79" s="1"/>
  <c r="W22" i="79"/>
  <c r="AK22" i="79" s="1"/>
  <c r="AH22" i="79"/>
  <c r="AD38" i="79"/>
  <c r="AD37" i="79"/>
  <c r="AD36"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AA31" i="79"/>
  <c r="AD31" i="79" s="1"/>
  <c r="T40" i="79"/>
  <c r="U46" i="79"/>
  <c r="AI46" i="79" s="1"/>
  <c r="AD47" i="79"/>
  <c r="S48" i="79"/>
  <c r="AG48" i="79" s="1"/>
  <c r="U50" i="79"/>
  <c r="AI50" i="79" s="1"/>
  <c r="AD5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19" i="79"/>
  <c r="AK19" i="79" s="1"/>
  <c r="AH19" i="79"/>
  <c r="W16" i="79"/>
  <c r="AK16" i="79" s="1"/>
  <c r="AH16" i="79"/>
  <c r="W50" i="79"/>
  <c r="AK50" i="79" s="1"/>
  <c r="AH50" i="79"/>
  <c r="W41" i="79"/>
  <c r="AK41" i="79" s="1"/>
  <c r="AH41" i="79"/>
  <c r="W44" i="79"/>
  <c r="AK44" i="79" s="1"/>
  <c r="AH44" i="79"/>
  <c r="W40" i="79"/>
  <c r="AK40" i="79" s="1"/>
  <c r="AH40" i="79"/>
  <c r="W15" i="79"/>
  <c r="AK15" i="79" s="1"/>
  <c r="AH15" i="79"/>
  <c r="W13" i="79"/>
  <c r="AK13" i="79" s="1"/>
  <c r="AH13" i="79"/>
  <c r="W48" i="79"/>
  <c r="AK48" i="79" s="1"/>
  <c r="AH48" i="79"/>
  <c r="W49" i="79"/>
  <c r="AK49" i="79" s="1"/>
  <c r="AH49" i="79"/>
  <c r="W43" i="79"/>
  <c r="AK43" i="79" s="1"/>
  <c r="AH43" i="79"/>
  <c r="W38" i="79"/>
  <c r="AK38" i="79" s="1"/>
  <c r="AH38" i="79"/>
  <c r="W35" i="79"/>
  <c r="AK35" i="79" s="1"/>
  <c r="AH35" i="79"/>
  <c r="W51" i="79"/>
  <c r="AK51" i="79" s="1"/>
  <c r="AH51" i="79"/>
  <c r="W46" i="79"/>
  <c r="AK46" i="79" s="1"/>
  <c r="AH46" i="79"/>
  <c r="W23" i="79"/>
  <c r="AK23" i="79" s="1"/>
  <c r="AH23" i="79"/>
  <c r="W12" i="79"/>
  <c r="AK12" i="79" s="1"/>
  <c r="AH12" i="79"/>
  <c r="W21" i="79"/>
  <c r="AK21" i="79" s="1"/>
  <c r="AH21" i="79"/>
  <c r="W47" i="79"/>
  <c r="AK47" i="79" s="1"/>
  <c r="AH47" i="79"/>
  <c r="W45" i="79"/>
  <c r="AK45" i="79" s="1"/>
  <c r="AH45" i="79"/>
  <c r="W34" i="79"/>
  <c r="AK34" i="79" s="1"/>
  <c r="AH34" i="79"/>
  <c r="W11" i="79"/>
  <c r="AK11" i="79" s="1"/>
  <c r="AH11" i="79"/>
  <c r="W17" i="79"/>
  <c r="AK17" i="79" s="1"/>
  <c r="AH17" i="79"/>
  <c r="W10" i="79"/>
  <c r="AK10" i="79" s="1"/>
  <c r="AH10" i="79"/>
  <c r="W18" i="79"/>
  <c r="AK18" i="79" s="1"/>
  <c r="AH18" i="79"/>
  <c r="W20" i="79"/>
  <c r="AK20" i="79" s="1"/>
  <c r="AH20"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Y25" i="71" s="1"/>
  <c r="Z25"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Q79" i="71"/>
  <c r="P79" i="71"/>
  <c r="O79" i="71"/>
  <c r="N79" i="71"/>
  <c r="F79" i="71"/>
  <c r="F78" i="71" s="1"/>
  <c r="Q78" i="71"/>
  <c r="P78" i="71"/>
  <c r="O78" i="71"/>
  <c r="N78" i="71"/>
  <c r="Q77" i="71"/>
  <c r="P77" i="71"/>
  <c r="O77" i="71"/>
  <c r="N77" i="71"/>
  <c r="D77" i="71"/>
  <c r="Q76" i="71"/>
  <c r="P76" i="71"/>
  <c r="O76" i="71"/>
  <c r="N76" i="71"/>
  <c r="F76" i="71"/>
  <c r="E76" i="71"/>
  <c r="U76" i="71" s="1"/>
  <c r="C76" i="71"/>
  <c r="B76" i="71"/>
  <c r="S76"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E68" i="71"/>
  <c r="P68" i="71" s="1"/>
  <c r="C68" i="71"/>
  <c r="B68" i="71"/>
  <c r="S68" i="71" s="1"/>
  <c r="D65" i="71"/>
  <c r="Q64" i="71"/>
  <c r="P64" i="71"/>
  <c r="O64" i="71"/>
  <c r="N64" i="71"/>
  <c r="Q63" i="71"/>
  <c r="P63" i="71"/>
  <c r="O63" i="71"/>
  <c r="N63" i="71"/>
  <c r="Q62" i="71"/>
  <c r="P62" i="71"/>
  <c r="O62" i="71"/>
  <c r="N62" i="71"/>
  <c r="Q61" i="71"/>
  <c r="F62" i="71" s="1"/>
  <c r="F63" i="71"/>
  <c r="F64" i="71" s="1"/>
  <c r="V64" i="71" s="1"/>
  <c r="P61" i="71"/>
  <c r="E62" i="71" s="1"/>
  <c r="E63" i="71" s="1"/>
  <c r="O61" i="71"/>
  <c r="C62" i="71" s="1"/>
  <c r="N61" i="71"/>
  <c r="B62" i="71"/>
  <c r="B63" i="71" s="1"/>
  <c r="B64" i="71" s="1"/>
  <c r="S64" i="71" s="1"/>
  <c r="D61" i="71"/>
  <c r="Q60" i="71"/>
  <c r="P60" i="71"/>
  <c r="O60" i="71"/>
  <c r="N60" i="71"/>
  <c r="Q59" i="71"/>
  <c r="P59" i="71"/>
  <c r="O59" i="71"/>
  <c r="N59" i="71"/>
  <c r="Q58" i="71"/>
  <c r="P58" i="71"/>
  <c r="O58" i="71"/>
  <c r="C59" i="71" s="1"/>
  <c r="C60" i="71" s="1"/>
  <c r="T60" i="71" s="1"/>
  <c r="N58" i="71"/>
  <c r="Q57" i="71"/>
  <c r="F58" i="71" s="1"/>
  <c r="F59" i="71" s="1"/>
  <c r="F60" i="71"/>
  <c r="V60" i="71" s="1"/>
  <c r="P57" i="71"/>
  <c r="E58" i="71" s="1"/>
  <c r="E59" i="71" s="1"/>
  <c r="E60" i="71" s="1"/>
  <c r="U60"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D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AB39" i="71"/>
  <c r="Q39" i="71"/>
  <c r="P39" i="71"/>
  <c r="AA39" i="71" s="1"/>
  <c r="O39" i="71"/>
  <c r="N39" i="71"/>
  <c r="X39" i="71" s="1"/>
  <c r="Q38" i="71"/>
  <c r="P38" i="71"/>
  <c r="O38" i="71"/>
  <c r="Y38" i="71" s="1"/>
  <c r="Z38" i="71" s="1"/>
  <c r="N38" i="71"/>
  <c r="Q37" i="71"/>
  <c r="P37" i="71"/>
  <c r="O37" i="71"/>
  <c r="Y37" i="71" s="1"/>
  <c r="Z37" i="71" s="1"/>
  <c r="N37" i="71"/>
  <c r="B38" i="71" s="1"/>
  <c r="D37" i="71"/>
  <c r="Q36" i="71"/>
  <c r="AB36" i="71" s="1"/>
  <c r="P36" i="71"/>
  <c r="O36" i="71"/>
  <c r="N36" i="71"/>
  <c r="Q35" i="71"/>
  <c r="P35" i="71"/>
  <c r="O35" i="71"/>
  <c r="Y35" i="71" s="1"/>
  <c r="Z35" i="71" s="1"/>
  <c r="N35" i="71"/>
  <c r="Q34" i="71"/>
  <c r="AB34" i="71"/>
  <c r="P34" i="71"/>
  <c r="O34" i="71"/>
  <c r="N34" i="71"/>
  <c r="Q33" i="71"/>
  <c r="F34" i="71" s="1"/>
  <c r="P33" i="71"/>
  <c r="O33" i="71"/>
  <c r="C34" i="71" s="1"/>
  <c r="D34" i="71" s="1"/>
  <c r="N33" i="71"/>
  <c r="X31" i="71" s="1"/>
  <c r="D33" i="71"/>
  <c r="Q32" i="71"/>
  <c r="AB32" i="71"/>
  <c r="P32" i="71"/>
  <c r="O32" i="71"/>
  <c r="N32" i="71"/>
  <c r="Q31" i="71"/>
  <c r="P31" i="71"/>
  <c r="O31" i="71"/>
  <c r="N31" i="71"/>
  <c r="Q30" i="71"/>
  <c r="P30" i="71"/>
  <c r="AA30" i="71" s="1"/>
  <c r="O30" i="71"/>
  <c r="N30" i="71"/>
  <c r="Q29" i="71"/>
  <c r="F30" i="71" s="1"/>
  <c r="F31" i="71" s="1"/>
  <c r="F32" i="71" s="1"/>
  <c r="V32" i="71" s="1"/>
  <c r="P29" i="71"/>
  <c r="O29" i="71"/>
  <c r="N29" i="71"/>
  <c r="D29" i="71"/>
  <c r="O28" i="71"/>
  <c r="C28" i="71" s="1"/>
  <c r="C27" i="71" s="1"/>
  <c r="N28" i="71"/>
  <c r="B30" i="71"/>
  <c r="B31" i="71"/>
  <c r="B32" i="71" s="1"/>
  <c r="S32" i="71" s="1"/>
  <c r="E30" i="71"/>
  <c r="E31" i="71" s="1"/>
  <c r="E32" i="71" s="1"/>
  <c r="U32" i="71" s="1"/>
  <c r="B39" i="71"/>
  <c r="E38" i="71"/>
  <c r="E39" i="71" s="1"/>
  <c r="E40" i="71" s="1"/>
  <c r="U40" i="71" s="1"/>
  <c r="E34" i="71"/>
  <c r="E35" i="71" s="1"/>
  <c r="E36" i="71" s="1"/>
  <c r="U36" i="71" s="1"/>
  <c r="C30" i="71"/>
  <c r="C35" i="71"/>
  <c r="AB33" i="71"/>
  <c r="AA35" i="71"/>
  <c r="C38" i="71"/>
  <c r="D38" i="71" s="1"/>
  <c r="X38" i="71"/>
  <c r="AA38" i="71"/>
  <c r="B28" i="71"/>
  <c r="C31" i="71"/>
  <c r="D31" i="71" s="1"/>
  <c r="D30" i="71"/>
  <c r="C43" i="71"/>
  <c r="C44" i="71" s="1"/>
  <c r="C51" i="71"/>
  <c r="D51" i="71" s="1"/>
  <c r="D50" i="71"/>
  <c r="P28" i="71"/>
  <c r="E28" i="71" s="1"/>
  <c r="E64" i="71"/>
  <c r="U64" i="71" s="1"/>
  <c r="U68" i="71"/>
  <c r="E67" i="71"/>
  <c r="Q28" i="71"/>
  <c r="D58" i="71"/>
  <c r="C63" i="71"/>
  <c r="C64" i="71" s="1"/>
  <c r="D62" i="71"/>
  <c r="D68" i="71"/>
  <c r="C67" i="71"/>
  <c r="E71" i="71"/>
  <c r="E70" i="71"/>
  <c r="D72" i="71"/>
  <c r="E75" i="71"/>
  <c r="E74" i="71" s="1"/>
  <c r="D80" i="71"/>
  <c r="C87" i="71"/>
  <c r="C86" i="71" s="1"/>
  <c r="D86" i="71" s="1"/>
  <c r="D28" i="71"/>
  <c r="U28" i="71" s="1"/>
  <c r="D87" i="71"/>
  <c r="P67" i="71"/>
  <c r="E66" i="71"/>
  <c r="D43" i="71"/>
  <c r="C32" i="71"/>
  <c r="T44" i="71"/>
  <c r="D44"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Z21" i="37"/>
  <c r="Q21" i="37"/>
  <c r="D77" i="37"/>
  <c r="E77" i="37" s="1"/>
  <c r="F77" i="37" s="1"/>
  <c r="G77" i="37" s="1"/>
  <c r="C21" i="37"/>
  <c r="Q21" i="34"/>
  <c r="Z21" i="34" s="1"/>
  <c r="D84" i="34"/>
  <c r="E84" i="34"/>
  <c r="F84" i="34" s="1"/>
  <c r="F21" i="34"/>
  <c r="C21" i="34"/>
  <c r="Q21" i="33"/>
  <c r="Z21" i="33" s="1"/>
  <c r="D83" i="33"/>
  <c r="E83" i="33" s="1"/>
  <c r="F83" i="33" s="1"/>
  <c r="G83" i="33" s="1"/>
  <c r="C21" i="33"/>
  <c r="C21" i="21"/>
  <c r="Q21" i="21"/>
  <c r="Z21" i="21" s="1"/>
  <c r="H19" i="21"/>
  <c r="D83" i="21"/>
  <c r="F21" i="21"/>
  <c r="AA21" i="21" s="1"/>
  <c r="D81" i="21"/>
  <c r="G20" i="20"/>
  <c r="C22" i="20"/>
  <c r="B100" i="43" s="1"/>
  <c r="B77" i="43"/>
  <c r="B57" i="43"/>
  <c r="B68" i="43"/>
  <c r="C29" i="39"/>
  <c r="S25" i="40"/>
  <c r="S18" i="36"/>
  <c r="H25" i="40"/>
  <c r="AB25" i="40" s="1"/>
  <c r="J25" i="40"/>
  <c r="AC25" i="40" s="1"/>
  <c r="H29" i="39"/>
  <c r="J29" i="39"/>
  <c r="AC29" i="39" s="1"/>
  <c r="J18" i="36"/>
  <c r="AC18" i="36" s="1"/>
  <c r="F68" i="35"/>
  <c r="G68" i="35" s="1"/>
  <c r="H18" i="35"/>
  <c r="AB18" i="35" s="1"/>
  <c r="J18" i="35"/>
  <c r="W18" i="35" s="1"/>
  <c r="H21" i="37"/>
  <c r="F21" i="37"/>
  <c r="AA21" i="37" s="1"/>
  <c r="H21" i="34"/>
  <c r="AB21" i="34" s="1"/>
  <c r="H21" i="33"/>
  <c r="F21" i="33"/>
  <c r="AA21" i="33" s="1"/>
  <c r="E83" i="21"/>
  <c r="F83" i="21" s="1"/>
  <c r="H1" i="69"/>
  <c r="U25" i="40"/>
  <c r="W29" i="39"/>
  <c r="W18" i="36"/>
  <c r="U21" i="34"/>
  <c r="AC18" i="35"/>
  <c r="J21" i="37"/>
  <c r="W21" i="37" s="1"/>
  <c r="G84" i="34"/>
  <c r="J21" i="34"/>
  <c r="W21" i="34" s="1"/>
  <c r="J21" i="33"/>
  <c r="W21" i="33" s="1"/>
  <c r="H21" i="21"/>
  <c r="U21" i="21" s="1"/>
  <c r="F38" i="69"/>
  <c r="E37" i="69"/>
  <c r="F36" i="69"/>
  <c r="F35" i="69"/>
  <c r="F21" i="69"/>
  <c r="F40" i="69" s="1"/>
  <c r="F20" i="69"/>
  <c r="F39" i="69" s="1"/>
  <c r="E10" i="69"/>
  <c r="E9" i="69"/>
  <c r="AC21" i="37"/>
  <c r="G83" i="21"/>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L64" i="3" s="1"/>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A496" i="3" s="1"/>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L497" i="3" s="1"/>
  <c r="BR497" i="3"/>
  <c r="BS497" i="3"/>
  <c r="BT497" i="3"/>
  <c r="H498" i="3"/>
  <c r="AC498" i="3"/>
  <c r="BB498" i="3"/>
  <c r="BC498" i="3"/>
  <c r="BD498" i="3"/>
  <c r="BA498" i="3" s="1"/>
  <c r="BE498" i="3"/>
  <c r="BF498" i="3"/>
  <c r="BG498" i="3"/>
  <c r="BH498" i="3"/>
  <c r="BI498" i="3"/>
  <c r="BJ498" i="3"/>
  <c r="BK498" i="3"/>
  <c r="BM498" i="3"/>
  <c r="BN498" i="3"/>
  <c r="BO498" i="3"/>
  <c r="BP498" i="3"/>
  <c r="BQ498" i="3"/>
  <c r="BR498" i="3"/>
  <c r="BS498" i="3"/>
  <c r="BT498" i="3"/>
  <c r="H499" i="3"/>
  <c r="G499" i="3" s="1"/>
  <c r="AC499" i="3"/>
  <c r="BB499" i="3"/>
  <c r="BC499" i="3"/>
  <c r="BD499" i="3"/>
  <c r="BA499" i="3" s="1"/>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L500" i="3" s="1"/>
  <c r="BO500" i="3"/>
  <c r="BP500" i="3"/>
  <c r="BQ500" i="3"/>
  <c r="BR500" i="3"/>
  <c r="BS500" i="3"/>
  <c r="BT500" i="3"/>
  <c r="H501" i="3"/>
  <c r="AC501" i="3"/>
  <c r="G501" i="3" s="1"/>
  <c r="BB501" i="3"/>
  <c r="BC501" i="3"/>
  <c r="BD501" i="3"/>
  <c r="BE501" i="3"/>
  <c r="BF501" i="3"/>
  <c r="BG501" i="3"/>
  <c r="BH501" i="3"/>
  <c r="BI501" i="3"/>
  <c r="BJ501" i="3"/>
  <c r="BK501" i="3"/>
  <c r="BM501" i="3"/>
  <c r="BN501" i="3"/>
  <c r="BL501" i="3" s="1"/>
  <c r="BO501" i="3"/>
  <c r="BP501" i="3"/>
  <c r="BR501" i="3"/>
  <c r="BS501" i="3"/>
  <c r="BT501" i="3"/>
  <c r="H502" i="3"/>
  <c r="AC502" i="3"/>
  <c r="BB502" i="3"/>
  <c r="BC502" i="3"/>
  <c r="BD502" i="3"/>
  <c r="BE502" i="3"/>
  <c r="BF502" i="3"/>
  <c r="BG502" i="3"/>
  <c r="BH502" i="3"/>
  <c r="BI502" i="3"/>
  <c r="BJ502" i="3"/>
  <c r="BK502" i="3"/>
  <c r="BM502" i="3"/>
  <c r="BN502" i="3"/>
  <c r="BO502" i="3"/>
  <c r="BL502" i="3" s="1"/>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BB504" i="3"/>
  <c r="BC504" i="3"/>
  <c r="BA504" i="3" s="1"/>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L505" i="3" s="1"/>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A508" i="3" s="1"/>
  <c r="BF508" i="3"/>
  <c r="BG508" i="3"/>
  <c r="BH508" i="3"/>
  <c r="BI508" i="3"/>
  <c r="BJ508" i="3"/>
  <c r="BK508" i="3"/>
  <c r="BM508" i="3"/>
  <c r="BN508" i="3"/>
  <c r="BL508" i="3" s="1"/>
  <c r="BO508" i="3"/>
  <c r="BP508" i="3"/>
  <c r="BQ508" i="3"/>
  <c r="BR508" i="3"/>
  <c r="BS508" i="3"/>
  <c r="BT508" i="3"/>
  <c r="H509" i="3"/>
  <c r="BB509" i="3"/>
  <c r="BA509" i="3" s="1"/>
  <c r="BC509" i="3"/>
  <c r="BD509" i="3"/>
  <c r="BE509" i="3"/>
  <c r="BF509" i="3"/>
  <c r="BG509" i="3"/>
  <c r="BH509" i="3"/>
  <c r="BI509" i="3"/>
  <c r="BJ509" i="3"/>
  <c r="BK509" i="3"/>
  <c r="BM509" i="3"/>
  <c r="BN509" i="3"/>
  <c r="BO509" i="3"/>
  <c r="BP509" i="3"/>
  <c r="BR509" i="3"/>
  <c r="BS509" i="3"/>
  <c r="BT509" i="3"/>
  <c r="H510" i="3"/>
  <c r="AC510" i="3"/>
  <c r="BB510" i="3"/>
  <c r="BC510" i="3"/>
  <c r="BA510" i="3" s="1"/>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s="1"/>
  <c r="BN512" i="3"/>
  <c r="BO512" i="3"/>
  <c r="BP512" i="3"/>
  <c r="BQ512" i="3"/>
  <c r="BR512" i="3"/>
  <c r="BS512" i="3"/>
  <c r="BT512" i="3"/>
  <c r="H513" i="3"/>
  <c r="G513" i="3" s="1"/>
  <c r="AC513" i="3"/>
  <c r="BB513" i="3"/>
  <c r="BC513" i="3"/>
  <c r="BD513" i="3"/>
  <c r="BA513" i="3" s="1"/>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A516" i="3" s="1"/>
  <c r="BC516" i="3"/>
  <c r="BD516" i="3"/>
  <c r="BE516" i="3"/>
  <c r="BF516" i="3"/>
  <c r="BG516" i="3"/>
  <c r="BH516" i="3"/>
  <c r="BI516" i="3"/>
  <c r="BJ516" i="3"/>
  <c r="BK516" i="3"/>
  <c r="BM516" i="3"/>
  <c r="BN516" i="3"/>
  <c r="BO516" i="3"/>
  <c r="BP516" i="3"/>
  <c r="BQ516" i="3"/>
  <c r="BR516" i="3"/>
  <c r="BS516" i="3"/>
  <c r="BT516" i="3"/>
  <c r="H517" i="3"/>
  <c r="AC517" i="3"/>
  <c r="BB517" i="3"/>
  <c r="BA517" i="3" s="1"/>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A520" i="3" s="1"/>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L522" i="3" s="1"/>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L525" i="3" s="1"/>
  <c r="BR525" i="3"/>
  <c r="BS525" i="3"/>
  <c r="BT525" i="3"/>
  <c r="H526" i="3"/>
  <c r="AC526" i="3"/>
  <c r="BB526" i="3"/>
  <c r="BC526" i="3"/>
  <c r="BD526" i="3"/>
  <c r="BD5" i="3" s="1"/>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E5" i="3" s="1"/>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A531" i="3" s="1"/>
  <c r="BC531" i="3"/>
  <c r="BD531" i="3"/>
  <c r="BE531" i="3"/>
  <c r="BF531" i="3"/>
  <c r="BG531" i="3"/>
  <c r="BH531" i="3"/>
  <c r="BI531" i="3"/>
  <c r="BJ531" i="3"/>
  <c r="BK531" i="3"/>
  <c r="BM531" i="3"/>
  <c r="BN531" i="3"/>
  <c r="BO531" i="3"/>
  <c r="BP531" i="3"/>
  <c r="BR531" i="3"/>
  <c r="BS531" i="3"/>
  <c r="BT531" i="3"/>
  <c r="BT5" i="3" s="1"/>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L533" i="3" s="1"/>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A535" i="3" s="1"/>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A540" i="3" s="1"/>
  <c r="BD540" i="3"/>
  <c r="BE540" i="3"/>
  <c r="BF540" i="3"/>
  <c r="BG540" i="3"/>
  <c r="BH540" i="3"/>
  <c r="BI540" i="3"/>
  <c r="BJ540" i="3"/>
  <c r="BK540" i="3"/>
  <c r="BM540" i="3"/>
  <c r="BN540" i="3"/>
  <c r="BO540" i="3"/>
  <c r="BP540" i="3"/>
  <c r="BL540" i="3" s="1"/>
  <c r="AZ540" i="3" s="1"/>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A542" i="3" s="1"/>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A544" i="3" s="1"/>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L546" i="3" s="1"/>
  <c r="BP546" i="3"/>
  <c r="BQ546" i="3"/>
  <c r="BR546" i="3"/>
  <c r="BS546" i="3"/>
  <c r="BT546" i="3"/>
  <c r="H547" i="3"/>
  <c r="AC547" i="3"/>
  <c r="BB547" i="3"/>
  <c r="BA547" i="3" s="1"/>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L567" i="3" s="1"/>
  <c r="BN567" i="3"/>
  <c r="BO567" i="3"/>
  <c r="BP567" i="3"/>
  <c r="BR567" i="3"/>
  <c r="BS567" i="3"/>
  <c r="BT567" i="3"/>
  <c r="H568" i="3"/>
  <c r="AC568" i="3"/>
  <c r="G568" i="3" s="1"/>
  <c r="BB568" i="3"/>
  <c r="BC568" i="3"/>
  <c r="BD568" i="3"/>
  <c r="BE568" i="3"/>
  <c r="BF568" i="3"/>
  <c r="BG568" i="3"/>
  <c r="BH568" i="3"/>
  <c r="BI568" i="3"/>
  <c r="BJ568" i="3"/>
  <c r="BK568" i="3"/>
  <c r="BM568" i="3"/>
  <c r="BN568" i="3"/>
  <c r="BL568" i="3" s="1"/>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A570" i="3" s="1"/>
  <c r="BF570" i="3"/>
  <c r="BG570" i="3"/>
  <c r="BH570" i="3"/>
  <c r="BI570" i="3"/>
  <c r="BJ570" i="3"/>
  <c r="BK570" i="3"/>
  <c r="BM570" i="3"/>
  <c r="BN570" i="3"/>
  <c r="BL570" i="3" s="1"/>
  <c r="BO570" i="3"/>
  <c r="BP570" i="3"/>
  <c r="BQ570" i="3"/>
  <c r="BR570" i="3"/>
  <c r="BS570" i="3"/>
  <c r="BT570" i="3"/>
  <c r="H571" i="3"/>
  <c r="AC571" i="3"/>
  <c r="G571" i="3" s="1"/>
  <c r="BB571" i="3"/>
  <c r="BC571" i="3"/>
  <c r="BD571" i="3"/>
  <c r="BE571" i="3"/>
  <c r="BA571" i="3" s="1"/>
  <c r="BF571" i="3"/>
  <c r="BG571" i="3"/>
  <c r="BH571" i="3"/>
  <c r="BI571" i="3"/>
  <c r="BJ571" i="3"/>
  <c r="BK571" i="3"/>
  <c r="BM571" i="3"/>
  <c r="BN571" i="3"/>
  <c r="BL571" i="3" s="1"/>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A574" i="3" s="1"/>
  <c r="BD574" i="3"/>
  <c r="BE574" i="3"/>
  <c r="BF574" i="3"/>
  <c r="BG574" i="3"/>
  <c r="BH574" i="3"/>
  <c r="BI574" i="3"/>
  <c r="BJ574" i="3"/>
  <c r="BK574" i="3"/>
  <c r="BM574" i="3"/>
  <c r="BN574" i="3"/>
  <c r="BO574" i="3"/>
  <c r="BP574" i="3"/>
  <c r="BQ574" i="3"/>
  <c r="BR574" i="3"/>
  <c r="BS574" i="3"/>
  <c r="BT574" i="3"/>
  <c r="H575" i="3"/>
  <c r="AC575" i="3"/>
  <c r="G575" i="3" s="1"/>
  <c r="BB575" i="3"/>
  <c r="BC575" i="3"/>
  <c r="BA575" i="3" s="1"/>
  <c r="BD575" i="3"/>
  <c r="BE575" i="3"/>
  <c r="BF575" i="3"/>
  <c r="BG575" i="3"/>
  <c r="BH575" i="3"/>
  <c r="BI575" i="3"/>
  <c r="BJ575" i="3"/>
  <c r="BK575" i="3"/>
  <c r="BM575" i="3"/>
  <c r="BN575" i="3"/>
  <c r="BO575" i="3"/>
  <c r="BP575" i="3"/>
  <c r="BL575" i="3" s="1"/>
  <c r="BR575" i="3"/>
  <c r="BS575" i="3"/>
  <c r="BT575" i="3"/>
  <c r="H576" i="3"/>
  <c r="G576" i="3" s="1"/>
  <c r="AC576" i="3"/>
  <c r="BB576" i="3"/>
  <c r="BC576" i="3"/>
  <c r="BD576" i="3"/>
  <c r="BE576" i="3"/>
  <c r="BF576" i="3"/>
  <c r="BG576" i="3"/>
  <c r="BH576" i="3"/>
  <c r="BI576" i="3"/>
  <c r="BJ576" i="3"/>
  <c r="BK576" i="3"/>
  <c r="BM576" i="3"/>
  <c r="BL576" i="3" s="1"/>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A578" i="3" s="1"/>
  <c r="BF578" i="3"/>
  <c r="BG578" i="3"/>
  <c r="BH578" i="3"/>
  <c r="BI578" i="3"/>
  <c r="BJ578" i="3"/>
  <c r="BK578" i="3"/>
  <c r="BM578" i="3"/>
  <c r="BN578" i="3"/>
  <c r="BL578" i="3" s="1"/>
  <c r="BO578" i="3"/>
  <c r="BP578" i="3"/>
  <c r="BQ578" i="3"/>
  <c r="BR578" i="3"/>
  <c r="BS578" i="3"/>
  <c r="BT578" i="3"/>
  <c r="H579" i="3"/>
  <c r="AC579" i="3"/>
  <c r="G579" i="3" s="1"/>
  <c r="BB579" i="3"/>
  <c r="BC579" i="3"/>
  <c r="BD579" i="3"/>
  <c r="BE579" i="3"/>
  <c r="BA579" i="3" s="1"/>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L581" i="3" s="1"/>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S42" i="34" s="1"/>
  <c r="J38" i="34"/>
  <c r="W38" i="34"/>
  <c r="D114" i="34"/>
  <c r="F38" i="34"/>
  <c r="D112" i="34"/>
  <c r="E112" i="34" s="1"/>
  <c r="F112" i="34" s="1"/>
  <c r="G112" i="34" s="1"/>
  <c r="H112" i="34" s="1"/>
  <c r="I112" i="34" s="1"/>
  <c r="J112" i="34" s="1"/>
  <c r="K112" i="34" s="1"/>
  <c r="L112" i="34" s="1"/>
  <c r="M112" i="34" s="1"/>
  <c r="F40" i="33"/>
  <c r="J41" i="33"/>
  <c r="D113" i="33"/>
  <c r="F37" i="33"/>
  <c r="S37" i="33" s="1"/>
  <c r="D111" i="33"/>
  <c r="E111" i="33"/>
  <c r="F111" i="33" s="1"/>
  <c r="S515" i="31"/>
  <c r="S516" i="31"/>
  <c r="S517" i="31"/>
  <c r="S518" i="31"/>
  <c r="S519" i="31"/>
  <c r="S520" i="31"/>
  <c r="S521" i="31"/>
  <c r="S522" i="31"/>
  <c r="S523" i="31"/>
  <c r="S524" i="31"/>
  <c r="F41" i="21"/>
  <c r="AA41" i="21" s="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c r="D86" i="40"/>
  <c r="E86" i="40" s="1"/>
  <c r="F86" i="40" s="1"/>
  <c r="G86" i="40"/>
  <c r="D84" i="40"/>
  <c r="E84" i="40" s="1"/>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s="1"/>
  <c r="Q34" i="40"/>
  <c r="Z34" i="40" s="1"/>
  <c r="J34" i="40"/>
  <c r="AC34" i="40"/>
  <c r="H34" i="40"/>
  <c r="AB34" i="40" s="1"/>
  <c r="F34" i="40"/>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D107" i="37"/>
  <c r="E107" i="37"/>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s="1"/>
  <c r="G64" i="36"/>
  <c r="J16" i="36"/>
  <c r="W16" i="36" s="1"/>
  <c r="D62" i="36"/>
  <c r="E62" i="36" s="1"/>
  <c r="F62" i="36" s="1"/>
  <c r="G62" i="36" s="1"/>
  <c r="B59" i="36"/>
  <c r="B57" i="36"/>
  <c r="B55" i="36"/>
  <c r="C51" i="36"/>
  <c r="H9" i="36" s="1"/>
  <c r="AB9" i="36" s="1"/>
  <c r="P37" i="36"/>
  <c r="P36" i="36"/>
  <c r="V35" i="36"/>
  <c r="T35" i="36"/>
  <c r="R35" i="36"/>
  <c r="P35" i="36"/>
  <c r="Q34" i="36"/>
  <c r="Z34" i="36" s="1"/>
  <c r="Q33" i="36"/>
  <c r="Z33" i="36"/>
  <c r="Q32" i="36"/>
  <c r="Z32" i="36" s="1"/>
  <c r="Q31" i="36"/>
  <c r="Z31" i="36" s="1"/>
  <c r="Q30" i="36"/>
  <c r="Z30" i="36" s="1"/>
  <c r="AC30" i="36"/>
  <c r="Q29" i="36"/>
  <c r="Z29" i="36" s="1"/>
  <c r="Q28" i="36"/>
  <c r="Z28" i="36" s="1"/>
  <c r="J28" i="36"/>
  <c r="AC28" i="36" s="1"/>
  <c r="Q27" i="36"/>
  <c r="Z27" i="36"/>
  <c r="Q26" i="36"/>
  <c r="Z26" i="36" s="1"/>
  <c r="H26" i="36"/>
  <c r="AB26" i="36" s="1"/>
  <c r="Q25" i="36"/>
  <c r="Z25" i="36" s="1"/>
  <c r="Q24" i="36"/>
  <c r="Z24" i="36"/>
  <c r="H24" i="36"/>
  <c r="AB24" i="36" s="1"/>
  <c r="Q23" i="36"/>
  <c r="Z23" i="36" s="1"/>
  <c r="J23" i="36"/>
  <c r="AC23" i="36" s="1"/>
  <c r="AB23" i="36"/>
  <c r="Q22" i="36"/>
  <c r="Z22" i="36" s="1"/>
  <c r="J22" i="36"/>
  <c r="AC22" i="36" s="1"/>
  <c r="Q20" i="36"/>
  <c r="Z20" i="36"/>
  <c r="Q16" i="36"/>
  <c r="Z16" i="36" s="1"/>
  <c r="Q14" i="36"/>
  <c r="Z14" i="36" s="1"/>
  <c r="Q13" i="36"/>
  <c r="Z13" i="36" s="1"/>
  <c r="Q12" i="36"/>
  <c r="Z12" i="36"/>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J24" i="35" s="1"/>
  <c r="AC24" i="35" s="1"/>
  <c r="B73" i="35"/>
  <c r="J23" i="35" s="1"/>
  <c r="AC23" i="35" s="1"/>
  <c r="H23" i="35"/>
  <c r="U23" i="35" s="1"/>
  <c r="B57" i="35"/>
  <c r="B61" i="35"/>
  <c r="B59" i="35"/>
  <c r="F12" i="35" s="1"/>
  <c r="B131" i="34"/>
  <c r="B129" i="34"/>
  <c r="J46" i="34" s="1"/>
  <c r="B127" i="34"/>
  <c r="B99" i="34"/>
  <c r="B97" i="34"/>
  <c r="B95" i="34"/>
  <c r="H30" i="34" s="1"/>
  <c r="B93" i="34"/>
  <c r="B75" i="34"/>
  <c r="B73" i="34"/>
  <c r="B71" i="34"/>
  <c r="B130" i="33"/>
  <c r="B128" i="33"/>
  <c r="B126" i="33"/>
  <c r="B98" i="33"/>
  <c r="F31" i="33" s="1"/>
  <c r="B96" i="33"/>
  <c r="B94" i="33"/>
  <c r="B74" i="33"/>
  <c r="B72" i="33"/>
  <c r="H13" i="33" s="1"/>
  <c r="U13" i="33" s="1"/>
  <c r="B70" i="33"/>
  <c r="J12" i="33" s="1"/>
  <c r="D96" i="35"/>
  <c r="E96" i="35" s="1"/>
  <c r="F96" i="35"/>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s="1"/>
  <c r="F72" i="35" s="1"/>
  <c r="G72" i="35" s="1"/>
  <c r="D70" i="35"/>
  <c r="E70" i="35"/>
  <c r="F70" i="35" s="1"/>
  <c r="G70" i="35" s="1"/>
  <c r="D66" i="35"/>
  <c r="E66" i="35" s="1"/>
  <c r="F66" i="35" s="1"/>
  <c r="G66" i="35"/>
  <c r="D64" i="35"/>
  <c r="E64" i="35"/>
  <c r="F64" i="35" s="1"/>
  <c r="G64" i="35" s="1"/>
  <c r="J14" i="35"/>
  <c r="W14" i="35" s="1"/>
  <c r="C53" i="35"/>
  <c r="J9" i="35" s="1"/>
  <c r="P39" i="35"/>
  <c r="P38" i="35"/>
  <c r="V37" i="35"/>
  <c r="T37" i="35"/>
  <c r="R37" i="35"/>
  <c r="P37" i="35"/>
  <c r="Q36" i="35"/>
  <c r="Z36" i="35" s="1"/>
  <c r="Q35" i="35"/>
  <c r="Z35" i="35" s="1"/>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c r="D82" i="34"/>
  <c r="E82" i="34" s="1"/>
  <c r="F82" i="34" s="1"/>
  <c r="G82" i="34"/>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c r="H39" i="34"/>
  <c r="AB39" i="34" s="1"/>
  <c r="Q38" i="34"/>
  <c r="Z38" i="34" s="1"/>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Q11" i="34"/>
  <c r="Z11" i="34" s="1"/>
  <c r="Q10" i="34"/>
  <c r="Z10" i="34"/>
  <c r="F10" i="34"/>
  <c r="AA10" i="34" s="1"/>
  <c r="Q9" i="34"/>
  <c r="Z9" i="34" s="1"/>
  <c r="J9" i="34"/>
  <c r="J8" i="34"/>
  <c r="H8" i="34"/>
  <c r="U8" i="34" s="1"/>
  <c r="F8" i="34"/>
  <c r="D121" i="33"/>
  <c r="E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Q38" i="33"/>
  <c r="Z38" i="33"/>
  <c r="J38" i="33"/>
  <c r="AC38" i="33" s="1"/>
  <c r="H38" i="33"/>
  <c r="AB38" i="33" s="1"/>
  <c r="F38" i="33"/>
  <c r="AA38" i="33" s="1"/>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B126" i="21"/>
  <c r="J44" i="21" s="1"/>
  <c r="AC44" i="21" s="1"/>
  <c r="B98" i="21"/>
  <c r="H31" i="21"/>
  <c r="B96" i="21"/>
  <c r="B94" i="21"/>
  <c r="J29" i="21" s="1"/>
  <c r="AC29" i="21" s="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H5" i="3" s="1"/>
  <c r="BI585" i="3"/>
  <c r="BJ585" i="3"/>
  <c r="BK585" i="3"/>
  <c r="BM585" i="3"/>
  <c r="BN585" i="3"/>
  <c r="BO585" i="3"/>
  <c r="BP585" i="3"/>
  <c r="BQ585" i="3"/>
  <c r="BR585" i="3"/>
  <c r="BS585" i="3"/>
  <c r="BT585" i="3"/>
  <c r="BB586" i="3"/>
  <c r="BA586" i="3" s="1"/>
  <c r="BC586" i="3"/>
  <c r="BD586" i="3"/>
  <c r="BE586" i="3"/>
  <c r="BF586" i="3"/>
  <c r="BG586" i="3"/>
  <c r="BH586" i="3"/>
  <c r="BI586" i="3"/>
  <c r="BJ586" i="3"/>
  <c r="BJ5" i="3" s="1"/>
  <c r="BK586" i="3"/>
  <c r="BM586" i="3"/>
  <c r="BN586" i="3"/>
  <c r="BO586" i="3"/>
  <c r="BP586" i="3"/>
  <c r="BQ586" i="3"/>
  <c r="BR586" i="3"/>
  <c r="BS586" i="3"/>
  <c r="BS5" i="3" s="1"/>
  <c r="BT586" i="3"/>
  <c r="BB587" i="3"/>
  <c r="BC587" i="3"/>
  <c r="BD587" i="3"/>
  <c r="BA587" i="3" s="1"/>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F45" i="39"/>
  <c r="S45" i="39" s="1"/>
  <c r="J45" i="39"/>
  <c r="W45" i="39" s="1"/>
  <c r="F36" i="39"/>
  <c r="S36" i="39" s="1"/>
  <c r="H36" i="39"/>
  <c r="J35" i="39"/>
  <c r="AC35" i="39" s="1"/>
  <c r="F35" i="39"/>
  <c r="AA35" i="39"/>
  <c r="J36" i="39"/>
  <c r="AC36" i="39" s="1"/>
  <c r="U9" i="39"/>
  <c r="W40" i="39"/>
  <c r="W25" i="37"/>
  <c r="U30" i="37"/>
  <c r="W31" i="37"/>
  <c r="F103" i="37"/>
  <c r="G103" i="37" s="1"/>
  <c r="H103" i="37" s="1"/>
  <c r="I103" i="37" s="1"/>
  <c r="J103" i="37" s="1"/>
  <c r="K103" i="37" s="1"/>
  <c r="L103" i="37" s="1"/>
  <c r="M103" i="37" s="1"/>
  <c r="F29" i="36"/>
  <c r="AA29" i="36" s="1"/>
  <c r="F16" i="36"/>
  <c r="AA16" i="36" s="1"/>
  <c r="W28" i="36"/>
  <c r="U31" i="36"/>
  <c r="J33" i="36"/>
  <c r="AC33" i="36" s="1"/>
  <c r="H22" i="35"/>
  <c r="AB22" i="35"/>
  <c r="AC27" i="35"/>
  <c r="W28" i="35"/>
  <c r="U31" i="35"/>
  <c r="W22" i="35"/>
  <c r="S31" i="35"/>
  <c r="U34" i="35"/>
  <c r="F36" i="34"/>
  <c r="J35" i="34"/>
  <c r="U34" i="34"/>
  <c r="F26" i="33"/>
  <c r="AA26" i="33" s="1"/>
  <c r="U35" i="33"/>
  <c r="S40" i="33"/>
  <c r="H39" i="37"/>
  <c r="AB39" i="37" s="1"/>
  <c r="S27" i="35"/>
  <c r="F11" i="40"/>
  <c r="AA11" i="40"/>
  <c r="H11" i="40"/>
  <c r="AB11" i="40"/>
  <c r="W8" i="40"/>
  <c r="AB39" i="40"/>
  <c r="AA9" i="40"/>
  <c r="U9" i="40"/>
  <c r="U38" i="40"/>
  <c r="U34" i="40"/>
  <c r="S38" i="40"/>
  <c r="F42" i="39"/>
  <c r="AA42" i="39" s="1"/>
  <c r="F41" i="39"/>
  <c r="S41" i="39" s="1"/>
  <c r="H40" i="39"/>
  <c r="AB40" i="39" s="1"/>
  <c r="H39" i="39"/>
  <c r="U39" i="39" s="1"/>
  <c r="S38" i="39"/>
  <c r="S34" i="39"/>
  <c r="H34" i="39"/>
  <c r="U34"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c r="AB8" i="39"/>
  <c r="AB12" i="35"/>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S12" i="36" s="1"/>
  <c r="F24" i="36"/>
  <c r="AA24" i="36"/>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H40" i="34"/>
  <c r="U40" i="34" s="1"/>
  <c r="E114" i="34"/>
  <c r="H36" i="34"/>
  <c r="U36" i="34" s="1"/>
  <c r="F37" i="34"/>
  <c r="AA37" i="34" s="1"/>
  <c r="S35" i="34"/>
  <c r="F28" i="34"/>
  <c r="AA28" i="34" s="1"/>
  <c r="F25" i="34"/>
  <c r="S25" i="34" s="1"/>
  <c r="H23" i="34"/>
  <c r="U23" i="34" s="1"/>
  <c r="J23" i="34"/>
  <c r="F19" i="34"/>
  <c r="H17" i="34"/>
  <c r="F15" i="34"/>
  <c r="AA15" i="34" s="1"/>
  <c r="J15" i="34"/>
  <c r="H15" i="34"/>
  <c r="AB15" i="34" s="1"/>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S34" i="37"/>
  <c r="AA34" i="37"/>
  <c r="J43"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S41" i="33"/>
  <c r="H37" i="33"/>
  <c r="AB37" i="33" s="1"/>
  <c r="H15" i="33"/>
  <c r="AB15" i="33" s="1"/>
  <c r="H11" i="33"/>
  <c r="AB11" i="33" s="1"/>
  <c r="F28" i="40"/>
  <c r="AA28" i="40"/>
  <c r="AA42" i="34"/>
  <c r="AC38" i="34"/>
  <c r="J37" i="34"/>
  <c r="AC37" i="34" s="1"/>
  <c r="J11" i="33"/>
  <c r="W11" i="33" s="1"/>
  <c r="S28" i="34"/>
  <c r="M123" i="21"/>
  <c r="J42" i="21"/>
  <c r="AC42" i="21"/>
  <c r="H42" i="21"/>
  <c r="U42" i="21"/>
  <c r="J44" i="34"/>
  <c r="F44" i="34"/>
  <c r="J10" i="35"/>
  <c r="AC10" i="35" s="1"/>
  <c r="J14" i="21"/>
  <c r="W14" i="21"/>
  <c r="F14" i="21"/>
  <c r="S14" i="21" s="1"/>
  <c r="H14" i="21"/>
  <c r="U14" i="21" s="1"/>
  <c r="H28" i="21"/>
  <c r="AB28" i="21" s="1"/>
  <c r="F28" i="21"/>
  <c r="AA28" i="21"/>
  <c r="J28" i="21"/>
  <c r="W28" i="21" s="1"/>
  <c r="H30" i="21"/>
  <c r="U30" i="21" s="1"/>
  <c r="F30" i="21"/>
  <c r="S30" i="21" s="1"/>
  <c r="J30" i="21"/>
  <c r="AC30" i="21"/>
  <c r="H44" i="21"/>
  <c r="U44" i="21" s="1"/>
  <c r="H46" i="21"/>
  <c r="U46" i="21"/>
  <c r="J46" i="21"/>
  <c r="F46" i="21"/>
  <c r="AA46" i="21" s="1"/>
  <c r="E119" i="21"/>
  <c r="F119" i="21" s="1"/>
  <c r="G119" i="21" s="1"/>
  <c r="H119" i="21" s="1"/>
  <c r="I119" i="21" s="1"/>
  <c r="J119" i="21" s="1"/>
  <c r="K119" i="21" s="1"/>
  <c r="L119" i="21" s="1"/>
  <c r="M119" i="21" s="1"/>
  <c r="H26" i="33"/>
  <c r="U26" i="33" s="1"/>
  <c r="H28" i="33"/>
  <c r="U28" i="33" s="1"/>
  <c r="F28" i="33"/>
  <c r="S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J31" i="21"/>
  <c r="AC31" i="21" s="1"/>
  <c r="F31" i="21"/>
  <c r="S31" i="21"/>
  <c r="F27" i="33"/>
  <c r="J13" i="33"/>
  <c r="F13" i="33"/>
  <c r="S13" i="33" s="1"/>
  <c r="J29" i="33"/>
  <c r="H29" i="33"/>
  <c r="U29" i="33"/>
  <c r="F29" i="33"/>
  <c r="S29" i="33" s="1"/>
  <c r="J31" i="33"/>
  <c r="W31" i="33" s="1"/>
  <c r="H31" i="33"/>
  <c r="H45" i="33"/>
  <c r="J45" i="33"/>
  <c r="W45" i="33" s="1"/>
  <c r="F45" i="33"/>
  <c r="AA45" i="33"/>
  <c r="J14" i="34"/>
  <c r="W14" i="34" s="1"/>
  <c r="F14" i="34"/>
  <c r="H14" i="34"/>
  <c r="F30" i="34"/>
  <c r="J30" i="34"/>
  <c r="H32" i="34"/>
  <c r="F32" i="34"/>
  <c r="J32" i="34"/>
  <c r="W32" i="34" s="1"/>
  <c r="H46" i="34"/>
  <c r="U46" i="34" s="1"/>
  <c r="F46" i="34"/>
  <c r="H11" i="35"/>
  <c r="AB11" i="35" s="1"/>
  <c r="J26" i="36"/>
  <c r="W26" i="36" s="1"/>
  <c r="H28" i="36"/>
  <c r="U28" i="36" s="1"/>
  <c r="H32" i="36"/>
  <c r="AB32" i="36" s="1"/>
  <c r="J32" i="36"/>
  <c r="W32" i="36" s="1"/>
  <c r="H11" i="36"/>
  <c r="U11" i="36" s="1"/>
  <c r="H13" i="36"/>
  <c r="AB13" i="36" s="1"/>
  <c r="J13" i="36"/>
  <c r="F13" i="36"/>
  <c r="S13" i="36"/>
  <c r="E89" i="37"/>
  <c r="F89" i="37"/>
  <c r="G89" i="37" s="1"/>
  <c r="H89" i="37" s="1"/>
  <c r="I89" i="37" s="1"/>
  <c r="J89" i="37" s="1"/>
  <c r="K89" i="37" s="1"/>
  <c r="L89" i="37" s="1"/>
  <c r="M89" i="37" s="1"/>
  <c r="J29" i="37"/>
  <c r="W29" i="37" s="1"/>
  <c r="F29" i="37"/>
  <c r="S29" i="37"/>
  <c r="F105" i="37"/>
  <c r="G105" i="37" s="1"/>
  <c r="H36" i="37"/>
  <c r="F107" i="37"/>
  <c r="J37" i="37"/>
  <c r="AC37" i="37" s="1"/>
  <c r="H37" i="37"/>
  <c r="U37" i="37" s="1"/>
  <c r="H40" i="37"/>
  <c r="AC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J29" i="34"/>
  <c r="F29" i="34"/>
  <c r="S29" i="34" s="1"/>
  <c r="H29" i="34"/>
  <c r="AB29" i="34" s="1"/>
  <c r="J31" i="34"/>
  <c r="AC31" i="34"/>
  <c r="H31" i="34"/>
  <c r="F31" i="34"/>
  <c r="S31" i="34" s="1"/>
  <c r="H45" i="34"/>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H25" i="36"/>
  <c r="AB25" i="36"/>
  <c r="H13" i="37"/>
  <c r="AB13" i="37" s="1"/>
  <c r="F13" i="37"/>
  <c r="J13" i="37"/>
  <c r="W13" i="37" s="1"/>
  <c r="H38" i="37"/>
  <c r="AB38" i="37"/>
  <c r="J38" i="37"/>
  <c r="AC38" i="37" s="1"/>
  <c r="F38" i="37"/>
  <c r="S38" i="37" s="1"/>
  <c r="F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F27" i="37"/>
  <c r="F13" i="39"/>
  <c r="J13" i="39"/>
  <c r="W13" i="39" s="1"/>
  <c r="H13" i="39"/>
  <c r="H14" i="40"/>
  <c r="AB14" i="40"/>
  <c r="J14" i="40"/>
  <c r="W14" i="40" s="1"/>
  <c r="F14" i="40"/>
  <c r="AA14" i="40" s="1"/>
  <c r="J14" i="37"/>
  <c r="J27" i="37"/>
  <c r="AC27" i="37"/>
  <c r="AA44" i="33"/>
  <c r="U46" i="33"/>
  <c r="AA14" i="33"/>
  <c r="J36" i="37"/>
  <c r="AC36" i="37" s="1"/>
  <c r="J10" i="36"/>
  <c r="AC10" i="36" s="1"/>
  <c r="W31" i="34"/>
  <c r="AB46" i="34"/>
  <c r="S45" i="33"/>
  <c r="AC28" i="21"/>
  <c r="F17" i="21"/>
  <c r="AA17" i="21" s="1"/>
  <c r="H17" i="21"/>
  <c r="AB17" i="21" s="1"/>
  <c r="F15" i="21"/>
  <c r="S15" i="21" s="1"/>
  <c r="J41" i="39"/>
  <c r="W41" i="39" s="1"/>
  <c r="S35" i="39"/>
  <c r="G540" i="3"/>
  <c r="G531" i="3"/>
  <c r="G527" i="3"/>
  <c r="G523" i="3"/>
  <c r="G518" i="3"/>
  <c r="G510" i="3"/>
  <c r="G504" i="3"/>
  <c r="G496" i="3"/>
  <c r="G584" i="3"/>
  <c r="G580" i="3"/>
  <c r="G572" i="3"/>
  <c r="G564" i="3"/>
  <c r="G560" i="3"/>
  <c r="G554" i="3"/>
  <c r="BL584" i="3"/>
  <c r="AZ584" i="3" s="1"/>
  <c r="BL564" i="3"/>
  <c r="BL560" i="3"/>
  <c r="AZ560" i="3" s="1"/>
  <c r="BL554" i="3"/>
  <c r="BL530" i="3"/>
  <c r="BL494" i="3"/>
  <c r="BL582" i="3"/>
  <c r="BL562" i="3"/>
  <c r="BL556" i="3"/>
  <c r="BL552" i="3"/>
  <c r="G533" i="3"/>
  <c r="G525" i="3"/>
  <c r="BL510" i="3"/>
  <c r="BA584" i="3"/>
  <c r="BA582" i="3"/>
  <c r="AZ582" i="3" s="1"/>
  <c r="BA566" i="3"/>
  <c r="BA564" i="3"/>
  <c r="AZ564" i="3" s="1"/>
  <c r="BA562" i="3"/>
  <c r="BA560" i="3"/>
  <c r="BA558" i="3"/>
  <c r="AZ558" i="3" s="1"/>
  <c r="BA556" i="3"/>
  <c r="AZ556" i="3" s="1"/>
  <c r="BA554" i="3"/>
  <c r="AZ554" i="3" s="1"/>
  <c r="BA552" i="3"/>
  <c r="AZ552" i="3" s="1"/>
  <c r="BA548" i="3"/>
  <c r="BA528" i="3"/>
  <c r="BA512" i="3"/>
  <c r="AZ512" i="3" s="1"/>
  <c r="BA502" i="3"/>
  <c r="BA583" i="3"/>
  <c r="BA567" i="3"/>
  <c r="BA565" i="3"/>
  <c r="BA563" i="3"/>
  <c r="BA561" i="3"/>
  <c r="BA559" i="3"/>
  <c r="AZ559" i="3" s="1"/>
  <c r="BA555" i="3"/>
  <c r="BA553" i="3"/>
  <c r="BA543" i="3"/>
  <c r="BA527" i="3"/>
  <c r="BA507" i="3"/>
  <c r="G583" i="3"/>
  <c r="G581" i="3"/>
  <c r="G573" i="3"/>
  <c r="G565" i="3"/>
  <c r="G563" i="3"/>
  <c r="G561" i="3"/>
  <c r="BL558" i="3"/>
  <c r="BA557" i="3"/>
  <c r="AC557" i="3"/>
  <c r="G557" i="3" s="1"/>
  <c r="BQ557" i="3"/>
  <c r="BL557" i="3" s="1"/>
  <c r="BQ583" i="3"/>
  <c r="BL583" i="3" s="1"/>
  <c r="BQ581" i="3"/>
  <c r="BQ579" i="3"/>
  <c r="BQ577" i="3"/>
  <c r="BQ575" i="3"/>
  <c r="BQ573" i="3"/>
  <c r="BQ571" i="3"/>
  <c r="BQ569" i="3"/>
  <c r="BQ567" i="3"/>
  <c r="BQ565" i="3"/>
  <c r="BL565" i="3" s="1"/>
  <c r="AZ565" i="3"/>
  <c r="BQ563" i="3"/>
  <c r="BL563" i="3"/>
  <c r="BQ561" i="3"/>
  <c r="BL561" i="3"/>
  <c r="AZ561" i="3" s="1"/>
  <c r="BQ559" i="3"/>
  <c r="BL559" i="3" s="1"/>
  <c r="G559" i="3"/>
  <c r="G555" i="3"/>
  <c r="G553" i="3"/>
  <c r="G549" i="3"/>
  <c r="G547" i="3"/>
  <c r="G541" i="3"/>
  <c r="G539" i="3"/>
  <c r="BQ555" i="3"/>
  <c r="BL555" i="3"/>
  <c r="BQ553" i="3"/>
  <c r="BL553" i="3" s="1"/>
  <c r="AZ553" i="3"/>
  <c r="BQ551" i="3"/>
  <c r="BL551" i="3"/>
  <c r="BQ549" i="3"/>
  <c r="BQ547" i="3"/>
  <c r="BQ545" i="3"/>
  <c r="BL545" i="3"/>
  <c r="BQ543" i="3"/>
  <c r="BQ541" i="3"/>
  <c r="BL541" i="3"/>
  <c r="BQ539" i="3"/>
  <c r="BQ537" i="3"/>
  <c r="BQ535" i="3"/>
  <c r="BQ533" i="3"/>
  <c r="BQ531" i="3"/>
  <c r="BQ529" i="3"/>
  <c r="BL529" i="3"/>
  <c r="BQ527" i="3"/>
  <c r="BQ525" i="3"/>
  <c r="BQ523" i="3"/>
  <c r="BL523" i="3" s="1"/>
  <c r="AZ523" i="3" s="1"/>
  <c r="AC521" i="3"/>
  <c r="BQ521" i="3"/>
  <c r="BL520" i="3"/>
  <c r="G519" i="3"/>
  <c r="G517" i="3"/>
  <c r="G515" i="3"/>
  <c r="G511" i="3"/>
  <c r="BQ519" i="3"/>
  <c r="BQ517" i="3"/>
  <c r="BQ515" i="3"/>
  <c r="BQ513" i="3"/>
  <c r="BL513" i="3"/>
  <c r="BQ511" i="3"/>
  <c r="AC509" i="3"/>
  <c r="BQ509" i="3"/>
  <c r="G505" i="3"/>
  <c r="G503" i="3"/>
  <c r="G497" i="3"/>
  <c r="G495" i="3"/>
  <c r="BQ507" i="3"/>
  <c r="BQ505" i="3"/>
  <c r="BQ503" i="3"/>
  <c r="BL503" i="3" s="1"/>
  <c r="BQ501" i="3"/>
  <c r="BQ499" i="3"/>
  <c r="BL499" i="3"/>
  <c r="BQ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E125" i="33"/>
  <c r="F125" i="33" s="1"/>
  <c r="G125" i="33" s="1"/>
  <c r="H43" i="33"/>
  <c r="H17" i="37"/>
  <c r="U17" i="37" s="1"/>
  <c r="AB27" i="37"/>
  <c r="AA36" i="39"/>
  <c r="F42" i="33"/>
  <c r="AA42" i="33" s="1"/>
  <c r="H28" i="34"/>
  <c r="AB28" i="34" s="1"/>
  <c r="F14" i="36"/>
  <c r="F22" i="36"/>
  <c r="S22" i="36" s="1"/>
  <c r="F26" i="36"/>
  <c r="S26" i="36" s="1"/>
  <c r="H27" i="34"/>
  <c r="AB27" i="34" s="1"/>
  <c r="H35" i="34"/>
  <c r="F41" i="34"/>
  <c r="H41" i="34"/>
  <c r="U41" i="34" s="1"/>
  <c r="J41" i="34"/>
  <c r="AC41" i="34" s="1"/>
  <c r="F10" i="35"/>
  <c r="S10" i="35" s="1"/>
  <c r="F24" i="35"/>
  <c r="AA24" i="35"/>
  <c r="H24" i="35"/>
  <c r="AB24" i="35"/>
  <c r="H23" i="37"/>
  <c r="AB23" i="37"/>
  <c r="J32" i="37"/>
  <c r="AC32" i="37"/>
  <c r="F36" i="37"/>
  <c r="AA36" i="37"/>
  <c r="F37" i="37"/>
  <c r="AA37" i="37"/>
  <c r="F31" i="40"/>
  <c r="AA31" i="40"/>
  <c r="H31" i="40"/>
  <c r="U31" i="40"/>
  <c r="J36" i="40"/>
  <c r="W36" i="40"/>
  <c r="H19" i="37"/>
  <c r="AB19" i="37" s="1"/>
  <c r="H42" i="33"/>
  <c r="AB42" i="33" s="1"/>
  <c r="J43" i="33"/>
  <c r="AC43" i="33" s="1"/>
  <c r="S28" i="31"/>
  <c r="S27" i="31"/>
  <c r="S26" i="31"/>
  <c r="U14" i="40"/>
  <c r="W23" i="35"/>
  <c r="U39" i="37"/>
  <c r="U26" i="37"/>
  <c r="W47" i="34"/>
  <c r="AC36" i="34"/>
  <c r="AC31" i="33"/>
  <c r="AC45" i="33"/>
  <c r="W44" i="33"/>
  <c r="U19" i="21"/>
  <c r="AB38" i="21"/>
  <c r="F43" i="33"/>
  <c r="AA43" i="33" s="1"/>
  <c r="W15" i="34"/>
  <c r="AC15" i="34"/>
  <c r="W16" i="35"/>
  <c r="G107" i="37"/>
  <c r="H107" i="37"/>
  <c r="I107" i="37" s="1"/>
  <c r="J107" i="37" s="1"/>
  <c r="K107" i="37" s="1"/>
  <c r="L107" i="37" s="1"/>
  <c r="M107" i="37" s="1"/>
  <c r="H37" i="21"/>
  <c r="U37" i="21" s="1"/>
  <c r="S42" i="21"/>
  <c r="H19" i="34"/>
  <c r="AB19" i="34" s="1"/>
  <c r="F36" i="35"/>
  <c r="J9" i="37"/>
  <c r="W9" i="37" s="1"/>
  <c r="H9" i="37"/>
  <c r="U9" i="37" s="1"/>
  <c r="F9" i="37"/>
  <c r="S9" i="37" s="1"/>
  <c r="J12" i="37"/>
  <c r="H12" i="37"/>
  <c r="AB12" i="37" s="1"/>
  <c r="F12" i="37"/>
  <c r="S12" i="37" s="1"/>
  <c r="E71" i="37"/>
  <c r="F71" i="37" s="1"/>
  <c r="G71" i="37" s="1"/>
  <c r="F15" i="37"/>
  <c r="E94" i="37"/>
  <c r="F31" i="37"/>
  <c r="S31" i="37" s="1"/>
  <c r="F12" i="39"/>
  <c r="J42" i="39"/>
  <c r="AC42" i="39" s="1"/>
  <c r="H21" i="40"/>
  <c r="AB21" i="40" s="1"/>
  <c r="F94" i="37"/>
  <c r="G94" i="37" s="1"/>
  <c r="H94" i="37" s="1"/>
  <c r="I94" i="37" s="1"/>
  <c r="J94" i="37" s="1"/>
  <c r="K94" i="37" s="1"/>
  <c r="L94" i="37" s="1"/>
  <c r="M94" i="37" s="1"/>
  <c r="H31" i="37"/>
  <c r="U31" i="37"/>
  <c r="J15" i="37"/>
  <c r="AT6" i="3"/>
  <c r="H5"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S42" i="39"/>
  <c r="AA41" i="39"/>
  <c r="W9" i="39"/>
  <c r="W8" i="39"/>
  <c r="J19" i="40"/>
  <c r="AC19" i="40" s="1"/>
  <c r="J50" i="40"/>
  <c r="H103" i="9"/>
  <c r="B16" i="53"/>
  <c r="B33" i="72" s="1"/>
  <c r="C7" i="37"/>
  <c r="C52" i="37" s="1"/>
  <c r="D52" i="37" s="1"/>
  <c r="C7" i="34"/>
  <c r="C7" i="36"/>
  <c r="C46" i="36" s="1"/>
  <c r="D46" i="36" s="1"/>
  <c r="E46" i="36" s="1"/>
  <c r="F46" i="36" s="1"/>
  <c r="G46" i="36" s="1"/>
  <c r="H46" i="36" s="1"/>
  <c r="I46" i="36" s="1"/>
  <c r="W35" i="40"/>
  <c r="J11" i="39"/>
  <c r="F11" i="39"/>
  <c r="S11" i="39" s="1"/>
  <c r="AA11" i="39"/>
  <c r="G4" i="4"/>
  <c r="I4" i="4"/>
  <c r="A2" i="9"/>
  <c r="F61" i="43"/>
  <c r="H64" i="43" s="1"/>
  <c r="BL549"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AZ327" i="3" s="1"/>
  <c r="G335" i="3"/>
  <c r="BL336" i="3"/>
  <c r="G337" i="3"/>
  <c r="BL338" i="3"/>
  <c r="BA340" i="3"/>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AZ378" i="3" s="1"/>
  <c r="G379" i="3"/>
  <c r="BA380" i="3"/>
  <c r="G388" i="3"/>
  <c r="BL389" i="3"/>
  <c r="G390" i="3"/>
  <c r="BL391" i="3"/>
  <c r="BA393" i="3"/>
  <c r="BA394" i="3"/>
  <c r="AZ394" i="3" s="1"/>
  <c r="BL394" i="3"/>
  <c r="G113" i="3"/>
  <c r="BA115" i="3"/>
  <c r="BL116" i="3"/>
  <c r="G117" i="3"/>
  <c r="BA119" i="3"/>
  <c r="BL120" i="3"/>
  <c r="G121" i="3"/>
  <c r="BA123" i="3"/>
  <c r="BL124" i="3"/>
  <c r="AZ124" i="3" s="1"/>
  <c r="G125" i="3"/>
  <c r="BA127" i="3"/>
  <c r="BL128" i="3"/>
  <c r="G129" i="3"/>
  <c r="BA131" i="3"/>
  <c r="BL132" i="3"/>
  <c r="G133" i="3"/>
  <c r="BA135" i="3"/>
  <c r="AZ135" i="3" s="1"/>
  <c r="BL136" i="3"/>
  <c r="G137" i="3"/>
  <c r="BA139" i="3"/>
  <c r="AZ139" i="3" s="1"/>
  <c r="BL140" i="3"/>
  <c r="G141" i="3"/>
  <c r="BA143" i="3"/>
  <c r="AZ143" i="3" s="1"/>
  <c r="BL144" i="3"/>
  <c r="G145" i="3"/>
  <c r="BA147" i="3"/>
  <c r="BL148" i="3"/>
  <c r="AZ148" i="3" s="1"/>
  <c r="G149" i="3"/>
  <c r="BA151" i="3"/>
  <c r="BL152" i="3"/>
  <c r="AZ152" i="3" s="1"/>
  <c r="G153" i="3"/>
  <c r="BA155" i="3"/>
  <c r="BL156" i="3"/>
  <c r="AZ156" i="3"/>
  <c r="G157" i="3"/>
  <c r="BA159" i="3"/>
  <c r="BL160" i="3"/>
  <c r="AZ160" i="3" s="1"/>
  <c r="G161" i="3"/>
  <c r="BA163" i="3"/>
  <c r="AZ163" i="3"/>
  <c r="BL164" i="3"/>
  <c r="G165" i="3"/>
  <c r="BA167" i="3"/>
  <c r="BL168" i="3"/>
  <c r="AZ168" i="3" s="1"/>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c r="BL196" i="3"/>
  <c r="G197" i="3"/>
  <c r="BA199" i="3"/>
  <c r="BL200" i="3"/>
  <c r="G201" i="3"/>
  <c r="BA203" i="3"/>
  <c r="BL204"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AZ344" i="3"/>
  <c r="BA346" i="3"/>
  <c r="BA347" i="3"/>
  <c r="BL347" i="3"/>
  <c r="AZ347" i="3" s="1"/>
  <c r="G350" i="3"/>
  <c r="BA351" i="3"/>
  <c r="BL351" i="3"/>
  <c r="AZ351" i="3" s="1"/>
  <c r="G352" i="3"/>
  <c r="G354" i="3"/>
  <c r="BA355" i="3"/>
  <c r="AZ355" i="3"/>
  <c r="BA356" i="3"/>
  <c r="BL356" i="3"/>
  <c r="AZ356" i="3" s="1"/>
  <c r="G357" i="3"/>
  <c r="G360" i="3"/>
  <c r="BL361" i="3"/>
  <c r="BA363" i="3"/>
  <c r="BA364" i="3"/>
  <c r="BL364" i="3"/>
  <c r="G365" i="3"/>
  <c r="G368" i="3"/>
  <c r="BL369" i="3"/>
  <c r="BA371" i="3"/>
  <c r="BA372" i="3"/>
  <c r="BL372" i="3"/>
  <c r="G373" i="3"/>
  <c r="G376" i="3"/>
  <c r="BL377" i="3"/>
  <c r="BL379" i="3"/>
  <c r="BA381" i="3"/>
  <c r="AZ381" i="3"/>
  <c r="BA382" i="3"/>
  <c r="BL382" i="3"/>
  <c r="G383" i="3"/>
  <c r="G386" i="3"/>
  <c r="BL387" i="3"/>
  <c r="BA389" i="3"/>
  <c r="AZ389" i="3" s="1"/>
  <c r="BA390" i="3"/>
  <c r="BL390" i="3"/>
  <c r="AZ390" i="3" s="1"/>
  <c r="G391" i="3"/>
  <c r="G394" i="3"/>
  <c r="AZ154" i="3"/>
  <c r="AZ162" i="3"/>
  <c r="AZ194" i="3"/>
  <c r="BA16" i="3"/>
  <c r="BL303" i="3"/>
  <c r="G304" i="3"/>
  <c r="BA306" i="3"/>
  <c r="BL307" i="3"/>
  <c r="G308" i="3"/>
  <c r="BA310" i="3"/>
  <c r="AZ310" i="3" s="1"/>
  <c r="BL311" i="3"/>
  <c r="AZ311" i="3" s="1"/>
  <c r="G312" i="3"/>
  <c r="BA314" i="3"/>
  <c r="BL315" i="3"/>
  <c r="AZ315" i="3"/>
  <c r="G316" i="3"/>
  <c r="BA318" i="3"/>
  <c r="BL319" i="3"/>
  <c r="AZ319" i="3" s="1"/>
  <c r="G320" i="3"/>
  <c r="BA322" i="3"/>
  <c r="AZ322" i="3" s="1"/>
  <c r="BL323" i="3"/>
  <c r="G324" i="3"/>
  <c r="BA326" i="3"/>
  <c r="AZ326" i="3"/>
  <c r="BL327" i="3"/>
  <c r="G328" i="3"/>
  <c r="BA330" i="3"/>
  <c r="BL331" i="3"/>
  <c r="AZ331" i="3" s="1"/>
  <c r="G332" i="3"/>
  <c r="BA334" i="3"/>
  <c r="AZ334" i="3" s="1"/>
  <c r="BL335" i="3"/>
  <c r="AZ335" i="3" s="1"/>
  <c r="G336" i="3"/>
  <c r="BA338" i="3"/>
  <c r="BL339" i="3"/>
  <c r="AZ339" i="3"/>
  <c r="G340" i="3"/>
  <c r="BL343" i="3"/>
  <c r="G344" i="3"/>
  <c r="G348" i="3"/>
  <c r="G355" i="3"/>
  <c r="AZ214"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69" i="3"/>
  <c r="BA379" i="3"/>
  <c r="AZ379" i="3" s="1"/>
  <c r="BL380" i="3"/>
  <c r="G381" i="3"/>
  <c r="BA383" i="3"/>
  <c r="AZ383" i="3" s="1"/>
  <c r="BL384" i="3"/>
  <c r="G385" i="3"/>
  <c r="BA387" i="3"/>
  <c r="BL388" i="3"/>
  <c r="G389" i="3"/>
  <c r="BA391" i="3"/>
  <c r="BL392" i="3"/>
  <c r="AZ392" i="3" s="1"/>
  <c r="G393" i="3"/>
  <c r="AZ291" i="3"/>
  <c r="BO5" i="3"/>
  <c r="BF5" i="3"/>
  <c r="AZ341" i="3"/>
  <c r="AC5" i="3"/>
  <c r="G548" i="3"/>
  <c r="G538" i="3"/>
  <c r="G520" i="3"/>
  <c r="G502" i="3"/>
  <c r="BP5" i="3"/>
  <c r="BK5" i="3"/>
  <c r="BI5" i="3"/>
  <c r="BG5" i="3"/>
  <c r="BC5" i="3"/>
  <c r="G17" i="3"/>
  <c r="BA17" i="3"/>
  <c r="AZ17" i="3" s="1"/>
  <c r="AZ350" i="3"/>
  <c r="BA15" i="3"/>
  <c r="BR5" i="3"/>
  <c r="AZ380" i="3"/>
  <c r="G509" i="3"/>
  <c r="BL493" i="3"/>
  <c r="U36" i="40"/>
  <c r="F83" i="43"/>
  <c r="H85" i="43" s="1"/>
  <c r="F50" i="43"/>
  <c r="H54" i="43" s="1"/>
  <c r="F72" i="43"/>
  <c r="H75" i="43" s="1"/>
  <c r="U17" i="39"/>
  <c r="U43" i="21"/>
  <c r="U35" i="21"/>
  <c r="AC35" i="21"/>
  <c r="AZ563" i="3"/>
  <c r="W37" i="37"/>
  <c r="W44" i="34"/>
  <c r="AC44" i="34"/>
  <c r="U13" i="37"/>
  <c r="U12" i="40"/>
  <c r="AA12" i="40"/>
  <c r="J37" i="33"/>
  <c r="W37" i="33" s="1"/>
  <c r="F106" i="33"/>
  <c r="G106" i="33" s="1"/>
  <c r="H106" i="33" s="1"/>
  <c r="I106" i="33" s="1"/>
  <c r="J106" i="33" s="1"/>
  <c r="K106" i="33" s="1"/>
  <c r="L106" i="33" s="1"/>
  <c r="M106" i="33" s="1"/>
  <c r="J34" i="33"/>
  <c r="W34" i="33" s="1"/>
  <c r="F33" i="34"/>
  <c r="S33" i="34" s="1"/>
  <c r="H20" i="36"/>
  <c r="U20" i="36" s="1"/>
  <c r="J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J27" i="40"/>
  <c r="AC27" i="40"/>
  <c r="F27" i="40"/>
  <c r="J30" i="40"/>
  <c r="AC30" i="40"/>
  <c r="F30" i="40"/>
  <c r="AC21" i="40"/>
  <c r="S31" i="39"/>
  <c r="S11" i="40"/>
  <c r="E98" i="40"/>
  <c r="F98" i="40" s="1"/>
  <c r="G98" i="40" s="1"/>
  <c r="H98" i="40" s="1"/>
  <c r="I98" i="40" s="1"/>
  <c r="J98" i="40" s="1"/>
  <c r="K98" i="40" s="1"/>
  <c r="L98" i="40" s="1"/>
  <c r="M98" i="40" s="1"/>
  <c r="F10" i="33"/>
  <c r="S10" i="33" s="1"/>
  <c r="F34" i="33"/>
  <c r="S34" i="33" s="1"/>
  <c r="H34" i="33"/>
  <c r="F35" i="33"/>
  <c r="S35" i="33" s="1"/>
  <c r="F39" i="34"/>
  <c r="AA39" i="34" s="1"/>
  <c r="J39" i="34"/>
  <c r="W39" i="34" s="1"/>
  <c r="F40" i="34"/>
  <c r="F43" i="34"/>
  <c r="AA43" i="34" s="1"/>
  <c r="H44" i="34"/>
  <c r="U44" i="34" s="1"/>
  <c r="AC38" i="39"/>
  <c r="F39" i="39"/>
  <c r="J39" i="39"/>
  <c r="AC39" i="39" s="1"/>
  <c r="E96" i="39"/>
  <c r="F96" i="39" s="1"/>
  <c r="G96" i="39" s="1"/>
  <c r="C40" i="11"/>
  <c r="AZ271" i="3"/>
  <c r="AZ72" i="3"/>
  <c r="AZ86" i="3"/>
  <c r="AZ94" i="3"/>
  <c r="F23" i="39"/>
  <c r="AA23" i="39"/>
  <c r="H27" i="36"/>
  <c r="U27" i="36" s="1"/>
  <c r="F27" i="36"/>
  <c r="AA27" i="36" s="1"/>
  <c r="H33" i="34"/>
  <c r="U33" i="34"/>
  <c r="F32" i="37"/>
  <c r="AA32" i="37"/>
  <c r="F20" i="36"/>
  <c r="AA20" i="36" s="1"/>
  <c r="J33" i="34"/>
  <c r="H23" i="39"/>
  <c r="U23" i="39" s="1"/>
  <c r="D48" i="9"/>
  <c r="M52" i="9" s="1"/>
  <c r="K9" i="1"/>
  <c r="M9" i="1" s="1"/>
  <c r="D93" i="9"/>
  <c r="K6" i="1"/>
  <c r="AP6" i="1" s="1"/>
  <c r="W26" i="33"/>
  <c r="W27" i="34"/>
  <c r="AC27" i="34"/>
  <c r="AB33" i="36"/>
  <c r="U33" i="36"/>
  <c r="AC12" i="39"/>
  <c r="W12" i="39"/>
  <c r="AC39" i="40"/>
  <c r="W39" i="40"/>
  <c r="W12" i="33"/>
  <c r="AC12" i="33"/>
  <c r="AA32" i="36"/>
  <c r="S32" i="36"/>
  <c r="AZ473" i="3"/>
  <c r="BL14" i="3"/>
  <c r="U30" i="33"/>
  <c r="AC13" i="34"/>
  <c r="AA47" i="34"/>
  <c r="S19" i="39"/>
  <c r="F12" i="33"/>
  <c r="H12" i="39"/>
  <c r="F39" i="40"/>
  <c r="BA14" i="3"/>
  <c r="AZ14" i="3" s="1"/>
  <c r="AZ254" i="3"/>
  <c r="AZ297" i="3"/>
  <c r="AZ149" i="3"/>
  <c r="AZ181" i="3"/>
  <c r="B12" i="1"/>
  <c r="E12" i="1" s="1"/>
  <c r="B10" i="1"/>
  <c r="E10" i="1" s="1"/>
  <c r="K12" i="1"/>
  <c r="M12" i="1" s="1"/>
  <c r="S13" i="1"/>
  <c r="AR13" i="1" s="1"/>
  <c r="R13" i="1"/>
  <c r="J51" i="67"/>
  <c r="C42" i="1"/>
  <c r="C24" i="12" s="1"/>
  <c r="B41" i="1"/>
  <c r="F48" i="9" s="1"/>
  <c r="O52" i="9" s="1"/>
  <c r="AB37" i="40"/>
  <c r="S35" i="40"/>
  <c r="U35" i="40"/>
  <c r="AC36" i="40"/>
  <c r="W38" i="40"/>
  <c r="S17" i="40"/>
  <c r="S23" i="40"/>
  <c r="AC17" i="40"/>
  <c r="AC15" i="40"/>
  <c r="AA19" i="40"/>
  <c r="S28" i="40"/>
  <c r="U21" i="40"/>
  <c r="AB19" i="40"/>
  <c r="U37" i="39"/>
  <c r="S37" i="39"/>
  <c r="U35" i="39"/>
  <c r="F32" i="39"/>
  <c r="F106" i="39"/>
  <c r="G106" i="39" s="1"/>
  <c r="H106" i="39" s="1"/>
  <c r="I106" i="39" s="1"/>
  <c r="J106" i="39" s="1"/>
  <c r="K106" i="39" s="1"/>
  <c r="L106" i="39" s="1"/>
  <c r="M106" i="39" s="1"/>
  <c r="U25" i="39"/>
  <c r="AB27" i="39"/>
  <c r="U31" i="39"/>
  <c r="J21" i="39"/>
  <c r="W21" i="39" s="1"/>
  <c r="F21" i="39"/>
  <c r="G94" i="39"/>
  <c r="H21" i="39"/>
  <c r="U19" i="39"/>
  <c r="S17" i="39"/>
  <c r="S15" i="39"/>
  <c r="S9" i="39"/>
  <c r="U14" i="39"/>
  <c r="AC13" i="39"/>
  <c r="U13" i="36"/>
  <c r="U26" i="36"/>
  <c r="S33" i="36"/>
  <c r="AA26" i="36"/>
  <c r="AC26" i="36"/>
  <c r="AA22" i="36"/>
  <c r="W14" i="36"/>
  <c r="AB14" i="36"/>
  <c r="U22" i="36"/>
  <c r="S16" i="36"/>
  <c r="S24" i="36"/>
  <c r="U24" i="36"/>
  <c r="U23" i="36"/>
  <c r="AB20" i="36"/>
  <c r="U16" i="36"/>
  <c r="AA25" i="35"/>
  <c r="S23" i="35"/>
  <c r="W24" i="35"/>
  <c r="AB13" i="35"/>
  <c r="U29" i="35"/>
  <c r="U28" i="35"/>
  <c r="AB27" i="35"/>
  <c r="U36" i="35"/>
  <c r="U32" i="35"/>
  <c r="AA33" i="35"/>
  <c r="AC30" i="35"/>
  <c r="S32" i="35"/>
  <c r="S28" i="35"/>
  <c r="AB16" i="35"/>
  <c r="U22" i="35"/>
  <c r="S20" i="35"/>
  <c r="AC20" i="35"/>
  <c r="S22" i="35"/>
  <c r="U14" i="35"/>
  <c r="AC9" i="35"/>
  <c r="W9" i="35"/>
  <c r="AC12" i="35"/>
  <c r="W13" i="35"/>
  <c r="F9" i="35"/>
  <c r="S9" i="35" s="1"/>
  <c r="H9" i="35"/>
  <c r="U9" i="35" s="1"/>
  <c r="S25" i="37"/>
  <c r="W27" i="37"/>
  <c r="AC29" i="37"/>
  <c r="U29" i="37"/>
  <c r="S32" i="37"/>
  <c r="AB31" i="37"/>
  <c r="W30" i="37"/>
  <c r="S36" i="37"/>
  <c r="AA38" i="37"/>
  <c r="U32" i="37"/>
  <c r="W38" i="37"/>
  <c r="AC35" i="37"/>
  <c r="S30" i="37"/>
  <c r="S37" i="37"/>
  <c r="J17" i="37"/>
  <c r="W17" i="37"/>
  <c r="G73" i="37"/>
  <c r="F17" i="37"/>
  <c r="AA17" i="37" s="1"/>
  <c r="AB17" i="37"/>
  <c r="F75" i="37"/>
  <c r="F19" i="37"/>
  <c r="F79" i="37"/>
  <c r="F23" i="37"/>
  <c r="S23" i="37" s="1"/>
  <c r="U23" i="37"/>
  <c r="U15" i="37"/>
  <c r="AC13" i="37"/>
  <c r="H10" i="37"/>
  <c r="AB10" i="37" s="1"/>
  <c r="F63" i="37"/>
  <c r="G63" i="37" s="1"/>
  <c r="H63" i="37" s="1"/>
  <c r="I63" i="37" s="1"/>
  <c r="F11" i="37"/>
  <c r="S11" i="37" s="1"/>
  <c r="W25" i="34"/>
  <c r="AB8" i="34"/>
  <c r="AA33" i="34"/>
  <c r="U43" i="34"/>
  <c r="AC39" i="34"/>
  <c r="W41" i="34"/>
  <c r="AC42" i="34"/>
  <c r="U39" i="34"/>
  <c r="S43" i="34"/>
  <c r="AB41" i="34"/>
  <c r="AA45" i="34"/>
  <c r="AA25" i="34"/>
  <c r="U28" i="34"/>
  <c r="S17" i="34"/>
  <c r="AA29" i="34"/>
  <c r="U27" i="34"/>
  <c r="S23" i="34"/>
  <c r="U15" i="34"/>
  <c r="H10" i="34"/>
  <c r="AB10" i="34" s="1"/>
  <c r="F11" i="34"/>
  <c r="S11" i="34" s="1"/>
  <c r="F70" i="34"/>
  <c r="G70" i="34" s="1"/>
  <c r="H70" i="34" s="1"/>
  <c r="I70" i="34" s="1"/>
  <c r="J70" i="34" s="1"/>
  <c r="K70" i="34" s="1"/>
  <c r="L70" i="34" s="1"/>
  <c r="M70" i="34" s="1"/>
  <c r="AA35" i="33"/>
  <c r="AA29" i="33"/>
  <c r="AB29" i="33"/>
  <c r="H41" i="33"/>
  <c r="U41" i="33" s="1"/>
  <c r="F121" i="33"/>
  <c r="G121" i="33" s="1"/>
  <c r="H121" i="33" s="1"/>
  <c r="I121" i="33" s="1"/>
  <c r="J121" i="33" s="1"/>
  <c r="K121" i="33" s="1"/>
  <c r="L121" i="33" s="1"/>
  <c r="M121" i="33" s="1"/>
  <c r="F36" i="33"/>
  <c r="G111" i="33"/>
  <c r="H36" i="33" s="1"/>
  <c r="U36" i="33" s="1"/>
  <c r="G108" i="33"/>
  <c r="H108" i="33" s="1"/>
  <c r="I108" i="33" s="1"/>
  <c r="J108" i="33" s="1"/>
  <c r="K108" i="33" s="1"/>
  <c r="L108" i="33" s="1"/>
  <c r="M108" i="33" s="1"/>
  <c r="J35" i="33"/>
  <c r="AA37" i="33"/>
  <c r="F101" i="33"/>
  <c r="G101" i="33" s="1"/>
  <c r="H101" i="33" s="1"/>
  <c r="I101" i="33" s="1"/>
  <c r="J101" i="33" s="1"/>
  <c r="K101" i="33" s="1"/>
  <c r="L101" i="33" s="1"/>
  <c r="M101" i="33" s="1"/>
  <c r="J32" i="33"/>
  <c r="AC32" i="33" s="1"/>
  <c r="S46" i="33"/>
  <c r="H27" i="33"/>
  <c r="U27" i="33" s="1"/>
  <c r="F87" i="33"/>
  <c r="G87" i="33" s="1"/>
  <c r="H87" i="33" s="1"/>
  <c r="I87" i="33" s="1"/>
  <c r="J87" i="33" s="1"/>
  <c r="K87" i="33" s="1"/>
  <c r="L87" i="33" s="1"/>
  <c r="M87" i="33" s="1"/>
  <c r="H25" i="33"/>
  <c r="F25" i="33"/>
  <c r="S25" i="33" s="1"/>
  <c r="J23" i="33"/>
  <c r="AC23" i="33" s="1"/>
  <c r="F85" i="33"/>
  <c r="H23" i="33"/>
  <c r="F81" i="33"/>
  <c r="F19" i="33"/>
  <c r="S19" i="33" s="1"/>
  <c r="J17" i="33"/>
  <c r="S15" i="33"/>
  <c r="W15" i="33"/>
  <c r="J10" i="33"/>
  <c r="W10" i="33" s="1"/>
  <c r="H10" i="33"/>
  <c r="U10" i="33" s="1"/>
  <c r="AB14" i="33"/>
  <c r="W43" i="21"/>
  <c r="W36" i="21"/>
  <c r="W41" i="21"/>
  <c r="AB39" i="21"/>
  <c r="AA43" i="21"/>
  <c r="S39" i="21"/>
  <c r="AA38" i="21"/>
  <c r="AA36" i="21"/>
  <c r="AC40" i="21"/>
  <c r="J15" i="21"/>
  <c r="AC15" i="21" s="1"/>
  <c r="F77" i="21"/>
  <c r="G77" i="21" s="1"/>
  <c r="F23" i="21"/>
  <c r="AA23" i="21" s="1"/>
  <c r="E85" i="21"/>
  <c r="AA14" i="2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U25" i="36"/>
  <c r="AB28" i="36"/>
  <c r="AA13" i="36"/>
  <c r="W9" i="36"/>
  <c r="W22" i="36"/>
  <c r="W23" i="36"/>
  <c r="AB20" i="35"/>
  <c r="AC25" i="35"/>
  <c r="U25" i="35"/>
  <c r="S24" i="35"/>
  <c r="U24" i="35"/>
  <c r="S35" i="35"/>
  <c r="W35" i="35"/>
  <c r="AA16" i="35"/>
  <c r="AA35" i="37"/>
  <c r="W36" i="37"/>
  <c r="S28" i="37"/>
  <c r="W32" i="37"/>
  <c r="U38" i="37"/>
  <c r="AB37" i="37"/>
  <c r="AC34" i="37"/>
  <c r="AB35" i="37"/>
  <c r="AA31" i="37"/>
  <c r="U19" i="37"/>
  <c r="AA29" i="37"/>
  <c r="U8" i="37"/>
  <c r="AB40" i="34"/>
  <c r="U19" i="34"/>
  <c r="W19" i="34"/>
  <c r="AB33" i="34"/>
  <c r="AC45" i="34"/>
  <c r="AA31"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44" i="33"/>
  <c r="AB44" i="33"/>
  <c r="AC14" i="33"/>
  <c r="W14" i="33"/>
  <c r="AC30" i="33"/>
  <c r="W30" i="33"/>
  <c r="S31" i="33"/>
  <c r="AA31" i="33"/>
  <c r="W13" i="33"/>
  <c r="AC13" i="33"/>
  <c r="S11" i="33"/>
  <c r="AB42" i="21"/>
  <c r="U28" i="21"/>
  <c r="F33" i="21"/>
  <c r="AA33" i="21" s="1"/>
  <c r="J33" i="21"/>
  <c r="AC33" i="21" s="1"/>
  <c r="H33" i="21"/>
  <c r="AB33" i="21" s="1"/>
  <c r="F37" i="21"/>
  <c r="AA37" i="21" s="1"/>
  <c r="AA26" i="21"/>
  <c r="AB14" i="21"/>
  <c r="AB46" i="21"/>
  <c r="U40" i="21"/>
  <c r="AB31" i="21"/>
  <c r="U31" i="21"/>
  <c r="U13" i="21"/>
  <c r="AB13" i="21"/>
  <c r="S35" i="21"/>
  <c r="J37" i="21"/>
  <c r="W37" i="21" s="1"/>
  <c r="H15" i="21"/>
  <c r="U15" i="21" s="1"/>
  <c r="J17" i="21"/>
  <c r="AC19" i="21"/>
  <c r="W39" i="21"/>
  <c r="AC14" i="21"/>
  <c r="W30" i="21"/>
  <c r="S46" i="21"/>
  <c r="H45" i="21"/>
  <c r="U45" i="21" s="1"/>
  <c r="F29" i="21"/>
  <c r="AA29" i="21" s="1"/>
  <c r="F13" i="21"/>
  <c r="AA13" i="21" s="1"/>
  <c r="AC38" i="21"/>
  <c r="H32" i="21"/>
  <c r="U32" i="21" s="1"/>
  <c r="H9" i="21"/>
  <c r="J9" i="21"/>
  <c r="J32" i="21"/>
  <c r="W32" i="21" s="1"/>
  <c r="F32" i="21"/>
  <c r="S32" i="21" s="1"/>
  <c r="AA31" i="21"/>
  <c r="U17" i="21"/>
  <c r="W29" i="21"/>
  <c r="S19" i="21"/>
  <c r="S9" i="21"/>
  <c r="AA9" i="21"/>
  <c r="K141" i="21"/>
  <c r="K144" i="21"/>
  <c r="K143" i="21"/>
  <c r="AB25" i="21"/>
  <c r="AA30" i="21"/>
  <c r="W13" i="21"/>
  <c r="W42" i="21"/>
  <c r="F10" i="21"/>
  <c r="AA10" i="21" s="1"/>
  <c r="K145" i="21"/>
  <c r="W31" i="21"/>
  <c r="S17" i="21"/>
  <c r="AA15" i="21"/>
  <c r="AC26" i="21"/>
  <c r="S28" i="21"/>
  <c r="AC34"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W32" i="39" s="1"/>
  <c r="H32" i="39"/>
  <c r="AB32" i="39" s="1"/>
  <c r="AA32" i="39"/>
  <c r="S32" i="39"/>
  <c r="AB21" i="39"/>
  <c r="U21" i="39"/>
  <c r="AA21" i="39"/>
  <c r="S21" i="39"/>
  <c r="AC17" i="37"/>
  <c r="S17" i="37"/>
  <c r="J19" i="37"/>
  <c r="W19" i="37" s="1"/>
  <c r="G75" i="37"/>
  <c r="AA23" i="37"/>
  <c r="J23" i="37"/>
  <c r="G79" i="37"/>
  <c r="J10" i="37"/>
  <c r="W10" i="37" s="1"/>
  <c r="H11" i="37"/>
  <c r="AB11" i="37" s="1"/>
  <c r="H11" i="34"/>
  <c r="U11" i="34" s="1"/>
  <c r="J10" i="34"/>
  <c r="AC10" i="34" s="1"/>
  <c r="AB41" i="33"/>
  <c r="W35" i="33"/>
  <c r="AC35" i="33"/>
  <c r="J36" i="33"/>
  <c r="W36" i="33" s="1"/>
  <c r="J27" i="33"/>
  <c r="J25" i="33"/>
  <c r="AC25" i="33" s="1"/>
  <c r="F23" i="33"/>
  <c r="G85" i="33"/>
  <c r="H19" i="33"/>
  <c r="AB19" i="33" s="1"/>
  <c r="G81" i="33"/>
  <c r="H17" i="33"/>
  <c r="U17" i="33" s="1"/>
  <c r="F17" i="33"/>
  <c r="S17" i="33" s="1"/>
  <c r="S37" i="21"/>
  <c r="AB15" i="21"/>
  <c r="J23" i="21"/>
  <c r="AC23" i="21" s="1"/>
  <c r="F85" i="21"/>
  <c r="G85" i="21" s="1"/>
  <c r="H23" i="21"/>
  <c r="S13" i="21"/>
  <c r="AP7" i="1"/>
  <c r="AB45" i="21"/>
  <c r="AA32" i="21"/>
  <c r="W9" i="21"/>
  <c r="AC9" i="21"/>
  <c r="AB32" i="21"/>
  <c r="U32" i="39"/>
  <c r="AC32" i="39"/>
  <c r="J63" i="37"/>
  <c r="K63" i="37" s="1"/>
  <c r="L63" i="37" s="1"/>
  <c r="M63" i="37" s="1"/>
  <c r="J11" i="37"/>
  <c r="AC11" i="37" s="1"/>
  <c r="J11" i="34"/>
  <c r="W11" i="34" s="1"/>
  <c r="U23" i="21"/>
  <c r="AB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2" i="69"/>
  <c r="F3" i="73"/>
  <c r="E13" i="76"/>
  <c r="F6" i="73"/>
  <c r="F20" i="31"/>
  <c r="B10" i="76"/>
  <c r="F38" i="67"/>
  <c r="F9" i="67"/>
  <c r="J15" i="67"/>
  <c r="F37" i="67"/>
  <c r="E8" i="76"/>
  <c r="E9" i="76"/>
  <c r="AO13" i="1"/>
  <c r="E11" i="76"/>
  <c r="L48" i="67"/>
  <c r="M29" i="67"/>
  <c r="B7" i="76"/>
  <c r="E2" i="68"/>
  <c r="E10" i="76"/>
  <c r="M28" i="67"/>
  <c r="M9" i="67"/>
  <c r="M6" i="67"/>
  <c r="E12" i="76"/>
  <c r="F26" i="67"/>
  <c r="M22" i="67"/>
  <c r="D6" i="73"/>
  <c r="F5" i="73"/>
  <c r="B8" i="76"/>
  <c r="B11" i="76"/>
  <c r="L47" i="67"/>
  <c r="F42" i="67"/>
  <c r="M24" i="67"/>
  <c r="M8" i="67"/>
  <c r="B13" i="76"/>
  <c r="F6" i="15"/>
  <c r="F8" i="67"/>
  <c r="F16" i="67"/>
  <c r="C76" i="67"/>
  <c r="F4" i="73"/>
  <c r="F7" i="73"/>
  <c r="E7" i="76"/>
  <c r="M23" i="67"/>
  <c r="B9" i="76"/>
  <c r="F7" i="15"/>
  <c r="F13" i="67"/>
  <c r="M26" i="67"/>
  <c r="F43" i="67"/>
  <c r="F42" i="15"/>
  <c r="B12" i="76"/>
  <c r="L48" i="15"/>
  <c r="F6" i="67"/>
  <c r="F39" i="33" l="1"/>
  <c r="AA39" i="33" s="1"/>
  <c r="H39" i="33"/>
  <c r="AB39" i="33" s="1"/>
  <c r="J39" i="33"/>
  <c r="AC39" i="33" s="1"/>
  <c r="AA28" i="33"/>
  <c r="AC28" i="33"/>
  <c r="U15" i="33"/>
  <c r="AA17" i="33"/>
  <c r="W19" i="33"/>
  <c r="AC21" i="33"/>
  <c r="W25" i="33"/>
  <c r="S26" i="33"/>
  <c r="AB26" i="33"/>
  <c r="W43" i="33"/>
  <c r="S43" i="33"/>
  <c r="W32" i="33"/>
  <c r="S32" i="33"/>
  <c r="U32" i="33"/>
  <c r="S42" i="33"/>
  <c r="U37" i="33"/>
  <c r="H111" i="33"/>
  <c r="I111" i="33" s="1"/>
  <c r="J111" i="33" s="1"/>
  <c r="K111" i="33" s="1"/>
  <c r="L111" i="33" s="1"/>
  <c r="M111" i="33" s="1"/>
  <c r="AC11" i="33"/>
  <c r="W8" i="33"/>
  <c r="AB27" i="33"/>
  <c r="AA25" i="33"/>
  <c r="W42" i="33"/>
  <c r="U42" i="33"/>
  <c r="U39" i="33"/>
  <c r="U38" i="33"/>
  <c r="W38" i="33"/>
  <c r="S38" i="33"/>
  <c r="W33" i="33"/>
  <c r="S33" i="33"/>
  <c r="D52" i="43"/>
  <c r="A15" i="62"/>
  <c r="B61" i="72" s="1"/>
  <c r="D68" i="9"/>
  <c r="F30" i="69"/>
  <c r="F48" i="69" s="1"/>
  <c r="F31" i="12"/>
  <c r="C31" i="12" s="1"/>
  <c r="F28" i="15"/>
  <c r="F32" i="67"/>
  <c r="F60" i="67" s="1"/>
  <c r="F28" i="67"/>
  <c r="M18" i="15"/>
  <c r="M18" i="67"/>
  <c r="F30" i="11"/>
  <c r="C48" i="11" s="1"/>
  <c r="F54" i="9"/>
  <c r="F32" i="15"/>
  <c r="F60" i="15" s="1"/>
  <c r="F52" i="9"/>
  <c r="F30" i="68"/>
  <c r="F48" i="68" s="1"/>
  <c r="C40" i="68"/>
  <c r="C21" i="68"/>
  <c r="D22" i="15"/>
  <c r="D23" i="15"/>
  <c r="A4" i="52"/>
  <c r="B41" i="72" s="1"/>
  <c r="A118" i="9"/>
  <c r="AC33" i="34"/>
  <c r="W33" i="34"/>
  <c r="S27" i="40"/>
  <c r="AA27" i="40"/>
  <c r="AA15" i="37"/>
  <c r="S15" i="37"/>
  <c r="W12" i="37"/>
  <c r="AC12" i="37"/>
  <c r="S36" i="35"/>
  <c r="AA36" i="35"/>
  <c r="S13" i="37"/>
  <c r="AA13" i="37"/>
  <c r="S25" i="36"/>
  <c r="AA25" i="36"/>
  <c r="U45" i="34"/>
  <c r="AB45" i="34"/>
  <c r="AA13" i="34"/>
  <c r="S13" i="34"/>
  <c r="S30" i="33"/>
  <c r="AA30" i="33"/>
  <c r="AZ575" i="3"/>
  <c r="AZ571" i="3"/>
  <c r="AZ570" i="3"/>
  <c r="AZ520" i="3"/>
  <c r="BL517" i="3"/>
  <c r="AZ513" i="3"/>
  <c r="AZ510" i="3"/>
  <c r="BL509" i="3"/>
  <c r="AZ509" i="3" s="1"/>
  <c r="AZ508" i="3"/>
  <c r="AZ503" i="3"/>
  <c r="AZ502" i="3"/>
  <c r="AZ499" i="3"/>
  <c r="W27" i="33"/>
  <c r="AC27" i="33"/>
  <c r="AC17" i="21"/>
  <c r="W17" i="21"/>
  <c r="AB9" i="21"/>
  <c r="U9" i="21"/>
  <c r="AB12" i="39"/>
  <c r="U12" i="39"/>
  <c r="AA30" i="40"/>
  <c r="S30" i="40"/>
  <c r="S12" i="39"/>
  <c r="AA12" i="39"/>
  <c r="U35" i="34"/>
  <c r="AB35" i="34"/>
  <c r="AA14" i="36"/>
  <c r="S14" i="36"/>
  <c r="AC25" i="21"/>
  <c r="W25" i="21"/>
  <c r="W17" i="33"/>
  <c r="AC17" i="33"/>
  <c r="W23" i="37"/>
  <c r="AC23" i="37"/>
  <c r="S39" i="39"/>
  <c r="AA39" i="39"/>
  <c r="S40" i="34"/>
  <c r="AA40" i="34"/>
  <c r="U34" i="33"/>
  <c r="AB34" i="33"/>
  <c r="AZ342" i="3"/>
  <c r="W11" i="39"/>
  <c r="AC11" i="39"/>
  <c r="D8" i="53"/>
  <c r="D120" i="9"/>
  <c r="AA27" i="37"/>
  <c r="S27" i="37"/>
  <c r="AA43" i="39"/>
  <c r="S43" i="39"/>
  <c r="AB23" i="33"/>
  <c r="U23" i="33"/>
  <c r="U25" i="33"/>
  <c r="AB25" i="33"/>
  <c r="AA36" i="33"/>
  <c r="S36" i="33"/>
  <c r="S19" i="37"/>
  <c r="AA19" i="37"/>
  <c r="U27" i="40"/>
  <c r="AB27" i="40"/>
  <c r="W20" i="36"/>
  <c r="AC20" i="36"/>
  <c r="W15" i="37"/>
  <c r="AC15" i="37"/>
  <c r="U40" i="37"/>
  <c r="AB40" i="37"/>
  <c r="AB36" i="37"/>
  <c r="U36" i="37"/>
  <c r="S30" i="34"/>
  <c r="AA30" i="34"/>
  <c r="AA27" i="33"/>
  <c r="S27" i="33"/>
  <c r="U29" i="21"/>
  <c r="AB29" i="21"/>
  <c r="U17" i="34"/>
  <c r="AB17" i="34"/>
  <c r="BL585" i="3"/>
  <c r="B72" i="43"/>
  <c r="C15" i="39"/>
  <c r="J9" i="33"/>
  <c r="F9" i="33"/>
  <c r="AA9" i="33" s="1"/>
  <c r="AC9" i="34"/>
  <c r="W9" i="34"/>
  <c r="H34" i="36"/>
  <c r="F34" i="36"/>
  <c r="F40" i="37"/>
  <c r="J40" i="37"/>
  <c r="AC32" i="40"/>
  <c r="W32" i="40"/>
  <c r="BA581" i="3"/>
  <c r="BA580" i="3"/>
  <c r="BL579" i="3"/>
  <c r="AZ579" i="3" s="1"/>
  <c r="BA573" i="3"/>
  <c r="BA572" i="3"/>
  <c r="BL566" i="3"/>
  <c r="AZ566" i="3" s="1"/>
  <c r="BL550" i="3"/>
  <c r="BA549" i="3"/>
  <c r="BA546" i="3"/>
  <c r="AZ546" i="3" s="1"/>
  <c r="BL544" i="3"/>
  <c r="AZ544" i="3" s="1"/>
  <c r="BL542" i="3"/>
  <c r="AZ542" i="3" s="1"/>
  <c r="BA541" i="3"/>
  <c r="AZ541" i="3" s="1"/>
  <c r="BA538" i="3"/>
  <c r="AZ538" i="3" s="1"/>
  <c r="BL537" i="3"/>
  <c r="BL536" i="3"/>
  <c r="BL534" i="3"/>
  <c r="BA533" i="3"/>
  <c r="AZ533" i="3" s="1"/>
  <c r="BA532" i="3"/>
  <c r="BA530" i="3"/>
  <c r="AZ530" i="3" s="1"/>
  <c r="BL528" i="3"/>
  <c r="AZ528" i="3" s="1"/>
  <c r="BL526" i="3"/>
  <c r="BA525" i="3"/>
  <c r="AZ525" i="3" s="1"/>
  <c r="BA522" i="3"/>
  <c r="AZ522" i="3" s="1"/>
  <c r="BL521" i="3"/>
  <c r="AZ521" i="3" s="1"/>
  <c r="BA521" i="3"/>
  <c r="BA519" i="3"/>
  <c r="BA518" i="3"/>
  <c r="AZ518" i="3" s="1"/>
  <c r="BL516" i="3"/>
  <c r="AZ516" i="3" s="1"/>
  <c r="BA515" i="3"/>
  <c r="BL514" i="3"/>
  <c r="BA514" i="3"/>
  <c r="AZ514" i="3" s="1"/>
  <c r="BA511" i="3"/>
  <c r="BL506" i="3"/>
  <c r="BA506" i="3"/>
  <c r="AZ506" i="3" s="1"/>
  <c r="BA505" i="3"/>
  <c r="AZ505" i="3" s="1"/>
  <c r="BL504" i="3"/>
  <c r="AZ504" i="3" s="1"/>
  <c r="BA501" i="3"/>
  <c r="AZ501" i="3" s="1"/>
  <c r="BA500" i="3"/>
  <c r="AZ500" i="3" s="1"/>
  <c r="BL498" i="3"/>
  <c r="AZ498" i="3" s="1"/>
  <c r="BA497" i="3"/>
  <c r="AZ497" i="3" s="1"/>
  <c r="BL496" i="3"/>
  <c r="AZ496" i="3" s="1"/>
  <c r="BA494" i="3"/>
  <c r="AZ494" i="3" s="1"/>
  <c r="BA493" i="3"/>
  <c r="AZ493" i="3" s="1"/>
  <c r="AB44" i="21"/>
  <c r="S23" i="21"/>
  <c r="W15" i="21"/>
  <c r="AZ345" i="3"/>
  <c r="AZ372" i="3"/>
  <c r="AZ337" i="3"/>
  <c r="AZ376" i="3"/>
  <c r="AZ309" i="3"/>
  <c r="AZ549" i="3"/>
  <c r="W44" i="21"/>
  <c r="H32" i="40"/>
  <c r="BL535" i="3"/>
  <c r="AZ535" i="3" s="1"/>
  <c r="BL569" i="3"/>
  <c r="S14" i="37"/>
  <c r="AA14" i="37"/>
  <c r="H28" i="37"/>
  <c r="AB42" i="34"/>
  <c r="S29" i="35"/>
  <c r="AA29" i="35"/>
  <c r="H27" i="21"/>
  <c r="J27" i="21"/>
  <c r="F27" i="21"/>
  <c r="J45" i="21"/>
  <c r="F45" i="21"/>
  <c r="B101" i="43"/>
  <c r="B79" i="43"/>
  <c r="H9" i="33"/>
  <c r="F9" i="34"/>
  <c r="AA9" i="34" s="1"/>
  <c r="H9" i="34"/>
  <c r="U19" i="33"/>
  <c r="W19" i="39"/>
  <c r="AA34" i="33"/>
  <c r="BB5" i="3"/>
  <c r="AZ387" i="3"/>
  <c r="AZ338" i="3"/>
  <c r="AZ371" i="3"/>
  <c r="AZ305" i="3"/>
  <c r="AZ360" i="3"/>
  <c r="BL515" i="3"/>
  <c r="AZ515" i="3" s="1"/>
  <c r="BL547" i="3"/>
  <c r="AZ547" i="3" s="1"/>
  <c r="AZ557" i="3"/>
  <c r="J28" i="37"/>
  <c r="S14" i="34"/>
  <c r="AA14" i="34"/>
  <c r="AA44" i="34"/>
  <c r="S44" i="34"/>
  <c r="AB36" i="39"/>
  <c r="U36" i="39"/>
  <c r="G585" i="3"/>
  <c r="BL587" i="3"/>
  <c r="AZ587" i="3" s="1"/>
  <c r="BL586" i="3"/>
  <c r="AZ586" i="3" s="1"/>
  <c r="BA585" i="3"/>
  <c r="AZ585" i="3" s="1"/>
  <c r="AB33" i="33"/>
  <c r="U33" i="33"/>
  <c r="J11" i="36"/>
  <c r="AC11" i="36" s="1"/>
  <c r="F11" i="36"/>
  <c r="J39" i="37"/>
  <c r="F39" i="37"/>
  <c r="S39" i="37" s="1"/>
  <c r="AC31" i="40"/>
  <c r="W31" i="40"/>
  <c r="U41" i="21"/>
  <c r="AB41" i="21"/>
  <c r="S38" i="34"/>
  <c r="AA38" i="34"/>
  <c r="BL580" i="3"/>
  <c r="BA577" i="3"/>
  <c r="BA576" i="3"/>
  <c r="AZ576" i="3" s="1"/>
  <c r="BL574" i="3"/>
  <c r="AZ574" i="3" s="1"/>
  <c r="BL572" i="3"/>
  <c r="BA569" i="3"/>
  <c r="BA568" i="3"/>
  <c r="AZ568" i="3" s="1"/>
  <c r="BA551" i="3"/>
  <c r="AZ551" i="3" s="1"/>
  <c r="BA550" i="3"/>
  <c r="AZ550" i="3" s="1"/>
  <c r="BL548" i="3"/>
  <c r="AZ548" i="3" s="1"/>
  <c r="BA545" i="3"/>
  <c r="BA537" i="3"/>
  <c r="AZ537" i="3" s="1"/>
  <c r="BA536" i="3"/>
  <c r="AZ536" i="3" s="1"/>
  <c r="BA534" i="3"/>
  <c r="AZ534" i="3" s="1"/>
  <c r="BL532" i="3"/>
  <c r="BA529" i="3"/>
  <c r="AZ529" i="3" s="1"/>
  <c r="BA526" i="3"/>
  <c r="AZ526" i="3" s="1"/>
  <c r="BL524" i="3"/>
  <c r="AZ524" i="3" s="1"/>
  <c r="AB36" i="33"/>
  <c r="AA19" i="33"/>
  <c r="AC34" i="33"/>
  <c r="AC17" i="34"/>
  <c r="S14" i="35"/>
  <c r="BN5" i="3"/>
  <c r="G29" i="6" s="1"/>
  <c r="BM5" i="3"/>
  <c r="F29" i="6" s="1"/>
  <c r="AZ391" i="3"/>
  <c r="AZ318" i="3"/>
  <c r="AZ364" i="3"/>
  <c r="AZ329" i="3"/>
  <c r="AZ304" i="3"/>
  <c r="AZ306" i="3"/>
  <c r="U40" i="39"/>
  <c r="U11" i="33"/>
  <c r="AA13" i="33"/>
  <c r="F32" i="40"/>
  <c r="S21" i="40"/>
  <c r="BL511" i="3"/>
  <c r="AZ511" i="3" s="1"/>
  <c r="BL527" i="3"/>
  <c r="AZ527" i="3" s="1"/>
  <c r="BL539" i="3"/>
  <c r="AZ539" i="3" s="1"/>
  <c r="BL543" i="3"/>
  <c r="AZ543" i="3" s="1"/>
  <c r="BL577" i="3"/>
  <c r="AZ577" i="3" s="1"/>
  <c r="AB30" i="21"/>
  <c r="U45" i="33"/>
  <c r="AB45" i="33"/>
  <c r="F44" i="21"/>
  <c r="S41" i="21"/>
  <c r="AC8" i="34"/>
  <c r="W8" i="34"/>
  <c r="J12" i="34"/>
  <c r="H12" i="34"/>
  <c r="F12" i="34"/>
  <c r="S12" i="34" s="1"/>
  <c r="J11" i="35"/>
  <c r="F11" i="35"/>
  <c r="J12" i="36"/>
  <c r="H12" i="36"/>
  <c r="H44" i="39"/>
  <c r="F44" i="39"/>
  <c r="J44" i="39"/>
  <c r="AA34" i="40"/>
  <c r="S34" i="40"/>
  <c r="BL519" i="3"/>
  <c r="AZ519" i="3" s="1"/>
  <c r="BL531" i="3"/>
  <c r="AZ531" i="3" s="1"/>
  <c r="BL573" i="3"/>
  <c r="AZ573" i="3" s="1"/>
  <c r="AZ583" i="3"/>
  <c r="G587" i="3"/>
  <c r="F23" i="36"/>
  <c r="AZ451" i="3"/>
  <c r="BL15" i="3"/>
  <c r="AZ15" i="3" s="1"/>
  <c r="BA398" i="3"/>
  <c r="BA399" i="3"/>
  <c r="AZ399" i="3" s="1"/>
  <c r="BL401" i="3"/>
  <c r="BL404" i="3"/>
  <c r="BL405" i="3"/>
  <c r="BL407" i="3"/>
  <c r="AZ407" i="3" s="1"/>
  <c r="BA412" i="3"/>
  <c r="AZ412" i="3" s="1"/>
  <c r="BA414" i="3"/>
  <c r="BA415" i="3"/>
  <c r="AZ415" i="3" s="1"/>
  <c r="BA416" i="3"/>
  <c r="AZ416" i="3" s="1"/>
  <c r="BA418" i="3"/>
  <c r="AZ418" i="3" s="1"/>
  <c r="BA421" i="3"/>
  <c r="BA423" i="3"/>
  <c r="AZ423" i="3" s="1"/>
  <c r="BA425" i="3"/>
  <c r="BA426" i="3"/>
  <c r="BA427" i="3"/>
  <c r="AZ427" i="3" s="1"/>
  <c r="BA433" i="3"/>
  <c r="AZ433" i="3" s="1"/>
  <c r="BA435" i="3"/>
  <c r="BL437" i="3"/>
  <c r="AZ437" i="3" s="1"/>
  <c r="G439" i="3"/>
  <c r="BL441" i="3"/>
  <c r="AZ441" i="3" s="1"/>
  <c r="BL442" i="3"/>
  <c r="BL444" i="3"/>
  <c r="G446" i="3"/>
  <c r="BL448" i="3"/>
  <c r="G450" i="3"/>
  <c r="BA454" i="3"/>
  <c r="BA457" i="3"/>
  <c r="BA459" i="3"/>
  <c r="AZ459" i="3" s="1"/>
  <c r="BA460" i="3"/>
  <c r="BA461" i="3"/>
  <c r="BL464" i="3"/>
  <c r="AZ464" i="3" s="1"/>
  <c r="BL466" i="3"/>
  <c r="AZ466" i="3" s="1"/>
  <c r="G468" i="3"/>
  <c r="BL476" i="3"/>
  <c r="BL477" i="3"/>
  <c r="BL478" i="3"/>
  <c r="G479" i="3"/>
  <c r="G480" i="3"/>
  <c r="BL484" i="3"/>
  <c r="BA488" i="3"/>
  <c r="AZ488" i="3" s="1"/>
  <c r="BL317" i="3"/>
  <c r="G318" i="3"/>
  <c r="BA385" i="3"/>
  <c r="G574" i="3"/>
  <c r="BL16" i="3"/>
  <c r="AZ16" i="3" s="1"/>
  <c r="BA401" i="3"/>
  <c r="AZ401" i="3" s="1"/>
  <c r="BA403" i="3"/>
  <c r="AZ403" i="3" s="1"/>
  <c r="BA404" i="3"/>
  <c r="BA405" i="3"/>
  <c r="BL410" i="3"/>
  <c r="G412" i="3"/>
  <c r="G418" i="3"/>
  <c r="BA422" i="3"/>
  <c r="AZ444" i="3"/>
  <c r="AZ448" i="3"/>
  <c r="BL450" i="3"/>
  <c r="AZ476" i="3"/>
  <c r="BA480" i="3"/>
  <c r="BA481" i="3"/>
  <c r="G484" i="3"/>
  <c r="G486" i="3"/>
  <c r="G488"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G558" i="3"/>
  <c r="BL398" i="3"/>
  <c r="G402" i="3"/>
  <c r="BL403" i="3"/>
  <c r="G405" i="3"/>
  <c r="G406" i="3"/>
  <c r="BA408" i="3"/>
  <c r="AZ408" i="3" s="1"/>
  <c r="BA409" i="3"/>
  <c r="AZ409" i="3" s="1"/>
  <c r="BA411" i="3"/>
  <c r="AZ411" i="3" s="1"/>
  <c r="BL414" i="3"/>
  <c r="BL415" i="3"/>
  <c r="BA417" i="3"/>
  <c r="AZ417" i="3" s="1"/>
  <c r="BL421" i="3"/>
  <c r="BL422" i="3"/>
  <c r="BL425" i="3"/>
  <c r="BL426" i="3"/>
  <c r="BA428" i="3"/>
  <c r="BA429" i="3"/>
  <c r="AZ429" i="3" s="1"/>
  <c r="BA430" i="3"/>
  <c r="AZ430" i="3" s="1"/>
  <c r="BA432" i="3"/>
  <c r="AZ432" i="3" s="1"/>
  <c r="BA434" i="3"/>
  <c r="BA436" i="3"/>
  <c r="BA438" i="3"/>
  <c r="G442" i="3"/>
  <c r="G443" i="3"/>
  <c r="BA446" i="3"/>
  <c r="BA450" i="3"/>
  <c r="BA453" i="3"/>
  <c r="BA455" i="3"/>
  <c r="AZ455" i="3" s="1"/>
  <c r="BL457" i="3"/>
  <c r="BL460" i="3"/>
  <c r="BL461" i="3"/>
  <c r="BL463" i="3"/>
  <c r="G465" i="3"/>
  <c r="BA471" i="3"/>
  <c r="BL480" i="3"/>
  <c r="BA483" i="3"/>
  <c r="BL483" i="3"/>
  <c r="AZ483" i="3" s="1"/>
  <c r="BA489" i="3"/>
  <c r="BA491" i="3"/>
  <c r="AZ491" i="3" s="1"/>
  <c r="BL324" i="3"/>
  <c r="AZ324" i="3" s="1"/>
  <c r="BL328" i="3"/>
  <c r="AZ328" i="3" s="1"/>
  <c r="BL340" i="3"/>
  <c r="AZ340" i="3" s="1"/>
  <c r="AZ228" i="3"/>
  <c r="BA482" i="3"/>
  <c r="BA484" i="3"/>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G232" i="3"/>
  <c r="BL234" i="3"/>
  <c r="BA237" i="3"/>
  <c r="AZ237" i="3" s="1"/>
  <c r="BA240" i="3"/>
  <c r="AZ240" i="3" s="1"/>
  <c r="BA241" i="3"/>
  <c r="AZ241" i="3" s="1"/>
  <c r="BL241" i="3"/>
  <c r="BA255" i="3"/>
  <c r="BA256" i="3"/>
  <c r="BL256" i="3"/>
  <c r="BA259" i="3"/>
  <c r="AZ259" i="3" s="1"/>
  <c r="BA262" i="3"/>
  <c r="AZ262" i="3" s="1"/>
  <c r="BA265" i="3"/>
  <c r="BA267" i="3"/>
  <c r="AZ267" i="3" s="1"/>
  <c r="G271" i="3"/>
  <c r="BA274" i="3"/>
  <c r="BL274" i="3"/>
  <c r="BL278" i="3"/>
  <c r="BA279" i="3"/>
  <c r="BA283" i="3"/>
  <c r="BA302" i="3"/>
  <c r="BA116" i="3"/>
  <c r="AZ116" i="3" s="1"/>
  <c r="BA121" i="3"/>
  <c r="BL121" i="3"/>
  <c r="G127" i="3"/>
  <c r="BA134" i="3"/>
  <c r="BL138" i="3"/>
  <c r="BA140" i="3"/>
  <c r="AZ140" i="3" s="1"/>
  <c r="BA142" i="3"/>
  <c r="BA177" i="3"/>
  <c r="AZ177" i="3" s="1"/>
  <c r="D54" i="71"/>
  <c r="C55" i="71"/>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BA230" i="3"/>
  <c r="AZ230" i="3" s="1"/>
  <c r="G236" i="3"/>
  <c r="BA238" i="3"/>
  <c r="BL240" i="3"/>
  <c r="G243" i="3"/>
  <c r="BA244" i="3"/>
  <c r="BL244" i="3"/>
  <c r="BL248" i="3"/>
  <c r="AZ248" i="3" s="1"/>
  <c r="G250" i="3"/>
  <c r="BL250" i="3"/>
  <c r="AZ250" i="3" s="1"/>
  <c r="G252" i="3"/>
  <c r="G254" i="3"/>
  <c r="BL255" i="3"/>
  <c r="G261" i="3"/>
  <c r="BA263" i="3"/>
  <c r="BA268" i="3"/>
  <c r="BA277" i="3"/>
  <c r="BL277" i="3"/>
  <c r="BA281" i="3"/>
  <c r="G291" i="3"/>
  <c r="BA296" i="3"/>
  <c r="G299" i="3"/>
  <c r="BL300" i="3"/>
  <c r="BL122" i="3"/>
  <c r="BA126" i="3"/>
  <c r="BA132" i="3"/>
  <c r="AZ132" i="3" s="1"/>
  <c r="BL133" i="3"/>
  <c r="AZ133" i="3" s="1"/>
  <c r="BL173" i="3"/>
  <c r="AZ173" i="3" s="1"/>
  <c r="BA201" i="3"/>
  <c r="BA333" i="3"/>
  <c r="BL346" i="3"/>
  <c r="AZ346" i="3" s="1"/>
  <c r="BA384" i="3"/>
  <c r="AZ384" i="3" s="1"/>
  <c r="BA395" i="3"/>
  <c r="AZ395" i="3" s="1"/>
  <c r="BA208" i="3"/>
  <c r="AZ208" i="3" s="1"/>
  <c r="BA211" i="3"/>
  <c r="AZ211" i="3" s="1"/>
  <c r="BL213" i="3"/>
  <c r="BL215" i="3"/>
  <c r="BA222" i="3"/>
  <c r="AZ222" i="3" s="1"/>
  <c r="BA224" i="3"/>
  <c r="AZ224" i="3" s="1"/>
  <c r="BA226" i="3"/>
  <c r="BL245" i="3"/>
  <c r="AZ245" i="3" s="1"/>
  <c r="BA257" i="3"/>
  <c r="AZ257" i="3" s="1"/>
  <c r="BA258" i="3"/>
  <c r="BL286" i="3"/>
  <c r="AZ286" i="3" s="1"/>
  <c r="BL298" i="3"/>
  <c r="BL127" i="3"/>
  <c r="AZ127" i="3" s="1"/>
  <c r="BA130" i="3"/>
  <c r="BL130" i="3"/>
  <c r="BL198" i="3"/>
  <c r="AZ198" i="3" s="1"/>
  <c r="AZ49" i="3"/>
  <c r="AA21" i="34"/>
  <c r="S21" i="34"/>
  <c r="T32" i="71"/>
  <c r="D32" i="71"/>
  <c r="P65" i="71"/>
  <c r="P66" i="71"/>
  <c r="D67" i="71"/>
  <c r="C66" i="71"/>
  <c r="AB25" i="71"/>
  <c r="AB26" i="71"/>
  <c r="C26" i="71"/>
  <c r="D26" i="71" s="1"/>
  <c r="D27" i="71"/>
  <c r="Y27" i="71"/>
  <c r="Z27" i="71" s="1"/>
  <c r="AA3" i="71"/>
  <c r="BL157" i="3"/>
  <c r="AZ157" i="3" s="1"/>
  <c r="BL159" i="3"/>
  <c r="AZ159" i="3" s="1"/>
  <c r="BL177" i="3"/>
  <c r="BL183" i="3"/>
  <c r="AZ183" i="3" s="1"/>
  <c r="BA186" i="3"/>
  <c r="AZ186" i="3" s="1"/>
  <c r="BA190" i="3"/>
  <c r="AZ190" i="3" s="1"/>
  <c r="BA197" i="3"/>
  <c r="BL201" i="3"/>
  <c r="BL203" i="3"/>
  <c r="AZ203" i="3" s="1"/>
  <c r="BA204" i="3"/>
  <c r="AZ204" i="3" s="1"/>
  <c r="BA18" i="3"/>
  <c r="BL21" i="3"/>
  <c r="G23" i="3"/>
  <c r="BL29" i="3"/>
  <c r="G33" i="3"/>
  <c r="G34" i="3"/>
  <c r="BA37" i="3"/>
  <c r="BL39" i="3"/>
  <c r="G43" i="3"/>
  <c r="G44" i="3"/>
  <c r="BA45" i="3"/>
  <c r="AZ45" i="3" s="1"/>
  <c r="BA46" i="3"/>
  <c r="BL49" i="3"/>
  <c r="BL50" i="3"/>
  <c r="AZ50" i="3" s="1"/>
  <c r="BL51" i="3"/>
  <c r="AZ51" i="3" s="1"/>
  <c r="BL53" i="3"/>
  <c r="BA56" i="3"/>
  <c r="BA57" i="3"/>
  <c r="BL58" i="3"/>
  <c r="AZ58" i="3" s="1"/>
  <c r="G60" i="3"/>
  <c r="BA60" i="3"/>
  <c r="BA63" i="3"/>
  <c r="BA75" i="3"/>
  <c r="AZ75" i="3" s="1"/>
  <c r="BA91" i="3"/>
  <c r="AZ91" i="3" s="1"/>
  <c r="S21" i="37"/>
  <c r="W25" i="40"/>
  <c r="AB21" i="37"/>
  <c r="U21" i="37"/>
  <c r="C25" i="40"/>
  <c r="B88" i="43"/>
  <c r="D60" i="71"/>
  <c r="AA28" i="71"/>
  <c r="F28" i="71"/>
  <c r="F27" i="71" s="1"/>
  <c r="F26" i="71" s="1"/>
  <c r="Y26" i="71"/>
  <c r="Z26" i="71" s="1"/>
  <c r="C36" i="71"/>
  <c r="D35" i="71"/>
  <c r="B40" i="71"/>
  <c r="S40" i="71" s="1"/>
  <c r="X33" i="71"/>
  <c r="X34" i="71"/>
  <c r="T68" i="71"/>
  <c r="O68" i="71"/>
  <c r="T76" i="71"/>
  <c r="D76" i="71"/>
  <c r="C75" i="71"/>
  <c r="C23" i="71"/>
  <c r="B22" i="71"/>
  <c r="B21" i="71" s="1"/>
  <c r="B20" i="71" s="1"/>
  <c r="BL265" i="3"/>
  <c r="BA273" i="3"/>
  <c r="AZ273" i="3" s="1"/>
  <c r="BA278" i="3"/>
  <c r="BA280" i="3"/>
  <c r="AZ280" i="3" s="1"/>
  <c r="BL283" i="3"/>
  <c r="BL284" i="3"/>
  <c r="AZ284" i="3" s="1"/>
  <c r="G288" i="3"/>
  <c r="BL292" i="3"/>
  <c r="BA294" i="3"/>
  <c r="AZ294" i="3" s="1"/>
  <c r="BL295" i="3"/>
  <c r="BA298" i="3"/>
  <c r="AZ298" i="3" s="1"/>
  <c r="BL301" i="3"/>
  <c r="AZ301" i="3" s="1"/>
  <c r="BL302" i="3"/>
  <c r="BA114" i="3"/>
  <c r="BL123" i="3"/>
  <c r="AZ123" i="3" s="1"/>
  <c r="BA128" i="3"/>
  <c r="AZ128" i="3" s="1"/>
  <c r="BL134" i="3"/>
  <c r="BL137" i="3"/>
  <c r="AZ137" i="3" s="1"/>
  <c r="BA146" i="3"/>
  <c r="AZ146" i="3" s="1"/>
  <c r="BA150" i="3"/>
  <c r="AZ150" i="3" s="1"/>
  <c r="BL167" i="3"/>
  <c r="AZ167" i="3" s="1"/>
  <c r="G175" i="3"/>
  <c r="G176" i="3"/>
  <c r="BL178" i="3"/>
  <c r="BA180" i="3"/>
  <c r="AZ180" i="3" s="1"/>
  <c r="BL182" i="3"/>
  <c r="AZ182" i="3" s="1"/>
  <c r="G183" i="3"/>
  <c r="BA185" i="3"/>
  <c r="BL191" i="3"/>
  <c r="AZ191" i="3" s="1"/>
  <c r="G192" i="3"/>
  <c r="BA193" i="3"/>
  <c r="BA196" i="3"/>
  <c r="AZ196" i="3" s="1"/>
  <c r="G203" i="3"/>
  <c r="BA205" i="3"/>
  <c r="AZ205" i="3" s="1"/>
  <c r="G20" i="3"/>
  <c r="BL20" i="3"/>
  <c r="BA21" i="3"/>
  <c r="AZ21" i="3" s="1"/>
  <c r="BA25" i="3"/>
  <c r="AZ25" i="3" s="1"/>
  <c r="BA26" i="3"/>
  <c r="G28" i="3"/>
  <c r="BL28" i="3"/>
  <c r="BA29" i="3"/>
  <c r="AZ29" i="3" s="1"/>
  <c r="BA36" i="3"/>
  <c r="BL38" i="3"/>
  <c r="BA39" i="3"/>
  <c r="BL47" i="3"/>
  <c r="AZ47" i="3" s="1"/>
  <c r="G49" i="3"/>
  <c r="G50" i="3"/>
  <c r="G52" i="3"/>
  <c r="BA52" i="3"/>
  <c r="AZ52" i="3" s="1"/>
  <c r="BA53" i="3"/>
  <c r="BA54" i="3"/>
  <c r="BL57" i="3"/>
  <c r="G59" i="3"/>
  <c r="G62" i="3"/>
  <c r="BL62" i="3"/>
  <c r="AZ62" i="3" s="1"/>
  <c r="BL63" i="3"/>
  <c r="G65" i="3"/>
  <c r="BL65" i="3"/>
  <c r="AZ65" i="3" s="1"/>
  <c r="BL66" i="3"/>
  <c r="BL67" i="3"/>
  <c r="AZ67" i="3" s="1"/>
  <c r="G69" i="3"/>
  <c r="G72" i="3"/>
  <c r="BL73" i="3"/>
  <c r="BA74" i="3"/>
  <c r="AZ74" i="3" s="1"/>
  <c r="BL79" i="3"/>
  <c r="BL81" i="3"/>
  <c r="BA82" i="3"/>
  <c r="AZ82" i="3" s="1"/>
  <c r="BL83" i="3"/>
  <c r="G86" i="3"/>
  <c r="BA87" i="3"/>
  <c r="G93" i="3"/>
  <c r="BA98" i="3"/>
  <c r="BA100" i="3"/>
  <c r="AZ100" i="3" s="1"/>
  <c r="BA102" i="3"/>
  <c r="AZ102" i="3" s="1"/>
  <c r="BL105" i="3"/>
  <c r="AZ105" i="3" s="1"/>
  <c r="G107" i="3"/>
  <c r="BL107" i="3"/>
  <c r="BA110" i="3"/>
  <c r="AZ110" i="3" s="1"/>
  <c r="G112" i="3"/>
  <c r="U21" i="33"/>
  <c r="AB21" i="33"/>
  <c r="D63" i="71"/>
  <c r="AB28" i="71"/>
  <c r="T28" i="71"/>
  <c r="E79" i="71"/>
  <c r="E78" i="71" s="1"/>
  <c r="C47" i="71"/>
  <c r="D47" i="71" s="1"/>
  <c r="X26" i="71"/>
  <c r="X36" i="71"/>
  <c r="N68" i="71"/>
  <c r="AB31" i="71"/>
  <c r="AB35" i="71"/>
  <c r="AA36" i="71"/>
  <c r="AA37" i="71"/>
  <c r="S80" i="71"/>
  <c r="B79" i="71"/>
  <c r="B78" i="71" s="1"/>
  <c r="BL231" i="3"/>
  <c r="G233" i="3"/>
  <c r="BL233" i="3"/>
  <c r="AZ233" i="3" s="1"/>
  <c r="G235" i="3"/>
  <c r="BL235" i="3"/>
  <c r="AZ235" i="3" s="1"/>
  <c r="BL236" i="3"/>
  <c r="G237" i="3"/>
  <c r="BL238" i="3"/>
  <c r="G239" i="3"/>
  <c r="BL243" i="3"/>
  <c r="AZ243" i="3" s="1"/>
  <c r="G244" i="3"/>
  <c r="BA247" i="3"/>
  <c r="BL247" i="3"/>
  <c r="BA249" i="3"/>
  <c r="AZ249" i="3" s="1"/>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AZ28" i="3" s="1"/>
  <c r="BA31" i="3"/>
  <c r="AZ31" i="3" s="1"/>
  <c r="BA32" i="3"/>
  <c r="BA38" i="3"/>
  <c r="BA41" i="3"/>
  <c r="AZ41" i="3" s="1"/>
  <c r="BA42" i="3"/>
  <c r="G46" i="3"/>
  <c r="BL48" i="3"/>
  <c r="BL54" i="3"/>
  <c r="BL55" i="3"/>
  <c r="AZ55" i="3" s="1"/>
  <c r="G57" i="3"/>
  <c r="BA59" i="3"/>
  <c r="AZ59" i="3" s="1"/>
  <c r="G61" i="3"/>
  <c r="BL61" i="3"/>
  <c r="AZ61" i="3" s="1"/>
  <c r="BA64" i="3"/>
  <c r="AZ64" i="3" s="1"/>
  <c r="BL68" i="3"/>
  <c r="BA69" i="3"/>
  <c r="AZ69" i="3" s="1"/>
  <c r="BA73" i="3"/>
  <c r="G78" i="3"/>
  <c r="G79" i="3"/>
  <c r="BA97" i="3"/>
  <c r="AZ97" i="3" s="1"/>
  <c r="G111" i="3"/>
  <c r="C40" i="69"/>
  <c r="S21" i="33"/>
  <c r="AB29" i="39"/>
  <c r="U29" i="39"/>
  <c r="C52" i="71"/>
  <c r="D59" i="71"/>
  <c r="O67" i="71"/>
  <c r="AB27" i="71"/>
  <c r="B27" i="71"/>
  <c r="B26" i="71" s="1"/>
  <c r="S28" i="71"/>
  <c r="Y29" i="71"/>
  <c r="Z29" i="71" s="1"/>
  <c r="B34" i="71"/>
  <c r="B35" i="71" s="1"/>
  <c r="B36" i="71" s="1"/>
  <c r="S36" i="71" s="1"/>
  <c r="Y30" i="71"/>
  <c r="Z30" i="71" s="1"/>
  <c r="X35" i="71"/>
  <c r="AB37" i="71"/>
  <c r="F38" i="71"/>
  <c r="F39" i="71" s="1"/>
  <c r="F40" i="71" s="1"/>
  <c r="V40" i="71" s="1"/>
  <c r="B67" i="71"/>
  <c r="V68" i="71"/>
  <c r="Q68" i="71"/>
  <c r="F67" i="71"/>
  <c r="B75" i="71"/>
  <c r="B74" i="71" s="1"/>
  <c r="V76" i="71"/>
  <c r="F75" i="71"/>
  <c r="F74" i="71" s="1"/>
  <c r="X25" i="71"/>
  <c r="V24" i="71"/>
  <c r="E23" i="71"/>
  <c r="E22" i="71" s="1"/>
  <c r="E21" i="71" s="1"/>
  <c r="E20" i="71" s="1"/>
  <c r="BL84" i="3"/>
  <c r="BA89" i="3"/>
  <c r="G103" i="3"/>
  <c r="BA103" i="3"/>
  <c r="AZ103" i="3" s="1"/>
  <c r="BA104" i="3"/>
  <c r="BA106" i="3"/>
  <c r="BL108" i="3"/>
  <c r="AZ108" i="3" s="1"/>
  <c r="G110" i="3"/>
  <c r="BL111" i="3"/>
  <c r="AZ111" i="3" s="1"/>
  <c r="AA27" i="71"/>
  <c r="C83" i="71"/>
  <c r="C79" i="71"/>
  <c r="C71" i="71"/>
  <c r="C39" i="71"/>
  <c r="Y28" i="71"/>
  <c r="Z28" i="71" s="1"/>
  <c r="X28" i="71"/>
  <c r="X32" i="71"/>
  <c r="AB38" i="71"/>
  <c r="BA66" i="3"/>
  <c r="AZ66" i="3" s="1"/>
  <c r="BA71" i="3"/>
  <c r="AZ71" i="3" s="1"/>
  <c r="G76" i="3"/>
  <c r="BL77" i="3"/>
  <c r="AZ77" i="3" s="1"/>
  <c r="BA79" i="3"/>
  <c r="AZ79" i="3" s="1"/>
  <c r="G82" i="3"/>
  <c r="G83" i="3"/>
  <c r="BA84" i="3"/>
  <c r="AZ84" i="3" s="1"/>
  <c r="BL88" i="3"/>
  <c r="AZ88" i="3" s="1"/>
  <c r="G90" i="3"/>
  <c r="BL90" i="3"/>
  <c r="BL92" i="3"/>
  <c r="BA101" i="3"/>
  <c r="AZ101" i="3" s="1"/>
  <c r="G108" i="3"/>
  <c r="BL112" i="3"/>
  <c r="F35" i="71"/>
  <c r="F36" i="71" s="1"/>
  <c r="V36" i="71" s="1"/>
  <c r="AA34" i="71"/>
  <c r="E51" i="71"/>
  <c r="E52" i="71" s="1"/>
  <c r="U52"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K14"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G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B20" i="31"/>
  <c r="B21" i="31" s="1"/>
  <c r="I1" i="73"/>
  <c r="B39" i="1" s="1"/>
  <c r="F51" i="67"/>
  <c r="F65" i="67"/>
  <c r="J53" i="67"/>
  <c r="J57" i="67"/>
  <c r="J55" i="67" s="1"/>
  <c r="J58" i="67" s="1"/>
  <c r="Q50" i="67" s="1"/>
  <c r="L56" i="67"/>
  <c r="I54" i="67"/>
  <c r="M7" i="15"/>
  <c r="F50" i="15"/>
  <c r="F66" i="67"/>
  <c r="Q71" i="67"/>
  <c r="C27" i="67"/>
  <c r="F71" i="67"/>
  <c r="N59" i="67"/>
  <c r="L59" i="67"/>
  <c r="L58" i="67"/>
  <c r="M59" i="67"/>
  <c r="B13" i="70"/>
  <c r="C36" i="68"/>
  <c r="D9" i="68"/>
  <c r="D9" i="69"/>
  <c r="F27" i="69"/>
  <c r="C36" i="69"/>
  <c r="L47" i="15"/>
  <c r="F43" i="15"/>
  <c r="J15" i="15"/>
  <c r="F9" i="15"/>
  <c r="F37" i="15"/>
  <c r="F8" i="15"/>
  <c r="D3" i="73"/>
  <c r="D4" i="73"/>
  <c r="M22" i="15"/>
  <c r="M26" i="15"/>
  <c r="F38" i="15"/>
  <c r="F36" i="15"/>
  <c r="M6" i="15"/>
  <c r="F16" i="15"/>
  <c r="F36" i="67"/>
  <c r="D7" i="73"/>
  <c r="D5" i="73"/>
  <c r="M9" i="15"/>
  <c r="F13" i="15"/>
  <c r="M23" i="15"/>
  <c r="M8" i="15"/>
  <c r="F26" i="15"/>
  <c r="F7" i="67"/>
  <c r="C16" i="67"/>
  <c r="C76" i="15"/>
  <c r="M29" i="15"/>
  <c r="M24" i="15"/>
  <c r="F40" i="15"/>
  <c r="M28" i="15"/>
  <c r="F40" i="67"/>
  <c r="S39" i="33" l="1"/>
  <c r="W39" i="33"/>
  <c r="J7" i="36"/>
  <c r="P6" i="1"/>
  <c r="C13" i="12" s="1"/>
  <c r="N94" i="46"/>
  <c r="J26" i="43"/>
  <c r="N370" i="46"/>
  <c r="F26" i="43"/>
  <c r="D26" i="43" s="1"/>
  <c r="C25" i="43" s="1"/>
  <c r="E26" i="43"/>
  <c r="K16" i="1"/>
  <c r="F68" i="67"/>
  <c r="F68" i="15"/>
  <c r="Q71" i="15"/>
  <c r="F31" i="67"/>
  <c r="C6" i="67"/>
  <c r="C32" i="67" s="1"/>
  <c r="M7" i="67"/>
  <c r="J6" i="67" s="1"/>
  <c r="J18" i="67" s="1"/>
  <c r="F50" i="67"/>
  <c r="F59" i="67" s="1"/>
  <c r="C27" i="15"/>
  <c r="F64" i="67"/>
  <c r="F64" i="15"/>
  <c r="F66" i="15"/>
  <c r="F31" i="15"/>
  <c r="C6" i="15"/>
  <c r="C32" i="15" s="1"/>
  <c r="F51" i="15"/>
  <c r="C49" i="15" s="1"/>
  <c r="F65" i="15"/>
  <c r="F71" i="15"/>
  <c r="N59" i="15"/>
  <c r="L58" i="15"/>
  <c r="Q60" i="15" s="1"/>
  <c r="M59" i="15"/>
  <c r="L59" i="15"/>
  <c r="Q74" i="15" s="1"/>
  <c r="G5" i="3"/>
  <c r="B3" i="3" s="1"/>
  <c r="E212" i="3" s="1"/>
  <c r="D79" i="71"/>
  <c r="C78" i="71"/>
  <c r="D78" i="71" s="1"/>
  <c r="C74" i="71"/>
  <c r="D74" i="71" s="1"/>
  <c r="D75" i="71"/>
  <c r="O65" i="71"/>
  <c r="O66" i="71"/>
  <c r="D66" i="71"/>
  <c r="AZ263" i="3"/>
  <c r="AZ238" i="3"/>
  <c r="AZ398" i="3"/>
  <c r="AA23" i="36"/>
  <c r="S23" i="36"/>
  <c r="W44" i="39"/>
  <c r="AC44" i="39"/>
  <c r="W12" i="36"/>
  <c r="AC12" i="36"/>
  <c r="U12" i="34"/>
  <c r="AB12" i="34"/>
  <c r="AC39" i="37"/>
  <c r="W39" i="37"/>
  <c r="U9" i="34"/>
  <c r="AB9" i="34"/>
  <c r="W27" i="21"/>
  <c r="AC27" i="21"/>
  <c r="AZ569" i="3"/>
  <c r="AB34" i="36"/>
  <c r="U34" i="36"/>
  <c r="AC9" i="33"/>
  <c r="W9" i="33"/>
  <c r="G16" i="1"/>
  <c r="F10" i="39" s="1"/>
  <c r="D83" i="71"/>
  <c r="C82" i="71"/>
  <c r="D82" i="71" s="1"/>
  <c r="N67" i="71"/>
  <c r="B66" i="71"/>
  <c r="T52" i="71"/>
  <c r="D52" i="71"/>
  <c r="AZ118" i="3"/>
  <c r="AZ39" i="3"/>
  <c r="AZ244" i="3"/>
  <c r="AZ368" i="3"/>
  <c r="D55" i="71"/>
  <c r="C56" i="71"/>
  <c r="AZ302" i="3"/>
  <c r="AZ265" i="3"/>
  <c r="AZ256" i="3"/>
  <c r="AZ428" i="3"/>
  <c r="AZ457" i="3"/>
  <c r="AZ421" i="3"/>
  <c r="AZ414" i="3"/>
  <c r="AA44" i="39"/>
  <c r="S44" i="39"/>
  <c r="S11" i="35"/>
  <c r="AA11" i="35"/>
  <c r="W12" i="34"/>
  <c r="AC12" i="34"/>
  <c r="AA44" i="21"/>
  <c r="S44" i="21"/>
  <c r="AA11" i="36"/>
  <c r="S11" i="36"/>
  <c r="AA45" i="21"/>
  <c r="S45" i="21"/>
  <c r="U27" i="21"/>
  <c r="AB27" i="21"/>
  <c r="AZ532" i="3"/>
  <c r="AZ580" i="3"/>
  <c r="AC40" i="37"/>
  <c r="W40" i="37"/>
  <c r="J6" i="15"/>
  <c r="J18" i="15" s="1"/>
  <c r="D39" i="71"/>
  <c r="C40" i="71"/>
  <c r="F66" i="71"/>
  <c r="Q67" i="71"/>
  <c r="AZ251" i="3"/>
  <c r="AZ247" i="3"/>
  <c r="AZ38" i="3"/>
  <c r="B19" i="71"/>
  <c r="B18" i="71" s="1"/>
  <c r="B17" i="71" s="1"/>
  <c r="B16" i="71" s="1"/>
  <c r="S20" i="71"/>
  <c r="AZ63" i="3"/>
  <c r="AZ57" i="3"/>
  <c r="AZ201" i="3"/>
  <c r="AZ126" i="3"/>
  <c r="AZ277" i="3"/>
  <c r="AZ283" i="3"/>
  <c r="AZ274" i="3"/>
  <c r="AZ229" i="3"/>
  <c r="AZ218" i="3"/>
  <c r="AZ453" i="3"/>
  <c r="AZ422" i="3"/>
  <c r="AZ405" i="3"/>
  <c r="AZ461" i="3"/>
  <c r="AZ454" i="3"/>
  <c r="U44" i="39"/>
  <c r="AB44" i="39"/>
  <c r="W11" i="35"/>
  <c r="AC11" i="35"/>
  <c r="AB9" i="33"/>
  <c r="U9" i="33"/>
  <c r="W45" i="21"/>
  <c r="AC45" i="21"/>
  <c r="U32" i="40"/>
  <c r="AB32" i="40"/>
  <c r="AZ572" i="3"/>
  <c r="AA40" i="37"/>
  <c r="S40" i="37"/>
  <c r="D121" i="9"/>
  <c r="D7" i="52" s="1"/>
  <c r="D6" i="52"/>
  <c r="D71" i="71"/>
  <c r="C70" i="71"/>
  <c r="D70" i="71" s="1"/>
  <c r="AZ53" i="3"/>
  <c r="AZ278" i="3"/>
  <c r="D23" i="71"/>
  <c r="C22" i="71"/>
  <c r="AZ197" i="3"/>
  <c r="AZ130" i="3"/>
  <c r="AZ353" i="3"/>
  <c r="AZ121" i="3"/>
  <c r="AZ484" i="3"/>
  <c r="AZ471" i="3"/>
  <c r="AZ480" i="3"/>
  <c r="AZ404" i="3"/>
  <c r="AZ460" i="3"/>
  <c r="AZ435" i="3"/>
  <c r="AZ425" i="3"/>
  <c r="U12" i="36"/>
  <c r="AB12" i="36"/>
  <c r="AA32" i="40"/>
  <c r="S32" i="40"/>
  <c r="AC28" i="37"/>
  <c r="W28" i="37"/>
  <c r="AA27" i="21"/>
  <c r="S27" i="21"/>
  <c r="S34" i="36"/>
  <c r="AA34" i="36"/>
  <c r="J7" i="37"/>
  <c r="K1" i="73"/>
  <c r="E510" i="3"/>
  <c r="R6" i="3"/>
  <c r="E152" i="3"/>
  <c r="E292" i="3"/>
  <c r="E484" i="3"/>
  <c r="E64" i="3"/>
  <c r="E249" i="3"/>
  <c r="E371" i="3"/>
  <c r="E23" i="3"/>
  <c r="E84" i="3"/>
  <c r="E144" i="3"/>
  <c r="E184" i="3"/>
  <c r="E381" i="3"/>
  <c r="E68" i="3"/>
  <c r="E264" i="3"/>
  <c r="E283" i="3"/>
  <c r="E21" i="3"/>
  <c r="E494" i="3"/>
  <c r="E332" i="3"/>
  <c r="E391" i="3"/>
  <c r="E75" i="3"/>
  <c r="E482" i="3"/>
  <c r="E129" i="3"/>
  <c r="E174" i="3"/>
  <c r="E522" i="3"/>
  <c r="E86" i="3"/>
  <c r="E251" i="3"/>
  <c r="AF6" i="3"/>
  <c r="E287" i="3"/>
  <c r="E308" i="3"/>
  <c r="E140" i="3"/>
  <c r="E197" i="3"/>
  <c r="E534" i="3"/>
  <c r="T6" i="3"/>
  <c r="E469" i="3"/>
  <c r="E512" i="3"/>
  <c r="E360" i="3"/>
  <c r="E556" i="3"/>
  <c r="E452" i="3"/>
  <c r="E470" i="3"/>
  <c r="E104" i="3"/>
  <c r="E41" i="3"/>
  <c r="E243" i="3"/>
  <c r="E356" i="3"/>
  <c r="E428" i="3"/>
  <c r="E78" i="3"/>
  <c r="E190" i="3"/>
  <c r="E220" i="3"/>
  <c r="E342" i="3"/>
  <c r="E35" i="3"/>
  <c r="E49" i="3"/>
  <c r="E370" i="3"/>
  <c r="E80" i="3"/>
  <c r="E158" i="3"/>
  <c r="E83" i="3"/>
  <c r="E329" i="3"/>
  <c r="E16" i="3"/>
  <c r="E223" i="3"/>
  <c r="E116" i="3"/>
  <c r="E105" i="3"/>
  <c r="E493" i="3"/>
  <c r="E564" i="3"/>
  <c r="E543" i="3"/>
  <c r="E486" i="3"/>
  <c r="E507" i="3"/>
  <c r="E422" i="3"/>
  <c r="E490" i="3"/>
  <c r="E376" i="3"/>
  <c r="AH6" i="3"/>
  <c r="E498" i="3"/>
  <c r="E419" i="3"/>
  <c r="E401" i="3"/>
  <c r="E40" i="3"/>
  <c r="E25" i="3"/>
  <c r="E108" i="3"/>
  <c r="E202" i="3"/>
  <c r="E226" i="3"/>
  <c r="E276" i="3"/>
  <c r="E333" i="3"/>
  <c r="E372" i="3"/>
  <c r="L6" i="3"/>
  <c r="E43" i="3"/>
  <c r="E540" i="3"/>
  <c r="E473" i="3"/>
  <c r="E455" i="3"/>
  <c r="E79" i="3"/>
  <c r="E38" i="3"/>
  <c r="E137" i="3"/>
  <c r="E194" i="3"/>
  <c r="E234" i="3"/>
  <c r="E339" i="3"/>
  <c r="E325" i="3"/>
  <c r="E392" i="3"/>
  <c r="E52" i="3"/>
  <c r="E36" i="3"/>
  <c r="E112"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H6" i="3" s="1"/>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E3" i="6"/>
  <c r="M14" i="1"/>
  <c r="D5" i="43"/>
  <c r="H10" i="39"/>
  <c r="U10" i="39" s="1"/>
  <c r="F10" i="40"/>
  <c r="S10" i="40" s="1"/>
  <c r="J10" i="39"/>
  <c r="W10" i="39" s="1"/>
  <c r="C7" i="43"/>
  <c r="C5" i="43" s="1"/>
  <c r="D10" i="52"/>
  <c r="D125" i="9"/>
  <c r="D11" i="52" s="1"/>
  <c r="B7" i="74"/>
  <c r="C7" i="74" s="1"/>
  <c r="F67" i="39"/>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15"/>
  <c r="P28" i="43"/>
  <c r="B66" i="40" s="1"/>
  <c r="P25" i="43"/>
  <c r="P29" i="43"/>
  <c r="P27" i="43"/>
  <c r="B70" i="39" s="1"/>
  <c r="Q60" i="67"/>
  <c r="Q73" i="67"/>
  <c r="M11" i="67"/>
  <c r="J10" i="67" s="1"/>
  <c r="F11" i="15"/>
  <c r="M11" i="15"/>
  <c r="J10" i="15" s="1"/>
  <c r="F11" i="67"/>
  <c r="F1" i="15"/>
  <c r="Q52" i="15"/>
  <c r="F1" i="67"/>
  <c r="Q52" i="67"/>
  <c r="Q61" i="67"/>
  <c r="Q74" i="67"/>
  <c r="AE11" i="1"/>
  <c r="AE9" i="1"/>
  <c r="F27" i="68"/>
  <c r="AE7" i="1"/>
  <c r="AE8" i="1"/>
  <c r="AE12" i="1"/>
  <c r="AE10" i="1"/>
  <c r="AE6" i="1"/>
  <c r="C16" i="15"/>
  <c r="F41" i="67"/>
  <c r="G1" i="73"/>
  <c r="C49" i="67" l="1"/>
  <c r="J5" i="15"/>
  <c r="J24" i="15" s="1"/>
  <c r="H10" i="40"/>
  <c r="AB10" i="40" s="1"/>
  <c r="J10" i="40"/>
  <c r="AC10" i="40" s="1"/>
  <c r="F59" i="15"/>
  <c r="J5" i="67"/>
  <c r="J24" i="67" s="1"/>
  <c r="Q73" i="15"/>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67" i="3"/>
  <c r="E409" i="3"/>
  <c r="E417" i="3"/>
  <c r="M17" i="67"/>
  <c r="E115" i="3"/>
  <c r="E420" i="3"/>
  <c r="E497" i="3"/>
  <c r="E408" i="3"/>
  <c r="E405" i="3"/>
  <c r="E173" i="3"/>
  <c r="E22" i="3"/>
  <c r="E102" i="3"/>
  <c r="E34" i="3"/>
  <c r="E235" i="3"/>
  <c r="E18" i="3"/>
  <c r="AL6" i="3"/>
  <c r="E198" i="3"/>
  <c r="E309" i="3"/>
  <c r="E63" i="3"/>
  <c r="E233" i="3"/>
  <c r="E67" i="3"/>
  <c r="E310" i="3"/>
  <c r="E46" i="3"/>
  <c r="E544" i="3"/>
  <c r="I3" i="6"/>
  <c r="E160" i="3"/>
  <c r="E467" i="3"/>
  <c r="E59" i="3"/>
  <c r="E349" i="3"/>
  <c r="E258" i="3"/>
  <c r="E56" i="3"/>
  <c r="E517" i="3"/>
  <c r="E541" i="3"/>
  <c r="E199" i="3"/>
  <c r="E300" i="3"/>
  <c r="E103" i="3"/>
  <c r="E425" i="3"/>
  <c r="E76" i="3"/>
  <c r="E363" i="3"/>
  <c r="E192" i="3"/>
  <c r="E479" i="3"/>
  <c r="E554" i="3"/>
  <c r="E442" i="3"/>
  <c r="E536" i="3"/>
  <c r="E389" i="3"/>
  <c r="E241" i="3"/>
  <c r="E95" i="3"/>
  <c r="E435" i="3"/>
  <c r="E449" i="3"/>
  <c r="E575" i="3"/>
  <c r="Q61" i="15"/>
  <c r="T40" i="71"/>
  <c r="D40" i="71"/>
  <c r="D56" i="71"/>
  <c r="T56" i="71"/>
  <c r="N65" i="71"/>
  <c r="N66" i="71"/>
  <c r="E37" i="3"/>
  <c r="E491" i="3"/>
  <c r="AP6" i="3"/>
  <c r="AC6" i="3" s="1"/>
  <c r="E6" i="3" s="1"/>
  <c r="E430" i="3"/>
  <c r="E502" i="3"/>
  <c r="E286" i="3"/>
  <c r="E539" i="3"/>
  <c r="C21" i="71"/>
  <c r="D22" i="71"/>
  <c r="E255" i="3"/>
  <c r="E466" i="3"/>
  <c r="E499" i="3"/>
  <c r="Q65" i="71"/>
  <c r="Q6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8" i="35"/>
  <c r="U7" i="33"/>
  <c r="AB7" i="33"/>
  <c r="T48" i="33" s="1"/>
  <c r="G48" i="33" s="1"/>
  <c r="C53" i="67"/>
  <c r="C10" i="67"/>
  <c r="C5" i="67" s="1"/>
  <c r="C38" i="67" s="1"/>
  <c r="C53" i="15"/>
  <c r="C48" i="15" s="1"/>
  <c r="C66" i="15" s="1"/>
  <c r="C10" i="15"/>
  <c r="C5" i="15" s="1"/>
  <c r="C38" i="15" s="1"/>
  <c r="F41" i="15"/>
  <c r="M27" i="67"/>
  <c r="M27" i="15"/>
  <c r="C48" i="67" l="1"/>
  <c r="C66" i="67" s="1"/>
  <c r="F25" i="12"/>
  <c r="C26" i="12" s="1"/>
  <c r="D25" i="12" s="1"/>
  <c r="I46" i="37"/>
  <c r="J46" i="37" s="1"/>
  <c r="W10" i="40"/>
  <c r="F22" i="68"/>
  <c r="D116" i="43"/>
  <c r="D21" i="71"/>
  <c r="C20" i="71"/>
  <c r="F22" i="11"/>
  <c r="C23" i="11" s="1"/>
  <c r="F24" i="67"/>
  <c r="C24" i="67" s="1"/>
  <c r="F24" i="15"/>
  <c r="C24" i="15" s="1"/>
  <c r="F22" i="69"/>
  <c r="F41" i="69" s="1"/>
  <c r="E49" i="34"/>
  <c r="I54" i="34" s="1"/>
  <c r="J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0" i="67"/>
  <c r="D10" i="68"/>
  <c r="C34" i="69"/>
  <c r="D10" i="69"/>
  <c r="C17" i="67"/>
  <c r="C17" i="15"/>
  <c r="C14" i="67"/>
  <c r="B29" i="1" l="1"/>
  <c r="C8" i="68" s="1"/>
  <c r="C5" i="68" s="1"/>
  <c r="C23" i="68" s="1"/>
  <c r="F41" i="68"/>
  <c r="E54" i="34"/>
  <c r="F54" i="34" s="1"/>
  <c r="C26" i="68"/>
  <c r="D22" i="68" s="1"/>
  <c r="C44" i="68"/>
  <c r="D41" i="68" s="1"/>
  <c r="C26" i="11"/>
  <c r="D22" i="11" s="1"/>
  <c r="C44" i="11"/>
  <c r="D41" i="11" s="1"/>
  <c r="C19" i="71"/>
  <c r="T20" i="71"/>
  <c r="D20" i="71"/>
  <c r="U20" i="7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18" i="12" l="1"/>
  <c r="D19" i="71"/>
  <c r="C18"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15"/>
  <c r="M21" i="67"/>
  <c r="F35" i="67"/>
  <c r="T16" i="71" l="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B3" i="69"/>
  <c r="C14" i="71" l="1"/>
  <c r="D15" i="71"/>
  <c r="I42" i="35"/>
  <c r="J42" i="35"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C13" i="71"/>
  <c r="D14"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D19" i="9"/>
  <c r="D2" i="35"/>
  <c r="D2" i="36"/>
  <c r="L51" i="15"/>
  <c r="D2" i="34"/>
  <c r="D2" i="37"/>
  <c r="C102" i="9" l="1"/>
  <c r="C21" i="9"/>
  <c r="B3" i="33"/>
  <c r="D22" i="9"/>
  <c r="G19" i="9"/>
  <c r="G21" i="9" s="1"/>
  <c r="D102" i="9"/>
  <c r="D21" i="9"/>
  <c r="T12" i="71"/>
  <c r="C11" i="71"/>
  <c r="D12" i="71"/>
  <c r="U12" i="71"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D20" i="9"/>
  <c r="AO7" i="1"/>
  <c r="AO10" i="1"/>
  <c r="AO8" i="1"/>
  <c r="AO6" i="1"/>
  <c r="AO12" i="1"/>
  <c r="AO11" i="1"/>
  <c r="AO9" i="1"/>
  <c r="C103" i="9" l="1"/>
  <c r="G20" i="9"/>
  <c r="C32" i="9" s="1"/>
  <c r="D103" i="9"/>
  <c r="D11" i="71"/>
  <c r="C10"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9" i="71"/>
  <c r="C8" i="71"/>
  <c r="C42" i="40"/>
  <c r="C43" i="40"/>
  <c r="E47" i="40"/>
  <c r="F47" i="40" s="1"/>
  <c r="E46" i="40"/>
  <c r="F46" i="40" s="1"/>
  <c r="I47" i="40"/>
  <c r="J47" i="40" s="1"/>
  <c r="D34" i="9"/>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C6" i="71" l="1"/>
  <c r="D7" i="71"/>
  <c r="D6" i="71" l="1"/>
  <c r="C5" i="71"/>
  <c r="D5" i="71" s="1"/>
  <c r="M24" i="43" s="1"/>
  <c r="G118" i="9"/>
  <c r="F118" i="9" s="1"/>
  <c r="I118" i="9"/>
  <c r="I4" i="52" s="1"/>
  <c r="H118" i="9" l="1"/>
  <c r="H119" i="9" s="1"/>
  <c r="H5" i="52" s="1"/>
  <c r="H102" i="9"/>
  <c r="E14" i="74" s="1"/>
  <c r="E118" i="9"/>
  <c r="D118" i="9" s="1"/>
  <c r="D119" i="9" s="1"/>
  <c r="D5" i="52" s="1"/>
  <c r="B49" i="72" s="1"/>
  <c r="F119" i="9"/>
  <c r="F5" i="52" s="1"/>
  <c r="B53" i="72" s="1"/>
  <c r="F4" i="52"/>
  <c r="B51" i="72" s="1"/>
  <c r="C105" i="9"/>
  <c r="G4" i="52"/>
  <c r="B52" i="72" s="1"/>
  <c r="H4" i="52" l="1"/>
  <c r="C104" i="9"/>
  <c r="H101" i="9"/>
  <c r="D14" i="74" s="1"/>
  <c r="E4" i="52"/>
  <c r="B48" i="72" s="1"/>
  <c r="D7" i="53"/>
  <c r="B21" i="72" s="1"/>
  <c r="D4" i="52"/>
  <c r="B47" i="72" s="1"/>
  <c r="B5" i="74" l="1"/>
  <c r="F14" i="74"/>
  <c r="M48" i="9"/>
  <c r="D45" i="9"/>
  <c r="H107" i="9"/>
  <c r="G14" i="74" s="1"/>
  <c r="B6" i="74" s="1"/>
  <c r="D6" i="74" s="1"/>
  <c r="D5" i="53"/>
  <c r="D5" i="74" l="1"/>
  <c r="C5" i="74"/>
  <c r="B20" i="72"/>
  <c r="D6" i="53"/>
  <c r="B22" i="72" s="1"/>
  <c r="M49" i="9"/>
  <c r="D13" i="53"/>
  <c r="D122" i="9"/>
  <c r="H108" i="9"/>
  <c r="D53" i="9"/>
  <c r="D55" i="9"/>
  <c r="M53" i="9" s="1"/>
  <c r="C93" i="9"/>
  <c r="C86" i="9" s="1"/>
  <c r="D52" i="9"/>
  <c r="C64" i="9"/>
  <c r="C63" i="9" s="1"/>
  <c r="C67" i="9" s="1"/>
  <c r="C72" i="9"/>
  <c r="C85" i="9"/>
  <c r="C78" i="9"/>
  <c r="C73" i="9" s="1"/>
  <c r="C95" i="9" l="1"/>
  <c r="C96" i="9" s="1"/>
  <c r="E96" i="9" s="1"/>
  <c r="E97" i="9" s="1"/>
  <c r="C79" i="9"/>
  <c r="C80" i="9" s="1"/>
  <c r="E80" i="9" s="1"/>
  <c r="E81" i="9" s="1"/>
  <c r="D14" i="53"/>
  <c r="B32" i="72" s="1"/>
  <c r="B30" i="72"/>
  <c r="L64" i="9"/>
  <c r="M64" i="9" s="1"/>
  <c r="L66" i="9"/>
  <c r="M66" i="9" s="1"/>
  <c r="L67" i="9"/>
  <c r="M67" i="9" s="1"/>
  <c r="L68" i="9"/>
  <c r="M68" i="9" s="1"/>
  <c r="L63" i="9"/>
  <c r="M63" i="9" s="1"/>
  <c r="L65" i="9"/>
  <c r="M65" i="9" s="1"/>
  <c r="C68" i="9"/>
  <c r="D54" i="9" s="1"/>
  <c r="D59" i="9"/>
  <c r="M55" i="9" s="1"/>
  <c r="D15" i="53"/>
  <c r="B31" i="72" s="1"/>
  <c r="C6" i="74"/>
  <c r="D8" i="52"/>
  <c r="D123" i="9"/>
  <c r="D9" i="52" s="1"/>
  <c r="C97" i="9" l="1"/>
  <c r="D58" i="9" s="1"/>
  <c r="D56" i="9" s="1"/>
  <c r="M54" i="9" s="1"/>
  <c r="N57" i="9" s="1"/>
  <c r="N58" i="9" s="1"/>
  <c r="C81" i="9"/>
  <c r="M69" i="9"/>
  <c r="N69" i="9" s="1"/>
  <c r="N59" i="9" l="1"/>
  <c r="N60" i="9" s="1"/>
  <c r="P57"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<sst xmlns="http://schemas.openxmlformats.org/spreadsheetml/2006/main" count="8004" uniqueCount="3512">
  <si>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</si>
  <si>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</si>
  <si>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</si>
  <si>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</si>
  <si>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</si>
  <si>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</si>
  <si>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</si>
  <si>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</si>
  <si>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</si>
  <si>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</si>
  <si>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</si>
  <si>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</si>
  <si>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</si>
  <si>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</si>
  <si>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</si>
  <si>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</si>
  <si>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</si>
  <si>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</si>
  <si>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</si>
  <si>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</si>
  <si>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</si>
  <si>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</si>
  <si>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</si>
  <si>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</si>
  <si>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</si>
  <si>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</si>
  <si>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</si>
  <si>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</si>
  <si>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</si>
  <si>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</si>
  <si>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</si>
  <si>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</si>
  <si>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</si>
  <si>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</si>
  <si>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</si>
  <si>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</si>
  <si>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</si>
  <si>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</si>
  <si>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</si>
  <si>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</si>
  <si>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</si>
  <si>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</si>
  <si>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</si>
  <si>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</si>
  <si>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</si>
  <si>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</si>
  <si>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</si>
  <si>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</si>
  <si>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</si>
  <si>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</si>
  <si>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</si>
  <si>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</si>
  <si>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</si>
  <si>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</si>
  <si>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</si>
  <si>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</si>
  <si>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</si>
  <si>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</si>
  <si>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</si>
  <si>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</si>
  <si>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</si>
  <si>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</si>
  <si>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</si>
  <si>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</si>
  <si>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</si>
  <si>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</si>
  <si>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</si>
  <si>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</si>
  <si>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</si>
  <si>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</si>
  <si>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</si>
  <si>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</si>
  <si>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</si>
  <si>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</si>
  <si>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</si>
  <si>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</si>
  <si>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</si>
  <si>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</si>
  <si>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</si>
  <si>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</si>
  <si>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</si>
  <si>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</si>
  <si>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</si>
  <si>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</si>
  <si>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</si>
  <si>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</si>
  <si>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</si>
  <si>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</si>
  <si>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</si>
  <si>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</si>
  <si>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</si>
  <si>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</si>
  <si>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</si>
  <si>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</si>
  <si>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</si>
  <si>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</si>
  <si>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</si>
  <si>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</si>
  <si>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</si>
  <si>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</si>
  <si>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</si>
  <si>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</si>
  <si>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</si>
  <si>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</si>
  <si>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</si>
  <si>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</si>
  <si>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</si>
  <si>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</si>
  <si>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</si>
  <si>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</si>
  <si>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</si>
  <si>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</si>
  <si>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</si>
  <si>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</si>
  <si>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</si>
  <si>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</si>
  <si>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</si>
  <si>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</si>
  <si>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</si>
  <si>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</si>
  <si>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</si>
  <si>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</si>
  <si>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</si>
  <si>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</si>
  <si>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</si>
  <si>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</si>
  <si>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</si>
  <si>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</si>
  <si>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</si>
  <si>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</si>
  <si>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</si>
  <si>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</si>
  <si>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</si>
  <si>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</si>
  <si>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</si>
  <si>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</si>
  <si>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</si>
  <si>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</si>
  <si>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</si>
  <si>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</si>
  <si>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</si>
  <si>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</si>
  <si>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</si>
  <si>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</si>
  <si>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</si>
  <si>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</si>
  <si>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</si>
  <si>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</si>
  <si>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</si>
  <si>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</si>
  <si>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</si>
  <si>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</si>
  <si>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</si>
  <si>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</si>
  <si>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</si>
  <si>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</si>
  <si>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</si>
  <si>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</si>
  <si>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</si>
  <si>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</si>
  <si>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</si>
  <si>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</si>
  <si>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</si>
  <si>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</si>
  <si>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</si>
  <si>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</si>
  <si>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</si>
  <si>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</si>
  <si>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</si>
  <si>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</si>
  <si>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</si>
  <si>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</si>
  <si>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</si>
  <si>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</si>
  <si>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</si>
  <si>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</si>
  <si>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</si>
  <si>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</si>
  <si>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</si>
  <si>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</si>
  <si>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</si>
  <si>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</si>
  <si>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</si>
  <si>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</si>
  <si>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</si>
  <si>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</si>
  <si>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</si>
  <si>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</si>
  <si>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</si>
  <si>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</si>
  <si>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</si>
  <si>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</si>
  <si>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</si>
  <si>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</si>
  <si>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</si>
  <si>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</si>
  <si>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</si>
  <si>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</si>
  <si>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</si>
  <si>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</si>
  <si>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</si>
  <si>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</si>
  <si>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</si>
  <si>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</si>
  <si>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</si>
  <si>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</si>
  <si>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</si>
  <si>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</si>
  <si>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</si>
  <si>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</si>
  <si>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</si>
  <si>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</si>
  <si>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</si>
  <si>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</si>
  <si>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</si>
  <si>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</si>
  <si>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</si>
  <si>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</si>
  <si>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</si>
  <si>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</si>
  <si>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</si>
  <si>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</si>
  <si>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</si>
  <si>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</si>
  <si>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</si>
  <si>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</si>
  <si>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</si>
  <si>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</si>
  <si>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</si>
  <si>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</si>
  <si>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</si>
  <si>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</si>
  <si>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</si>
  <si>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</si>
  <si>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</si>
  <si>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</si>
  <si>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</si>
  <si>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</si>
  <si>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</si>
  <si>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</si>
  <si>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</si>
  <si>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</si>
  <si>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</si>
  <si>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</si>
  <si>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</si>
  <si>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</si>
  <si>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</si>
  <si>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</si>
  <si>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</si>
  <si>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</si>
  <si>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</si>
  <si>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</si>
  <si>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</si>
  <si>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</si>
  <si>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</si>
  <si>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</si>
  <si>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</si>
  <si>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</si>
  <si>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</si>
  <si>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</si>
  <si>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</si>
  <si>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</si>
  <si>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</si>
  <si>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</si>
  <si>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</si>
  <si>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</si>
  <si>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</si>
  <si>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</si>
  <si>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</si>
  <si>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</si>
  <si>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</si>
  <si>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</si>
  <si>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</si>
  <si>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</si>
  <si>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</si>
  <si>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</si>
  <si>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</si>
  <si>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</si>
  <si>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</si>
  <si>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</si>
  <si>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</si>
  <si>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</si>
  <si>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</si>
  <si>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</si>
  <si>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</si>
  <si>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</si>
  <si>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</si>
  <si>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</si>
  <si>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</si>
  <si>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</si>
  <si>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</si>
  <si>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</si>
  <si>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</si>
  <si>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</si>
  <si>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</si>
  <si>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</si>
  <si>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</si>
  <si>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</si>
  <si>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</si>
  <si>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</si>
  <si>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</si>
  <si>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</si>
  <si>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</si>
  <si>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</si>
  <si>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</si>
  <si>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</si>
  <si>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</si>
  <si>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</si>
  <si>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</si>
  <si>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</si>
  <si>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</si>
  <si>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</si>
  <si>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</si>
  <si>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</si>
  <si>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</si>
  <si>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</si>
  <si>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</si>
  <si>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</si>
  <si>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</si>
  <si>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</si>
  <si>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</si>
  <si>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</si>
  <si>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</si>
  <si>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</si>
  <si>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</si>
  <si>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</si>
  <si>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</si>
  <si>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</si>
  <si>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</si>
  <si>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</si>
  <si>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</si>
  <si>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</si>
  <si>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</si>
  <si>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</si>
  <si>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</si>
  <si>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</si>
  <si>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</si>
  <si>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</si>
  <si>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</si>
  <si>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</si>
  <si>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</si>
  <si>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</si>
  <si>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</si>
  <si>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</si>
  <si>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</si>
  <si>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</si>
  <si>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</si>
  <si>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</si>
  <si>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</si>
  <si>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</si>
  <si>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</si>
  <si>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</si>
  <si>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</si>
  <si>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</si>
  <si>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</si>
  <si>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</si>
  <si>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</si>
  <si>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</si>
  <si>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</si>
  <si>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</si>
  <si>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</si>
  <si>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</si>
  <si>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</si>
  <si>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</si>
  <si>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</si>
  <si>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</si>
  <si>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</si>
  <si>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</si>
  <si>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</si>
  <si>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</si>
  <si>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</si>
  <si>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</si>
  <si>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</si>
  <si>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</si>
  <si>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</si>
  <si>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</si>
  <si>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</si>
  <si>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</si>
  <si>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</si>
  <si>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</si>
  <si>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</si>
  <si>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</si>
  <si>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</si>
  <si>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</si>
  <si>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</si>
  <si>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</si>
  <si>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</si>
  <si>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</si>
  <si>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</si>
  <si>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</si>
  <si>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</si>
  <si>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</si>
  <si>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</si>
  <si>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</si>
  <si>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</si>
  <si>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</si>
  <si>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</si>
  <si>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</si>
  <si>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</si>
  <si>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</si>
  <si>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</si>
  <si>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</si>
  <si>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</si>
  <si>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</si>
  <si>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</si>
  <si>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</si>
  <si>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</si>
  <si>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</si>
  <si>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</si>
  <si>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</si>
  <si>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</si>
  <si>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</si>
  <si>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</si>
  <si>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</si>
  <si>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</si>
  <si>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</si>
  <si>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</si>
  <si>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</si>
  <si>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</si>
  <si>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</si>
  <si>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</si>
  <si>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</si>
  <si>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</si>
  <si>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</si>
  <si>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</si>
  <si>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</si>
  <si>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</si>
  <si>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</si>
  <si>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</si>
  <si>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</si>
  <si>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</si>
  <si>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</si>
  <si>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</si>
  <si>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</si>
  <si>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</si>
  <si>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</si>
  <si>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</si>
  <si>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</si>
  <si>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</si>
  <si>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</si>
  <si>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</si>
  <si>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</si>
  <si>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</si>
  <si>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</si>
  <si>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</si>
  <si>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</si>
  <si>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</si>
  <si>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</si>
  <si>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</si>
  <si>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</si>
  <si>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</si>
  <si>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</si>
  <si>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</si>
  <si>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</si>
  <si>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</si>
  <si>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</si>
  <si>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</si>
  <si>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</si>
  <si>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</si>
  <si>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</si>
  <si>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</si>
  <si>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</si>
  <si>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</si>
  <si>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</si>
  <si>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</si>
  <si>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</si>
  <si>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</si>
  <si>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</si>
  <si>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</si>
  <si>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</si>
  <si>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</si>
  <si>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</si>
  <si>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</si>
  <si>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</si>
  <si>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</si>
  <si>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</si>
  <si>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</si>
  <si>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</si>
  <si>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</si>
  <si>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</si>
  <si>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</si>
  <si>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</si>
  <si>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</si>
  <si>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</si>
  <si>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</si>
  <si>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</si>
  <si>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</si>
  <si>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</si>
  <si>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</si>
  <si>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</si>
  <si>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</si>
  <si>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</si>
  <si>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</si>
  <si>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</si>
  <si>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</si>
  <si>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</si>
  <si>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</si>
  <si>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</si>
  <si>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</si>
  <si>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</si>
  <si>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</si>
  <si>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</si>
  <si>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</si>
  <si>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</si>
  <si>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</si>
  <si>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</si>
  <si>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</si>
  <si>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</si>
  <si>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</si>
  <si>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</si>
  <si>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</si>
  <si>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</si>
  <si>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</si>
  <si>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</si>
  <si>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</si>
  <si>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</si>
  <si>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</si>
  <si>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</si>
  <si>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</si>
  <si>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</si>
  <si>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</si>
  <si>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</si>
  <si>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</si>
  <si>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</si>
  <si>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</si>
  <si>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</si>
  <si>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</si>
  <si>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</si>
  <si>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</si>
  <si>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</si>
  <si>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</si>
  <si>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</si>
  <si>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</si>
  <si>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</si>
  <si>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</si>
  <si>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</si>
  <si>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</si>
  <si>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</si>
  <si>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</si>
  <si>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</si>
  <si>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</si>
  <si>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</si>
  <si>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</si>
  <si>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</si>
  <si>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</si>
  <si>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</si>
  <si>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</si>
  <si>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</si>
  <si>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</si>
  <si>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</si>
  <si>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</si>
  <si>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</si>
  <si>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</si>
  <si>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</si>
  <si>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</si>
  <si>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</si>
  <si>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</si>
  <si>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</si>
  <si>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</si>
  <si>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</si>
  <si>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</si>
  <si>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</si>
  <si>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</si>
  <si>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</si>
  <si>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</si>
  <si>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</si>
  <si>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</si>
  <si>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</si>
  <si>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</si>
  <si>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</si>
  <si>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</si>
  <si>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</si>
  <si>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</si>
  <si>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</si>
  <si>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</si>
  <si>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</si>
  <si>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</si>
  <si>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</si>
  <si>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</si>
  <si>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</si>
  <si>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</si>
  <si>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</si>
  <si>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</si>
  <si>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</si>
  <si>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</si>
  <si>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</si>
  <si>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</si>
  <si>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</si>
  <si>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</si>
  <si>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</si>
  <si>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</si>
  <si>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</si>
  <si>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</si>
  <si>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</si>
  <si>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</si>
  <si>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</si>
  <si>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</si>
  <si>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</si>
  <si>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</si>
  <si>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</si>
  <si>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</si>
  <si>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</si>
  <si>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</si>
  <si>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</si>
  <si>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</si>
  <si>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</si>
  <si>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</si>
  <si>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</si>
  <si>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</si>
  <si>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</si>
  <si>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</si>
  <si>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</si>
  <si>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</si>
  <si>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</si>
  <si>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</si>
  <si>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</si>
  <si>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</si>
  <si>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</si>
  <si>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</si>
  <si>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</si>
  <si>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</si>
  <si>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</si>
  <si>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</si>
  <si>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</si>
  <si>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</si>
  <si>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</si>
  <si>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</si>
  <si>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</si>
  <si>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</si>
  <si>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</si>
  <si>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</si>
  <si>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</si>
  <si>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</si>
  <si>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</si>
  <si>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</si>
  <si>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</si>
  <si>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</si>
  <si>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</si>
  <si>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</si>
  <si>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</si>
  <si>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</si>
  <si>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</si>
  <si>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</si>
  <si>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</si>
  <si>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</si>
  <si>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</si>
  <si>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</si>
  <si>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</si>
  <si>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</si>
  <si>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</si>
  <si>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</si>
  <si>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</si>
  <si>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</si>
  <si>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</si>
  <si>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</si>
  <si>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</si>
  <si>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</si>
  <si>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</si>
  <si>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</si>
  <si>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</si>
  <si>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</si>
  <si>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</si>
  <si>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</si>
  <si>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</si>
  <si>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</si>
  <si>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</si>
  <si>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</si>
  <si>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</si>
  <si>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</si>
  <si>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</si>
  <si>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</si>
  <si>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</si>
  <si>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</si>
  <si>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</si>
  <si>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</si>
  <si>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</si>
  <si>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</si>
  <si>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</si>
  <si>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</si>
  <si>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</si>
  <si>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</si>
  <si>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</si>
  <si>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</si>
  <si>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</si>
  <si>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</si>
  <si>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</si>
  <si>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</si>
  <si>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</si>
  <si>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</si>
  <si>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</si>
  <si>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</si>
  <si>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</si>
  <si>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</si>
  <si>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</si>
  <si>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</si>
  <si>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</si>
  <si>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</si>
  <si>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</si>
  <si>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</si>
  <si>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</si>
  <si>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</si>
  <si>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</si>
  <si>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</si>
  <si>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</si>
  <si>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</si>
  <si>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</si>
  <si>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</si>
  <si>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</si>
  <si>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</si>
  <si>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</si>
  <si>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</si>
  <si>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</si>
  <si>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</si>
  <si>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</si>
  <si>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</si>
  <si>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</si>
  <si>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</si>
  <si>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</si>
  <si>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</si>
  <si>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</si>
  <si>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</si>
  <si>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</si>
  <si>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</si>
  <si>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</si>
  <si>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</si>
  <si>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</si>
  <si>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</si>
  <si>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</si>
  <si>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</si>
  <si>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</si>
  <si>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</si>
  <si>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</si>
  <si>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</si>
  <si>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</si>
  <si>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</si>
  <si>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</si>
  <si>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</si>
  <si>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</si>
  <si>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</si>
  <si>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</si>
  <si>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</si>
  <si>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</si>
  <si>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</si>
  <si>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</si>
  <si>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</si>
  <si>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</si>
  <si>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</si>
  <si>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</si>
  <si>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</si>
  <si>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</si>
  <si>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</si>
  <si>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</si>
  <si>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</si>
  <si>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</si>
  <si>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</si>
  <si>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</si>
  <si>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</si>
  <si>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</si>
  <si>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</si>
  <si>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</si>
  <si>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</si>
  <si>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</si>
  <si>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</si>
  <si>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</si>
  <si>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</si>
  <si>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</si>
  <si>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</si>
  <si>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</si>
  <si>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</si>
  <si>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</si>
  <si>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</si>
  <si>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</si>
  <si>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</si>
  <si>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</si>
  <si>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</si>
  <si>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</si>
  <si>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</si>
  <si>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</si>
  <si>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</si>
  <si>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</si>
  <si>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</si>
  <si>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</si>
  <si>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</si>
  <si>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</si>
  <si>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</si>
  <si>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</si>
  <si>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</si>
  <si>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</si>
  <si>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</si>
  <si>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</si>
  <si>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</si>
  <si>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</si>
  <si>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</si>
  <si>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</si>
  <si>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</si>
  <si>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</si>
  <si>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</si>
  <si>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</si>
  <si>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</si>
  <si>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</si>
  <si>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</si>
  <si>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</si>
  <si>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</si>
  <si>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</si>
  <si>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</si>
  <si>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</si>
  <si>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</si>
  <si>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</si>
  <si>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</si>
  <si>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</si>
  <si>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</si>
  <si>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</si>
  <si>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</si>
  <si>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</si>
  <si>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</si>
  <si>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</si>
  <si>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</si>
  <si>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</si>
  <si>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</si>
  <si>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</si>
  <si>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</si>
  <si>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</si>
  <si>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</si>
  <si>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</si>
  <si>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</si>
  <si>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</si>
  <si>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</si>
  <si>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</si>
  <si>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</si>
  <si>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</si>
  <si>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</si>
  <si>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</si>
  <si>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</si>
  <si>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</si>
  <si>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</si>
  <si>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</si>
  <si>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</si>
  <si>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</si>
  <si>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</si>
  <si>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</si>
  <si>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</si>
  <si>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</si>
  <si>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</si>
  <si>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</si>
  <si>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</si>
  <si>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</si>
  <si>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</si>
  <si>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</si>
  <si>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</si>
  <si>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</si>
  <si>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</si>
  <si>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</si>
  <si>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</si>
  <si>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</si>
  <si>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</si>
  <si>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</si>
  <si>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</si>
  <si>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</si>
  <si>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</si>
  <si>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</si>
  <si>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</si>
  <si>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</si>
  <si>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</si>
  <si>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</si>
  <si>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</si>
  <si>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</si>
  <si>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</si>
  <si>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</si>
  <si>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</si>
  <si>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</si>
  <si>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</si>
  <si>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</si>
  <si>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</si>
  <si>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</si>
  <si>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</si>
  <si>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</si>
  <si>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</si>
  <si>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</si>
  <si>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</si>
  <si>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</si>
  <si>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</si>
  <si>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</si>
  <si>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</si>
  <si>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</si>
  <si>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</si>
  <si>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</si>
  <si>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</si>
  <si>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</si>
  <si>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</si>
  <si>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</si>
  <si>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</si>
  <si>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</si>
  <si>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</si>
  <si>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</si>
  <si>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</si>
  <si>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</si>
  <si>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</si>
  <si>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</si>
  <si>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</si>
  <si>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</si>
  <si>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</si>
  <si>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</si>
  <si>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</si>
  <si>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</si>
  <si>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</si>
  <si>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</si>
  <si>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</si>
  <si>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</si>
  <si>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</si>
  <si>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</si>
  <si>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</si>
  <si>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</si>
  <si>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</si>
  <si>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</si>
  <si>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</si>
  <si>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</si>
  <si>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</si>
  <si>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</si>
  <si>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</si>
  <si>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</si>
  <si>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</si>
  <si>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</si>
  <si>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</si>
  <si>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</si>
  <si>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</si>
  <si>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</si>
  <si>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</si>
  <si>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</si>
  <si>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</si>
  <si>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</si>
  <si>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</si>
  <si>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</si>
  <si>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</si>
  <si>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</si>
  <si>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</si>
  <si>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</si>
  <si>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</si>
  <si>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</si>
  <si>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</si>
  <si>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</si>
  <si>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</si>
  <si>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</si>
  <si>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</si>
  <si>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</si>
  <si>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</si>
  <si>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</si>
  <si>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</si>
  <si>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</si>
  <si>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</si>
  <si>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</si>
  <si>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</si>
  <si>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</si>
  <si>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</si>
  <si>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</si>
  <si>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</si>
  <si>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</si>
  <si>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</si>
  <si>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</si>
  <si>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</si>
  <si>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</si>
  <si>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</si>
  <si>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</si>
  <si>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</si>
  <si>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</si>
  <si>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</si>
  <si>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</si>
  <si>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</si>
  <si>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</si>
  <si>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</si>
  <si>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</si>
  <si>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</si>
  <si>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</si>
  <si>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</si>
  <si>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</si>
  <si>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</si>
  <si>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</si>
  <si>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</si>
  <si>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</si>
  <si>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</si>
  <si>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</si>
  <si>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</si>
  <si>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</si>
  <si>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</si>
  <si>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</si>
  <si>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</si>
  <si>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</si>
  <si>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</si>
  <si>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</si>
  <si>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</si>
  <si>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</si>
  <si>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</si>
  <si>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</si>
  <si>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</si>
  <si>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</si>
  <si>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</si>
  <si>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</si>
  <si>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</si>
  <si>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</si>
  <si>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</si>
  <si>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</si>
  <si>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</si>
  <si>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</si>
  <si>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</si>
  <si>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</si>
  <si>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</si>
  <si>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</si>
  <si>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</si>
  <si>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</si>
  <si>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</si>
  <si>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</si>
  <si>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</si>
  <si>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</si>
  <si>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</si>
  <si>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</si>
  <si>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</si>
  <si>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</si>
  <si>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</si>
  <si>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</si>
  <si>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</si>
  <si>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</si>
  <si>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</si>
  <si>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</si>
  <si>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</si>
  <si>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</si>
  <si>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</si>
  <si>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</si>
  <si>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</si>
  <si>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</si>
  <si>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</si>
  <si>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</si>
  <si>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</si>
  <si>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</si>
  <si>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</si>
  <si>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</si>
  <si>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</si>
  <si>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</si>
  <si>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</si>
  <si>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</si>
  <si>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</si>
  <si>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</si>
  <si>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</si>
  <si>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</si>
  <si>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</si>
  <si>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</si>
  <si>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</si>
  <si>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</si>
  <si>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</si>
  <si>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</si>
  <si>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</si>
  <si>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</si>
  <si>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</si>
  <si>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</si>
  <si>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</si>
  <si>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</si>
  <si>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</si>
  <si>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</si>
  <si>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</si>
  <si>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</si>
  <si>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</si>
  <si>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</si>
  <si>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</si>
  <si>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</si>
  <si>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</si>
  <si>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</si>
  <si>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</si>
  <si>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</si>
  <si>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</si>
  <si>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</si>
  <si>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</si>
  <si>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</si>
  <si>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</si>
  <si>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</si>
  <si>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</si>
  <si>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</si>
  <si>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</si>
  <si>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</si>
  <si>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</si>
  <si>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</si>
  <si>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</si>
  <si>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</si>
  <si>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</si>
  <si>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</si>
  <si>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</si>
  <si>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</si>
  <si>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</si>
  <si>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</si>
  <si>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</si>
  <si>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</si>
  <si>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</si>
  <si>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</si>
  <si>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</si>
  <si>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</si>
  <si>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</si>
  <si>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</si>
  <si>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</si>
  <si>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</si>
  <si>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</si>
  <si>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</si>
  <si>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</si>
  <si>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</si>
  <si>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</si>
  <si>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</si>
  <si>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</si>
  <si>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</si>
  <si>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</si>
  <si>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</si>
  <si>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</si>
  <si>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</si>
  <si>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</si>
  <si>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</si>
  <si>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</si>
  <si>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</si>
  <si>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</si>
  <si>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</si>
  <si>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</si>
  <si>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</si>
  <si>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</si>
  <si>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</si>
  <si>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</si>
  <si>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</si>
  <si>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</si>
  <si>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</si>
  <si>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</si>
  <si>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</si>
  <si>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</si>
  <si>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</si>
  <si>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</si>
  <si>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</si>
  <si>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</si>
  <si>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</si>
  <si>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</si>
  <si>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</si>
  <si>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</si>
  <si>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</si>
  <si>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</si>
  <si>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</si>
  <si>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</si>
  <si>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</si>
  <si>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</si>
  <si>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</si>
  <si>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</si>
  <si>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</si>
  <si>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</si>
  <si>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</si>
  <si>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</si>
  <si>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</si>
  <si>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</si>
  <si>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</si>
  <si>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</si>
  <si>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</si>
  <si>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</si>
  <si>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</si>
  <si>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</si>
  <si>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</si>
  <si>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</si>
  <si>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</si>
  <si>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</si>
  <si>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</si>
  <si>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</si>
  <si>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</si>
  <si>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</si>
  <si>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</si>
  <si>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</si>
  <si>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</si>
  <si>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</si>
  <si>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</si>
  <si>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</si>
  <si>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</si>
  <si>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</si>
  <si>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</si>
  <si>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</si>
  <si>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</si>
  <si>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</si>
  <si>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</si>
  <si>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</si>
  <si>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</si>
  <si>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</si>
  <si>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</si>
  <si>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</si>
  <si>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</si>
  <si>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</si>
  <si>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</si>
  <si>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</si>
  <si>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</si>
  <si>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</si>
  <si>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</si>
  <si>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</si>
  <si>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</si>
  <si>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</si>
  <si>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</si>
  <si>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</si>
  <si>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</si>
  <si>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</si>
  <si>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</si>
  <si>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</si>
  <si>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</si>
  <si>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</si>
  <si>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</si>
  <si>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</si>
  <si>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</si>
  <si>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</si>
  <si>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</si>
  <si>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</si>
  <si>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</si>
  <si>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</si>
  <si>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</si>
  <si>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</si>
  <si>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</si>
  <si>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</si>
  <si>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</si>
  <si>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</si>
  <si>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</si>
  <si>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</si>
  <si>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</si>
  <si>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</si>
  <si>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</si>
  <si>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</si>
  <si>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</si>
  <si>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</si>
  <si>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</si>
  <si>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</si>
  <si>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</si>
  <si>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</si>
  <si>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</si>
  <si>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</si>
  <si>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</si>
  <si>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</si>
  <si>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</si>
  <si>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</si>
  <si>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</si>
  <si>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</si>
  <si>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</si>
  <si>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</si>
  <si>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</si>
  <si>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</si>
  <si>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</si>
  <si>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</si>
  <si>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</si>
  <si>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</si>
  <si>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</si>
  <si>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</si>
  <si>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</si>
  <si>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</si>
  <si>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</si>
  <si>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</si>
  <si>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</si>
  <si>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</si>
  <si>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</si>
  <si>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</si>
  <si>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</si>
  <si>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</si>
  <si>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</si>
  <si>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</si>
  <si>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</si>
  <si>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</si>
  <si>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</si>
  <si>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</si>
  <si>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</si>
  <si>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</si>
  <si>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</si>
  <si>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</si>
  <si>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</si>
  <si>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</si>
  <si>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</si>
  <si>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</si>
  <si>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</si>
  <si>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</si>
  <si>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</si>
  <si>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</si>
  <si>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</si>
  <si>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</si>
  <si>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</si>
  <si>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</si>
  <si>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</si>
  <si>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</si>
  <si>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</si>
  <si>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</si>
  <si>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</si>
  <si>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</si>
  <si>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</si>
  <si>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</si>
  <si>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</si>
  <si>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</si>
  <si>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</si>
  <si>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</si>
  <si>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</si>
  <si>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</si>
  <si>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</si>
  <si>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</si>
  <si>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</si>
  <si>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</si>
  <si>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</si>
  <si>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</si>
  <si>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</si>
  <si>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</si>
  <si>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</si>
  <si>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</si>
  <si>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</si>
  <si>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</si>
  <si>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</si>
  <si>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</si>
  <si>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</si>
  <si>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</si>
  <si>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</si>
  <si>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</si>
  <si>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</si>
  <si>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</si>
  <si>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</si>
  <si>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</si>
  <si>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</si>
  <si>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</si>
  <si>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</si>
  <si>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</si>
  <si>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</si>
  <si>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</si>
  <si>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</si>
  <si>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</si>
  <si>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</si>
  <si>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</si>
  <si>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</si>
  <si>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</si>
  <si>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</si>
  <si>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</si>
  <si>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</si>
  <si>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</si>
  <si>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</si>
  <si>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</si>
  <si>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</si>
  <si>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</si>
  <si>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</si>
  <si>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</si>
  <si>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</si>
  <si>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</si>
  <si>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</si>
  <si>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</si>
  <si>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</si>
  <si>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</si>
  <si>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</si>
  <si>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</si>
  <si>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</si>
  <si>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</si>
  <si>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</si>
  <si>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</si>
  <si>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</si>
  <si>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</si>
  <si>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</si>
  <si>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</si>
  <si>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</si>
  <si>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</si>
  <si>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</si>
  <si>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</si>
  <si>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</si>
  <si>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</si>
  <si>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</si>
  <si>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</si>
  <si>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</si>
  <si>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</si>
  <si>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</si>
  <si>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</si>
  <si>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</si>
  <si>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</si>
  <si>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</si>
  <si>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</si>
  <si>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</si>
  <si>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</si>
  <si>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</si>
  <si>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</si>
  <si>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</si>
  <si>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</si>
  <si>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</si>
  <si>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</si>
  <si>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</si>
  <si>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</si>
  <si>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</si>
  <si>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</si>
  <si>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</si>
  <si>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</si>
  <si>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</si>
  <si>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</si>
  <si>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</si>
  <si>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</si>
  <si>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</si>
  <si>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</si>
  <si>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</si>
  <si>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</si>
  <si>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</si>
  <si>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</si>
  <si>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</si>
  <si>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</si>
  <si>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</si>
  <si>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</si>
  <si>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</si>
  <si>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</si>
  <si>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</si>
  <si>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</si>
  <si>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</si>
  <si>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</si>
  <si>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</si>
  <si>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</si>
  <si>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</si>
  <si>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</si>
  <si>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</si>
  <si>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</si>
  <si>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</si>
  <si>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</si>
  <si>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</si>
  <si>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</si>
  <si>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</si>
  <si>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</si>
  <si>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</si>
  <si>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</si>
  <si>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</si>
  <si>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</si>
  <si>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</si>
  <si>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</si>
  <si>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</si>
  <si>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</si>
  <si>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</si>
  <si>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</si>
  <si>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</si>
  <si>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</si>
  <si>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</si>
  <si>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</si>
  <si>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</si>
  <si>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</si>
  <si>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</si>
  <si>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</si>
  <si>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</si>
  <si>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</si>
  <si>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</si>
  <si>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</si>
  <si>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</si>
  <si>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</si>
  <si>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</si>
  <si>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</si>
  <si>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</si>
  <si>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</si>
  <si>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</si>
  <si>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</si>
  <si>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</si>
  <si>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</si>
  <si>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</si>
  <si>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</si>
  <si>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</si>
  <si>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</si>
  <si>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</si>
  <si>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</si>
  <si>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</si>
  <si>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</si>
  <si>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</si>
  <si>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</si>
  <si>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</si>
  <si>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</si>
  <si>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</si>
  <si>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</si>
  <si>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</si>
  <si>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</si>
  <si>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</si>
  <si>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</si>
  <si>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</si>
  <si>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</si>
  <si>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</si>
  <si>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</si>
  <si>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</si>
  <si>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</si>
  <si>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</si>
  <si>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</si>
  <si>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</si>
  <si>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</si>
  <si>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</si>
  <si>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</si>
  <si>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</si>
  <si>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</si>
  <si>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</si>
  <si>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</si>
  <si>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</si>
  <si>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</si>
  <si>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</si>
  <si>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</si>
  <si>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</si>
  <si>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</si>
  <si>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</si>
  <si>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</si>
  <si>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</si>
  <si>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</si>
  <si>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</si>
  <si>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</si>
  <si>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</si>
  <si>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</si>
  <si>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</si>
  <si>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</si>
  <si>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</si>
  <si>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</si>
  <si>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</si>
  <si>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</si>
  <si>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</si>
  <si>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</si>
  <si>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</si>
  <si>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</si>
  <si>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</si>
  <si>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</si>
  <si>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</si>
  <si>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</si>
  <si>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</si>
  <si>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</si>
  <si>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</si>
  <si>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</si>
  <si>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</si>
  <si>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</si>
  <si>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</si>
  <si>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</si>
  <si>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</si>
  <si>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</si>
  <si>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</si>
  <si>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</si>
  <si>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</si>
  <si>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</si>
  <si>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</si>
  <si>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</si>
  <si>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</si>
  <si>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</si>
  <si>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</si>
  <si>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</si>
  <si>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</si>
  <si>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</si>
  <si>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</si>
  <si>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</si>
  <si>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</si>
  <si>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</si>
  <si>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</si>
  <si>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</si>
  <si>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</si>
  <si>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</si>
  <si>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</si>
  <si>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</si>
  <si>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</si>
  <si>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</si>
  <si>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</si>
  <si>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</si>
  <si>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</si>
  <si>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</si>
  <si>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</si>
  <si>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</si>
  <si>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</si>
  <si>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</si>
  <si>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</si>
  <si>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</si>
  <si>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</si>
  <si>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</si>
  <si>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</si>
  <si>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</si>
  <si>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</si>
  <si>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</si>
  <si>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</si>
  <si>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</si>
  <si>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</si>
  <si>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</si>
  <si>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</si>
  <si>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</si>
  <si>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</si>
  <si>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</si>
  <si>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</si>
  <si>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</si>
  <si>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</si>
  <si>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</si>
  <si>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</si>
  <si>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</si>
  <si>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</si>
  <si>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</si>
  <si>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</si>
  <si>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</si>
  <si>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</si>
  <si>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</si>
  <si>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</si>
  <si>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</si>
  <si>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</si>
  <si>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</si>
  <si>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</si>
  <si>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</si>
  <si>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</si>
  <si>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</si>
  <si>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</si>
  <si>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</si>
  <si>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</si>
  <si>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</si>
  <si>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</si>
  <si>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</si>
  <si>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</si>
  <si>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</si>
  <si>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</si>
  <si>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</si>
  <si>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</si>
  <si>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</si>
  <si>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</si>
  <si>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</si>
  <si>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</si>
  <si>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</si>
  <si>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</si>
  <si>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</si>
  <si>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</si>
  <si>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</si>
  <si>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</si>
  <si>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</si>
  <si>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</si>
  <si>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</si>
  <si>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</si>
  <si>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</si>
  <si>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</si>
  <si>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</si>
  <si>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</si>
  <si>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</si>
  <si>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</si>
  <si>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</si>
  <si>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</si>
  <si>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</si>
  <si>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</si>
  <si>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</si>
  <si>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</si>
  <si>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</si>
  <si>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</si>
  <si>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</si>
  <si>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</si>
  <si>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</si>
  <si>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</si>
  <si>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</si>
  <si>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</si>
  <si>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</si>
  <si>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</si>
  <si>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</si>
  <si>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</si>
  <si>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</si>
  <si>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</si>
  <si>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</si>
  <si>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</si>
  <si>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</si>
  <si>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</si>
  <si>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</si>
  <si>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</si>
  <si>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</si>
  <si>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</si>
  <si>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</si>
  <si>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</si>
  <si>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</si>
  <si>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</si>
  <si>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</si>
  <si>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</si>
  <si>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</si>
  <si>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</si>
  <si>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</si>
  <si>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</si>
  <si>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</si>
  <si>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</si>
  <si>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</si>
  <si>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</si>
  <si>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</si>
  <si>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</si>
  <si>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</si>
  <si>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</si>
  <si>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</si>
  <si>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</si>
  <si>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</si>
  <si>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</si>
  <si>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</si>
  <si>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</si>
  <si>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</si>
  <si>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</si>
  <si>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</si>
  <si>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</si>
  <si>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</si>
  <si>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</si>
  <si>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</si>
  <si>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</si>
  <si>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</si>
  <si>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</si>
  <si>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</si>
  <si>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</si>
  <si>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</si>
  <si>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</si>
  <si>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</si>
  <si>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</si>
  <si>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</si>
  <si>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</si>
  <si>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</si>
  <si>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</si>
  <si>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</si>
  <si>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</si>
  <si>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</si>
  <si>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</si>
  <si>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</si>
  <si>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</si>
  <si>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</si>
  <si>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</si>
  <si>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</si>
  <si>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</si>
  <si>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</si>
  <si>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</si>
  <si>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</si>
  <si>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</si>
  <si>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</si>
  <si>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</si>
  <si>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</si>
  <si>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</si>
  <si>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</si>
  <si>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</si>
  <si>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</si>
  <si>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</si>
  <si>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</si>
  <si>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</si>
  <si>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</si>
  <si>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</si>
  <si>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</si>
  <si>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</si>
  <si>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</si>
  <si>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</si>
  <si>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</si>
  <si>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</si>
  <si>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</si>
  <si>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</si>
  <si>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</si>
  <si>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</si>
  <si>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</si>
  <si>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</si>
  <si>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</si>
  <si>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</si>
  <si>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</si>
  <si>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</si>
  <si>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</si>
  <si>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</si>
  <si>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</si>
  <si>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</si>
  <si>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</si>
  <si>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</si>
  <si>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</si>
  <si>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</si>
  <si>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</si>
  <si>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</si>
  <si>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</si>
  <si>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</si>
  <si>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</si>
  <si>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</si>
  <si>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</si>
  <si>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</si>
  <si>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</si>
  <si>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</si>
  <si>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</si>
  <si>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</si>
  <si>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</si>
  <si>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</si>
  <si>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</si>
  <si>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</si>
  <si>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</si>
  <si>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</si>
  <si>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</si>
  <si>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</si>
  <si>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</si>
  <si>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</si>
  <si>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</si>
  <si>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</si>
  <si>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</si>
  <si>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</si>
  <si>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</si>
  <si>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</si>
  <si>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</si>
  <si>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</si>
  <si>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</si>
  <si>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</si>
  <si>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</si>
  <si>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</si>
  <si>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</si>
  <si>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</si>
  <si>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</si>
  <si>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</si>
  <si>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</si>
  <si>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</si>
  <si>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</si>
  <si>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</si>
  <si>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</si>
  <si>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</si>
  <si>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</si>
  <si>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</si>
  <si>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</si>
  <si>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</si>
  <si>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</si>
  <si>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</si>
  <si>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</si>
  <si>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</si>
  <si>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</si>
  <si>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</si>
  <si>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</si>
  <si>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</si>
  <si>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</si>
  <si>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</si>
  <si>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</si>
  <si>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</si>
  <si>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</si>
  <si>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</si>
  <si>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</si>
  <si>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</si>
  <si>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</si>
  <si>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</si>
  <si>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</si>
  <si>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</si>
  <si>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</si>
  <si>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</si>
  <si>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</si>
  <si>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</si>
  <si>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</si>
  <si>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</si>
  <si>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</si>
  <si>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</si>
  <si>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</si>
  <si>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</si>
  <si>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</si>
  <si>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</si>
  <si>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</si>
  <si>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</si>
  <si>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</si>
  <si>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</si>
  <si>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</si>
  <si>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</si>
  <si>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</si>
  <si>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</si>
  <si>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</si>
  <si>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</si>
  <si>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</si>
  <si>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</si>
  <si>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</si>
  <si>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</si>
  <si>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</si>
  <si>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</si>
  <si>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</si>
  <si>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</si>
  <si>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</si>
  <si>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</si>
  <si>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</si>
  <si>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</si>
  <si>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</si>
  <si>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</si>
  <si>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</si>
  <si>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</si>
  <si>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</si>
  <si>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</si>
  <si>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</si>
  <si>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</si>
  <si>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</si>
  <si>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</si>
  <si>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</si>
  <si>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</si>
  <si>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</si>
  <si>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</si>
  <si>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</si>
  <si>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</si>
  <si>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</si>
  <si>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</si>
  <si>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</si>
  <si>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</si>
  <si>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</si>
  <si>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</si>
  <si>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</si>
  <si>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</si>
  <si>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</si>
  <si>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</si>
  <si>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</si>
  <si>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</si>
  <si>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</si>
  <si>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</si>
  <si>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</si>
  <si>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</si>
  <si>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</si>
  <si>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</si>
  <si>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</si>
  <si>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</si>
  <si>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</si>
  <si>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</si>
  <si>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</si>
  <si>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</si>
  <si>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</si>
  <si>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</si>
  <si>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</si>
  <si>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</si>
  <si>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</si>
  <si>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</si>
  <si>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</si>
  <si>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</si>
  <si>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</si>
  <si>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</si>
  <si>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</si>
  <si>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</si>
  <si>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</si>
  <si>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</si>
  <si>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</si>
  <si>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</si>
  <si>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</si>
  <si>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</si>
  <si>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</si>
  <si>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</si>
  <si>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</si>
  <si>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</si>
  <si>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</si>
  <si>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</si>
  <si>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</si>
  <si>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</si>
  <si>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</si>
  <si>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</si>
  <si>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</si>
  <si>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</si>
  <si>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</si>
  <si>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</si>
  <si>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</si>
  <si>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</si>
  <si>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</si>
  <si>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</si>
  <si>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</si>
  <si>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</si>
  <si>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</si>
  <si>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</si>
  <si>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</si>
  <si>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</si>
  <si>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</si>
  <si>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</si>
  <si>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</si>
  <si>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</si>
  <si>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</si>
  <si>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</si>
  <si>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</si>
  <si>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</si>
  <si>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</si>
  <si>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</si>
  <si>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</si>
  <si>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</si>
  <si>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</si>
  <si>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</si>
  <si>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</si>
  <si>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</si>
  <si>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</si>
  <si>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</si>
  <si>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</si>
  <si>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</si>
  <si>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</si>
  <si>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</si>
  <si>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</si>
  <si>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</si>
  <si>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</si>
  <si>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</si>
  <si>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</si>
  <si>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</si>
  <si>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</si>
  <si>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</si>
  <si>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</si>
  <si>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</si>
  <si>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</si>
  <si>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</si>
  <si>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</si>
  <si>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</si>
  <si>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</si>
  <si>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</si>
  <si>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</si>
  <si>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</si>
  <si>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</si>
  <si>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</si>
  <si>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</si>
  <si>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</si>
  <si>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</si>
  <si>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</si>
  <si>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</si>
  <si>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</si>
  <si>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</si>
  <si>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</si>
  <si>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</si>
  <si>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</si>
  <si>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</si>
  <si>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</si>
  <si>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</si>
  <si>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</si>
  <si>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</si>
  <si>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</si>
  <si>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</si>
  <si>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</si>
  <si>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</si>
  <si>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</si>
  <si>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</si>
  <si>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</si>
  <si>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</si>
  <si>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</si>
  <si>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</si>
  <si>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</si>
  <si>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</si>
  <si>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</si>
  <si>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</si>
  <si>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</si>
  <si>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</si>
  <si>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</si>
  <si>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</si>
  <si>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</si>
  <si>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</si>
  <si>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</si>
  <si>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</si>
  <si>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</si>
  <si>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</si>
  <si>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</si>
  <si>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</si>
  <si>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</si>
  <si>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</si>
  <si>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</si>
  <si>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</si>
  <si>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</si>
  <si>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</si>
  <si>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</si>
  <si>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</si>
  <si>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</si>
  <si>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</si>
  <si>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</si>
  <si>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</si>
  <si>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</si>
  <si>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</si>
  <si>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</si>
  <si>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</si>
  <si>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</si>
  <si>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</si>
  <si>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</si>
  <si>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</si>
  <si>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</si>
  <si>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</si>
  <si>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</si>
  <si>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</si>
  <si>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</si>
  <si>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</si>
  <si>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</si>
  <si>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</si>
  <si>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</si>
  <si>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</si>
  <si>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</si>
  <si>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</si>
  <si>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</si>
  <si>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</si>
  <si>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</si>
  <si>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</si>
  <si>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</si>
  <si>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</si>
  <si>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</si>
  <si>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</si>
  <si>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</si>
  <si>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</si>
  <si>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</si>
  <si>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</si>
  <si>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</si>
  <si>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</si>
  <si>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</si>
  <si>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</si>
  <si>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</si>
  <si>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</si>
  <si>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</si>
  <si>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</si>
  <si>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</si>
  <si>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</si>
  <si>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</si>
  <si>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</si>
  <si>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</si>
  <si>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</si>
  <si>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</si>
  <si>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</si>
  <si>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</si>
  <si>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</si>
  <si>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</si>
  <si>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</si>
  <si>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</si>
  <si>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</si>
  <si>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</si>
  <si>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</si>
  <si>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</si>
  <si>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</si>
  <si>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</si>
  <si>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</si>
  <si>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</si>
  <si>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</si>
  <si>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</si>
  <si>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</si>
  <si>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</si>
  <si>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</si>
  <si>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</si>
  <si>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</si>
  <si>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</si>
  <si>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</si>
  <si>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</si>
  <si>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</si>
  <si>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</si>
  <si>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</si>
  <si>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</si>
  <si>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</si>
  <si>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</si>
  <si>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</si>
  <si>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</si>
  <si>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</si>
  <si>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</si>
  <si>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</si>
  <si>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</si>
  <si>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</si>
  <si>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</si>
  <si>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</si>
  <si>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</si>
  <si>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</si>
  <si>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</si>
  <si>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</si>
  <si>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</si>
  <si>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</si>
  <si>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</si>
  <si>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</si>
  <si>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</si>
  <si>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</si>
  <si>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</si>
  <si>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</si>
  <si>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</si>
  <si>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</si>
  <si>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</si>
  <si>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</si>
  <si>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</si>
  <si>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</si>
  <si>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</si>
  <si>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</si>
  <si>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</si>
  <si>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</si>
  <si>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</si>
  <si>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</si>
  <si>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</si>
  <si>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</si>
  <si>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</si>
  <si>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</si>
  <si>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</si>
  <si>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</si>
  <si>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</si>
  <si>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</si>
  <si>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</si>
  <si>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</si>
  <si>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</si>
  <si>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</si>
  <si>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</si>
  <si>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</si>
  <si>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</si>
  <si>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</si>
  <si>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</si>
  <si>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</si>
  <si>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</si>
  <si>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</si>
  <si>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</si>
  <si>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</si>
  <si>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</si>
  <si>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</si>
  <si>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</si>
  <si>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</si>
  <si>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</si>
  <si>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</si>
  <si>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</si>
  <si>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</si>
  <si>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</si>
  <si>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</si>
  <si>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</si>
  <si>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</si>
  <si>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</si>
  <si>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</si>
  <si>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</si>
  <si>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</si>
  <si>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</si>
  <si>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</si>
  <si>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</si>
  <si>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</si>
  <si>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</si>
  <si>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</si>
  <si>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</si>
  <si>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</si>
  <si>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</si>
  <si>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</si>
  <si>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</si>
  <si>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</si>
  <si>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</si>
  <si>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</si>
  <si>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</si>
  <si>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</si>
  <si>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</si>
  <si>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</si>
  <si>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</si>
  <si>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</si>
  <si>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</si>
  <si>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</si>
  <si>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</si>
  <si>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</si>
  <si>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</si>
  <si>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</si>
  <si>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</si>
  <si>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</si>
  <si>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</si>
  <si>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</si>
  <si>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</si>
  <si>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</si>
  <si>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</si>
  <si>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</si>
  <si>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</si>
  <si>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</si>
  <si>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</si>
  <si>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</si>
  <si>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</si>
  <si>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</si>
  <si>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</si>
  <si>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</si>
  <si>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</si>
  <si>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</si>
  <si>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</si>
  <si>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</si>
  <si>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</si>
  <si>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</si>
  <si>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</si>
  <si>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</si>
  <si>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</si>
  <si>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</si>
  <si>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</si>
  <si>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</si>
  <si>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</si>
  <si>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</si>
  <si>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</si>
  <si>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</si>
  <si>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</si>
  <si>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</si>
  <si>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</si>
  <si>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</si>
  <si>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</si>
  <si>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</si>
  <si>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</si>
  <si>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</si>
  <si>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</si>
  <si>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</si>
  <si>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</si>
  <si>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</si>
  <si>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</si>
  <si>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</si>
  <si>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</si>
  <si>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</si>
  <si>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</si>
  <si>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</si>
  <si>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</si>
  <si>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</si>
  <si>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</si>
  <si>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</si>
  <si>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</si>
  <si>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</si>
  <si>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</si>
  <si>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</si>
  <si>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</si>
  <si>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</si>
  <si>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</si>
  <si>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</si>
  <si>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</si>
  <si>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</si>
  <si>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</si>
  <si>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</si>
  <si>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</si>
  <si>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</si>
  <si>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</si>
  <si>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</si>
  <si>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</si>
  <si>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</si>
  <si>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</si>
  <si>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</si>
  <si>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</si>
  <si>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</si>
  <si>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</si>
  <si>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</si>
  <si>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</si>
  <si>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</si>
  <si>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</si>
  <si>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</si>
  <si>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</si>
  <si>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</si>
  <si>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</si>
  <si>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</si>
  <si>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</si>
  <si>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</si>
  <si>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</si>
  <si>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</si>
  <si>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</si>
  <si>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</si>
  <si>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</si>
  <si>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</si>
  <si>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</si>
  <si>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</si>
  <si>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</si>
  <si>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</si>
  <si>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</si>
  <si>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</si>
  <si>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</si>
  <si>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</si>
  <si>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</si>
  <si>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</si>
  <si>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</si>
  <si>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</si>
  <si>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</si>
  <si>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</si>
  <si>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</si>
  <si>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</si>
  <si>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</si>
  <si>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</si>
  <si>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</si>
  <si>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</si>
  <si>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</si>
  <si>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</si>
  <si>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</si>
  <si>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</si>
  <si>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</si>
  <si>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</si>
  <si>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</si>
  <si>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</si>
  <si>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</si>
  <si>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</si>
  <si>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</si>
  <si>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</si>
  <si>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</si>
  <si>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</si>
  <si>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</si>
  <si>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</si>
  <si>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</si>
  <si>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</si>
  <si>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</si>
  <si>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</si>
  <si>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</si>
  <si>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</si>
  <si>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</si>
  <si>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</si>
  <si>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</si>
  <si>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</si>
  <si>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</si>
  <si>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</si>
  <si>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</si>
  <si>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</si>
  <si>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</si>
  <si>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</si>
  <si>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</si>
  <si>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</si>
  <si>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</si>
  <si>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</si>
  <si>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</si>
  <si>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</si>
  <si>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</si>
  <si>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</si>
  <si>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</si>
  <si>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</si>
  <si>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</si>
  <si>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</si>
  <si>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</si>
  <si>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</si>
  <si>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</si>
  <si>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</si>
  <si>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</si>
  <si>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</si>
  <si>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</si>
  <si>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</si>
  <si>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</si>
  <si>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</si>
  <si>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</si>
  <si>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</si>
  <si>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</si>
  <si>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</si>
  <si>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</si>
  <si>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</si>
  <si>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</si>
  <si>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</si>
  <si>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</si>
  <si>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</si>
  <si>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</si>
  <si>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</si>
  <si>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</si>
  <si>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</si>
  <si>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</si>
  <si>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</si>
  <si>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</si>
  <si>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</si>
  <si>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</si>
  <si>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</si>
  <si>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</si>
  <si>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</si>
  <si>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</si>
  <si>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</si>
  <si>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</si>
  <si>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</si>
  <si>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</si>
  <si>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</si>
  <si>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</si>
  <si>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</si>
  <si>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</si>
  <si>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</si>
  <si>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</si>
  <si>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</si>
  <si>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</si>
  <si>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</si>
  <si>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</si>
  <si>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</si>
  <si>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</si>
  <si>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</si>
  <si>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</si>
  <si>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</si>
  <si>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</si>
  <si>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</si>
  <si>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</si>
  <si>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</si>
  <si>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</si>
  <si>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</si>
  <si>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</si>
  <si>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</si>
  <si>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</si>
  <si>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</si>
  <si>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</si>
  <si>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</si>
  <si>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</si>
  <si>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</si>
  <si>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</si>
  <si>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</si>
  <si>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</si>
  <si>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</si>
  <si>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</si>
  <si>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</si>
  <si>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</si>
  <si>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</si>
  <si>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</si>
  <si>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</si>
  <si>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</si>
  <si>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</si>
  <si>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</si>
  <si>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</si>
  <si>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</si>
  <si>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</si>
  <si>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</si>
  <si>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</si>
  <si>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</si>
  <si>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</si>
  <si>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</si>
  <si>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</si>
  <si>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</si>
  <si>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</si>
  <si>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</si>
  <si>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</si>
  <si>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</si>
  <si>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</si>
  <si>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</si>
  <si>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</si>
  <si>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</si>
  <si>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</si>
  <si>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</si>
  <si>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</si>
  <si>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</si>
  <si>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</si>
  <si>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</si>
  <si>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</si>
  <si>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</si>
  <si>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</si>
  <si>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</si>
  <si>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</si>
  <si>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</si>
  <si>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</si>
  <si>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</si>
  <si>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</si>
  <si>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</si>
  <si>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</si>
  <si>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</si>
  <si>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</si>
  <si>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</si>
  <si>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</si>
  <si>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</si>
  <si>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</si>
  <si>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</si>
  <si>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</si>
  <si>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</si>
  <si>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</si>
  <si>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</si>
  <si>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</si>
  <si>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</si>
  <si>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</si>
  <si>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</si>
  <si>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</si>
  <si>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</si>
  <si>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</si>
  <si>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</si>
  <si>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</si>
  <si>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</si>
  <si>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</si>
  <si>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</si>
  <si>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</si>
  <si>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</si>
  <si>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</si>
  <si>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</si>
  <si>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</si>
  <si>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</si>
  <si>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</si>
  <si>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</si>
  <si>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</si>
  <si>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</si>
  <si>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</si>
  <si>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</si>
  <si>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</si>
  <si>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</si>
  <si>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</si>
  <si>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</si>
  <si>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</si>
  <si>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</si>
  <si>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</si>
  <si>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</si>
  <si>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</si>
  <si>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</si>
  <si>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</si>
  <si>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</si>
  <si>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</si>
  <si>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</si>
  <si>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</si>
  <si>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</si>
  <si>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</si>
  <si>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</si>
  <si>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</si>
  <si>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</si>
  <si>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</si>
  <si>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</si>
  <si>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</si>
  <si>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</si>
  <si>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</si>
  <si>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</si>
  <si>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</si>
  <si>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</si>
  <si>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</si>
  <si>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</si>
  <si>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</si>
  <si>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</si>
  <si>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</si>
  <si>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</si>
  <si>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</si>
  <si>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</si>
  <si>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</si>
  <si>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</si>
  <si>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</si>
  <si>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</si>
  <si>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</si>
  <si>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</si>
  <si>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</si>
  <si>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</si>
  <si>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</si>
  <si>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</si>
  <si>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</si>
  <si>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</si>
  <si>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</si>
  <si>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</si>
  <si>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</si>
  <si>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</si>
  <si>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</si>
  <si>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</si>
  <si>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</si>
  <si>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</si>
  <si>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</si>
  <si>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</si>
  <si>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</si>
  <si>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</si>
  <si>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</si>
  <si>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</si>
  <si>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</si>
  <si>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</si>
  <si>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</si>
  <si>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</si>
  <si>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</si>
  <si>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</si>
  <si>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</si>
  <si>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</si>
  <si>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</si>
  <si>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</si>
  <si>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</si>
  <si>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</si>
  <si>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</si>
  <si>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</si>
  <si>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</si>
  <si>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</si>
  <si>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</si>
  <si>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</si>
  <si>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</si>
  <si>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</si>
  <si>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</si>
  <si>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</si>
  <si>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</si>
  <si>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</si>
  <si>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</si>
  <si>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</si>
  <si>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</si>
  <si>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</si>
  <si>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</si>
  <si>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</si>
  <si>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</si>
  <si>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</si>
  <si>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</si>
  <si>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</si>
  <si>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</si>
  <si>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</si>
  <si>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</si>
  <si>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</si>
  <si>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</si>
  <si>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</si>
  <si>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</si>
  <si>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</si>
  <si>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</si>
  <si>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</si>
  <si>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</si>
  <si>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</si>
  <si>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</si>
  <si>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</si>
  <si>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</si>
  <si>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</si>
  <si>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</si>
  <si>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</si>
  <si>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</si>
  <si>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</si>
  <si>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</si>
  <si>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</si>
  <si>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</si>
  <si>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</si>
  <si>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</si>
  <si>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</si>
  <si>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</si>
  <si>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</si>
  <si>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</si>
  <si>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</si>
  <si>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</si>
  <si>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</si>
  <si>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</si>
  <si>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</si>
  <si>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</si>
  <si>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</si>
  <si>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</si>
  <si>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</si>
  <si>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</si>
  <si>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</si>
  <si>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</si>
  <si>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</si>
  <si>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</si>
  <si>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</si>
  <si>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</si>
  <si>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</si>
  <si>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</si>
  <si>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</si>
  <si>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</si>
  <si>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</si>
  <si>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</si>
  <si>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</si>
  <si>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</si>
  <si>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</si>
  <si>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</si>
  <si>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</si>
  <si>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</si>
  <si>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</si>
  <si>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</si>
  <si>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</si>
  <si>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</si>
  <si>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</si>
  <si>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</si>
  <si>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</si>
  <si>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</si>
  <si>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</si>
  <si>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</si>
  <si>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</si>
  <si>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</si>
  <si>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</si>
  <si>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</si>
  <si>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</si>
  <si>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</si>
  <si>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</si>
  <si>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</si>
  <si>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</si>
  <si>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</si>
  <si>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</si>
  <si>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</si>
  <si>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</si>
  <si>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</si>
  <si>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</si>
  <si>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</si>
  <si>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</si>
  <si>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</si>
  <si>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</si>
  <si>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</si>
  <si>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</si>
  <si>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</si>
  <si>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</si>
  <si>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</si>
  <si>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</si>
  <si>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</si>
  <si>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</si>
  <si>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</si>
  <si>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</si>
  <si>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</si>
  <si>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</si>
  <si>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</si>
  <si>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</si>
  <si>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</si>
  <si>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</si>
  <si>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</si>
  <si>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</si>
  <si>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</si>
  <si>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</si>
  <si>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</si>
  <si>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</si>
  <si>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</si>
  <si>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</si>
  <si>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</si>
  <si>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</si>
  <si>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</si>
  <si>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</si>
  <si>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</si>
  <si>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</si>
  <si>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</si>
  <si>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</si>
  <si>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</si>
  <si>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</si>
  <si>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</si>
  <si>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</si>
  <si>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</si>
  <si>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</si>
  <si>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</si>
  <si>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</si>
  <si>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</si>
  <si>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</si>
  <si>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</si>
  <si>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</si>
  <si>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</si>
  <si>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</si>
  <si>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</si>
  <si>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</si>
  <si>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</si>
  <si>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</si>
  <si>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</si>
  <si>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</si>
  <si>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</si>
  <si>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</si>
  <si>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</si>
  <si>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</si>
  <si>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</si>
  <si>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</si>
  <si>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</si>
  <si>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</si>
  <si>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</si>
  <si>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</si>
  <si>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</si>
  <si>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</si>
  <si>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</si>
  <si>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</si>
  <si>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</si>
  <si>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</si>
  <si>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</si>
  <si>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</si>
  <si>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</si>
  <si>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</si>
  <si>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</si>
  <si>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</si>
  <si>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</si>
  <si>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</si>
  <si>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</si>
  <si>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</si>
  <si>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</si>
  <si>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</si>
  <si>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</si>
  <si>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</si>
  <si>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</si>
  <si>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</si>
  <si>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</si>
  <si>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</si>
  <si>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</si>
  <si>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</si>
  <si>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</si>
  <si>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</si>
  <si>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</si>
  <si>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</si>
  <si>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</si>
  <si>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</si>
  <si>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</si>
  <si>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</si>
  <si>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</si>
  <si>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</si>
  <si>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</si>
  <si>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</si>
  <si>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</si>
  <si>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</si>
  <si>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</si>
  <si>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</si>
  <si>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</si>
  <si>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</si>
  <si>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</si>
  <si>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</si>
  <si>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</si>
  <si>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</si>
  <si>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</si>
  <si>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</si>
  <si>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</si>
  <si>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</si>
  <si>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</si>
  <si>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</si>
  <si>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</si>
  <si>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</si>
  <si>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</si>
  <si>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</si>
  <si>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</si>
  <si>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</si>
  <si>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</si>
  <si>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</si>
  <si>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</si>
  <si>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</si>
  <si>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</si>
  <si>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</si>
  <si>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</si>
  <si>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</si>
  <si>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</si>
  <si>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</si>
  <si>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</si>
  <si>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</si>
  <si>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</si>
  <si>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</si>
  <si>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</si>
  <si>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</si>
  <si>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</si>
  <si>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</si>
  <si>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</si>
  <si>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</si>
  <si>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</si>
  <si>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</si>
  <si>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</si>
  <si>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</si>
  <si>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</si>
  <si>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</si>
  <si>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</si>
  <si>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</si>
  <si>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</si>
  <si>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</si>
  <si>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</si>
  <si>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</si>
  <si>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</si>
  <si>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</si>
  <si>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</si>
  <si>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</si>
  <si>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</si>
  <si>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</si>
  <si>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</si>
  <si>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</si>
  <si>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</si>
  <si>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</si>
  <si>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</si>
  <si>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</si>
  <si>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</si>
  <si>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</si>
  <si>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</si>
  <si>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</si>
  <si>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</si>
  <si>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</si>
  <si>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</si>
  <si>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</si>
  <si>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</si>
  <si>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</si>
  <si>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</si>
  <si>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</si>
  <si>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</si>
  <si>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</si>
  <si>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</si>
  <si>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</si>
  <si>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</si>
  <si>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</si>
  <si>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</si>
  <si>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</si>
  <si>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</si>
  <si>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</si>
  <si>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</si>
  <si>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</si>
  <si>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</si>
  <si>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</si>
  <si>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</si>
  <si>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</si>
  <si>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</si>
  <si>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</si>
  <si>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</si>
  <si>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</si>
  <si>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</si>
  <si>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</si>
  <si>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</si>
  <si>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</si>
  <si>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</si>
  <si>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</si>
  <si>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</si>
  <si>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</si>
  <si>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</si>
  <si>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</si>
  <si>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</si>
  <si>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</si>
  <si>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</si>
  <si>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</si>
  <si>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</si>
  <si>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</si>
  <si>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</si>
  <si>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</si>
  <si>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</si>
  <si>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</si>
  <si>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</si>
  <si>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</si>
  <si>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</si>
  <si>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</si>
  <si>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</si>
  <si>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</si>
  <si>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</si>
  <si>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</si>
  <si>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</si>
  <si>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</si>
  <si>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</si>
  <si>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</si>
  <si>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</si>
  <si>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</si>
  <si>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</si>
  <si>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</si>
  <si>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</si>
  <si>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</si>
  <si>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</si>
  <si>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</si>
  <si>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</si>
  <si>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</si>
  <si>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</si>
  <si>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</si>
  <si>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</si>
  <si>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</si>
  <si>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</si>
  <si>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</si>
  <si>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</si>
  <si>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</si>
  <si>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</si>
  <si>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</si>
  <si>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</si>
  <si>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</si>
  <si>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</si>
  <si>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</si>
  <si>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</si>
  <si>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</si>
  <si>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</si>
  <si>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</si>
  <si>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</si>
  <si>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</si>
  <si>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</si>
  <si>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</si>
  <si>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</si>
  <si>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</si>
  <si>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</si>
  <si>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</si>
  <si>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</si>
  <si>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</si>
  <si>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</si>
  <si>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</si>
  <si>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</si>
  <si>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</si>
  <si>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</si>
  <si>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</si>
  <si>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</si>
  <si>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</si>
  <si>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</si>
  <si>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</si>
  <si>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</si>
  <si>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</si>
  <si>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</si>
  <si>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</si>
  <si>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</si>
  <si>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</si>
  <si>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</si>
  <si>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</si>
  <si>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</si>
  <si>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</si>
  <si>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</si>
  <si>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</si>
  <si>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</si>
  <si>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</si>
  <si>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</si>
  <si>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</si>
  <si>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</si>
  <si>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</si>
  <si>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</si>
  <si>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</si>
  <si>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</si>
  <si>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</si>
  <si>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</si>
  <si>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</si>
  <si>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</si>
  <si>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</si>
  <si>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</si>
  <si>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</si>
  <si>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</si>
  <si>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</si>
  <si>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</si>
  <si>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</si>
  <si>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</si>
  <si>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</si>
  <si>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</si>
  <si>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</si>
  <si>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</si>
  <si>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</si>
  <si>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</si>
  <si>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</si>
  <si>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</si>
  <si>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</si>
  <si>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</si>
  <si>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</si>
  <si>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</si>
  <si>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</si>
  <si>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</si>
  <si>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</si>
  <si>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</si>
  <si>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</si>
  <si>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</si>
  <si>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</si>
  <si>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</si>
  <si>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</si>
  <si>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</si>
  <si>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</si>
  <si>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</si>
  <si>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</si>
  <si>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</si>
  <si>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</si>
  <si>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</si>
  <si>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</si>
  <si>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</si>
  <si>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</si>
  <si>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</si>
  <si>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</si>
  <si>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</si>
  <si>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</si>
  <si>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</si>
  <si>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</si>
  <si>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</si>
  <si>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</si>
  <si>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</si>
  <si>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</si>
  <si>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</si>
  <si>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</si>
  <si>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</si>
  <si>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</si>
  <si>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</si>
  <si>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</si>
  <si>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</si>
  <si>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</si>
  <si>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</si>
  <si>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</si>
  <si>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</si>
  <si>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</si>
  <si>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</si>
  <si>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</si>
  <si>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</si>
  <si>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</si>
  <si>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</si>
  <si>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</si>
  <si>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</si>
  <si>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</si>
  <si>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</si>
  <si>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</si>
  <si>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</si>
  <si>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</si>
  <si>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</si>
  <si>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</si>
  <si>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</si>
  <si>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</si>
  <si>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</si>
  <si>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</si>
  <si>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</si>
  <si>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</si>
  <si>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</si>
  <si>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</si>
  <si>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</si>
  <si>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</si>
  <si>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</si>
  <si>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</si>
  <si>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</si>
  <si>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</si>
  <si>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</si>
  <si>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</si>
  <si>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</si>
  <si>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</si>
  <si>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</si>
  <si>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</si>
  <si>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</si>
  <si>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</si>
  <si>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</si>
  <si>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</si>
  <si>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</si>
  <si>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</si>
  <si>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</si>
  <si>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</si>
  <si>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</si>
  <si>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</si>
  <si>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</si>
  <si>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</si>
  <si>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</si>
  <si>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</si>
  <si>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</si>
  <si>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</si>
  <si>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</si>
  <si>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</si>
  <si>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</si>
  <si>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</si>
  <si>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</si>
  <si>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</si>
  <si>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</si>
  <si>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</si>
  <si>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</si>
  <si>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</si>
  <si>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</si>
  <si>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</si>
  <si>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</si>
  <si>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</si>
  <si>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</si>
  <si>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</si>
  <si>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</si>
  <si>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</si>
  <si>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</si>
  <si>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</si>
  <si>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</si>
  <si>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</si>
  <si>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</si>
  <si>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</si>
  <si>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</si>
  <si>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</si>
  <si>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</si>
  <si>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</si>
  <si>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</si>
  <si>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</si>
  <si>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</si>
  <si>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</si>
  <si>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</si>
  <si>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</si>
  <si>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</si>
  <si>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</si>
  <si>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</si>
  <si>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</si>
  <si>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</si>
  <si>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</si>
  <si>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</si>
  <si>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</si>
  <si>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</si>
  <si>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</si>
  <si>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</si>
  <si>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</si>
  <si>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</si>
  <si>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</si>
  <si>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</si>
  <si>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</si>
  <si>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</si>
  <si>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</si>
  <si>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</si>
  <si>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</si>
  <si>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</si>
  <si>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</si>
  <si>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</si>
  <si>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</si>
  <si>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</si>
  <si>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</si>
  <si>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</si>
  <si>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</si>
  <si>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</si>
  <si>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</si>
  <si>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</si>
  <si>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</si>
  <si>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</si>
  <si>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</si>
  <si>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</si>
  <si>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</si>
  <si>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</si>
  <si>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</si>
  <si>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</si>
  <si>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</si>
  <si>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</si>
  <si>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</si>
  <si>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</si>
  <si>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</si>
  <si>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</si>
  <si>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</si>
  <si>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</si>
  <si>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</si>
  <si>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</si>
  <si>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</si>
  <si>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</si>
  <si>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</si>
  <si>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</si>
  <si>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</si>
  <si>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</si>
  <si>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</si>
  <si>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</si>
  <si>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</si>
  <si>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</si>
  <si>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</si>
  <si>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</si>
  <si>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</si>
  <si>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</si>
  <si>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</si>
  <si>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</si>
  <si>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</si>
  <si>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</si>
  <si>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</si>
  <si>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</si>
  <si>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</si>
  <si>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</si>
  <si>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</si>
  <si>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</si>
  <si>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</si>
  <si>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</si>
  <si>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</si>
  <si>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</si>
  <si>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</si>
  <si>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</si>
  <si>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</si>
  <si>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</si>
  <si>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</si>
  <si>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</si>
  <si>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</si>
  <si>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</si>
  <si>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</si>
  <si>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</si>
  <si>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</si>
  <si>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</si>
  <si>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</si>
  <si>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</si>
  <si>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</si>
  <si>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</si>
  <si>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</si>
  <si>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</si>
  <si>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</si>
  <si>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</si>
  <si>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</si>
  <si>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</si>
  <si>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</si>
  <si>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</si>
  <si>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</si>
  <si>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</si>
  <si>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</si>
  <si>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</si>
  <si>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</si>
  <si>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</si>
  <si>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</si>
  <si>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</si>
  <si>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</si>
  <si>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</si>
  <si>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</si>
  <si>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</si>
  <si>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</si>
  <si>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</si>
  <si>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</si>
  <si>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</si>
  <si>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</si>
  <si>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</si>
  <si>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</si>
  <si>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</si>
  <si>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</si>
  <si>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</si>
  <si>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</si>
  <si>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</si>
  <si>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</si>
  <si>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</si>
  <si>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</si>
  <si>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</si>
  <si>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</si>
  <si>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</si>
  <si>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</si>
  <si>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</si>
  <si>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</si>
  <si>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</si>
  <si>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</si>
  <si>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</si>
  <si>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</si>
  <si>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</si>
  <si>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</si>
  <si>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</si>
  <si>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</si>
  <si>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</si>
  <si>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</si>
  <si>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</si>
  <si>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</si>
  <si>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</si>
  <si>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</si>
  <si>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</si>
  <si>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</si>
  <si>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</si>
  <si>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</si>
  <si>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</si>
  <si>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</si>
  <si>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</si>
  <si>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</si>
  <si>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</si>
  <si>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</si>
  <si>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</si>
  <si>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</si>
  <si>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</si>
  <si>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</si>
  <si>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</si>
  <si>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</si>
  <si>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</si>
  <si>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</si>
  <si>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</si>
  <si>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</si>
  <si>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</si>
  <si>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</si>
  <si>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</si>
  <si>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</si>
  <si>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</si>
  <si>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</si>
  <si>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</si>
  <si>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</si>
  <si>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</si>
  <si>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</si>
  <si>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</si>
  <si>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</si>
  <si>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</si>
  <si>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</si>
  <si>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</si>
  <si>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</si>
  <si>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</si>
  <si>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</si>
  <si>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</si>
  <si>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</si>
  <si>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</si>
  <si>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</si>
  <si>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</si>
  <si>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</si>
  <si>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</si>
  <si>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</si>
  <si>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</si>
  <si>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</si>
  <si>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</si>
  <si>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</si>
  <si>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</si>
  <si>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</si>
  <si>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</si>
  <si>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</si>
  <si>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</si>
  <si>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</si>
  <si>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</si>
  <si>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</si>
  <si>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</si>
  <si>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</si>
  <si>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</si>
  <si>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</si>
  <si>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</si>
  <si>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</si>
  <si>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</si>
  <si>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</si>
  <si>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</si>
  <si>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</si>
  <si>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</si>
  <si>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</si>
  <si>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</si>
  <si>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</si>
  <si>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</si>
  <si>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</si>
  <si>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</si>
  <si>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</si>
  <si>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</si>
  <si>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</si>
  <si>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</si>
  <si>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</si>
  <si>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</si>
  <si>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</si>
  <si>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</si>
  <si>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</si>
  <si>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</si>
  <si>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</si>
  <si>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</si>
  <si>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</si>
  <si>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</si>
  <si>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</si>
  <si>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</si>
  <si>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</si>
  <si>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</si>
  <si>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</si>
  <si>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</si>
  <si>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</si>
  <si>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</si>
  <si>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</si>
  <si>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</si>
  <si>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</si>
  <si>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</si>
  <si>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</si>
  <si>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</si>
  <si>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</si>
  <si>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</si>
  <si>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</si>
  <si>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</si>
  <si>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</si>
  <si>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</si>
  <si>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</si>
  <si>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</si>
  <si>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</si>
  <si>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</si>
  <si>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</si>
  <si>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</si>
  <si>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</si>
  <si>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</si>
  <si>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</si>
  <si>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</si>
  <si>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</si>
  <si>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</si>
  <si>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</si>
  <si>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</si>
  <si>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</si>
  <si>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</si>
  <si>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</si>
  <si>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</si>
  <si>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</si>
  <si>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</si>
  <si>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</si>
  <si>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</si>
  <si>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</si>
  <si>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</si>
  <si>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</si>
  <si>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</si>
  <si>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</si>
  <si>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</si>
  <si>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</si>
  <si>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</si>
  <si>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</si>
  <si>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</si>
  <si>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</si>
  <si>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r>
      <rPr>
        <sz val="10"/>
        <color theme="9" tint="-0.249977111117893"/>
        <rFont val="宋体"/>
        <family val="3"/>
        <charset val="134"/>
      </rPr>
      <t>朝阳区常营南路</t>
    </r>
    <r>
      <rPr>
        <sz val="10"/>
        <color theme="9" tint="-0.249977111117893"/>
        <rFont val="Arial"/>
        <family val="2"/>
      </rPr>
      <t>50</t>
    </r>
    <r>
      <rPr>
        <sz val="10"/>
        <color theme="9" tint="-0.249977111117893"/>
        <rFont val="宋体"/>
        <family val="3"/>
        <charset val="134"/>
      </rPr>
      <t>号院</t>
    </r>
    <r>
      <rPr>
        <sz val="10"/>
        <color theme="9" tint="-0.249977111117893"/>
        <rFont val="Arial"/>
        <family val="2"/>
      </rPr>
      <t>12-14</t>
    </r>
    <r>
      <rPr>
        <sz val="10"/>
        <color theme="9" tint="-0.249977111117893"/>
        <rFont val="宋体"/>
        <family val="3"/>
        <charset val="134"/>
      </rPr>
      <t>商业</t>
    </r>
    <r>
      <rPr>
        <sz val="10"/>
        <color theme="9" tint="-0.249977111117893"/>
        <rFont val="Arial"/>
        <family val="2"/>
      </rPr>
      <t>1</t>
    </r>
    <r>
      <rPr>
        <sz val="10"/>
        <color theme="9" tint="-0.249977111117893"/>
        <rFont val="宋体"/>
        <family val="3"/>
        <charset val="134"/>
      </rPr>
      <t>层</t>
    </r>
    <r>
      <rPr>
        <sz val="10"/>
        <color theme="9" tint="-0.249977111117893"/>
        <rFont val="Arial"/>
        <family val="2"/>
      </rPr>
      <t>104</t>
    </r>
    <phoneticPr fontId="6" type="noConversion"/>
  </si>
  <si>
    <t>地上</t>
  </si>
  <si>
    <t>是</t>
  </si>
  <si>
    <t>现房</t>
  </si>
  <si>
    <t>商业项目</t>
  </si>
  <si>
    <t>商业</t>
    <phoneticPr fontId="7" type="noConversion"/>
  </si>
  <si>
    <t>成新度</t>
  </si>
  <si>
    <t>平房地区</t>
    <phoneticPr fontId="3" type="noConversion"/>
  </si>
  <si>
    <t>乡</t>
    <phoneticPr fontId="3" type="noConversion"/>
  </si>
  <si>
    <t>建成年代</t>
    <phoneticPr fontId="3" type="noConversion"/>
  </si>
  <si>
    <t>根据零贷查询得知</t>
    <phoneticPr fontId="3" type="noConversion"/>
  </si>
  <si>
    <t>直线</t>
    <phoneticPr fontId="3" type="noConversion"/>
  </si>
  <si>
    <t>钢混</t>
  </si>
  <si>
    <t>钢混</t>
    <phoneticPr fontId="3" type="noConversion"/>
  </si>
  <si>
    <t>收益法 (元)</t>
  </si>
  <si>
    <t>年租金</t>
    <phoneticPr fontId="3" type="noConversion"/>
  </si>
  <si>
    <t>日租金</t>
    <phoneticPr fontId="3" type="noConversion"/>
  </si>
  <si>
    <t>合同租金</t>
    <phoneticPr fontId="3" type="noConversion"/>
  </si>
  <si>
    <t>2024-2034</t>
    <phoneticPr fontId="3" type="noConversion"/>
  </si>
  <si>
    <t>租赁期限</t>
    <phoneticPr fontId="3" type="noConversion"/>
  </si>
  <si>
    <t>否</t>
  </si>
  <si>
    <t>倒推土地使用期限</t>
    <phoneticPr fontId="3" type="noConversion"/>
  </si>
  <si>
    <t>根据建成年代倒推</t>
    <phoneticPr fontId="6" type="noConversion"/>
  </si>
  <si>
    <t>押一</t>
  </si>
  <si>
    <t>非生产用房</t>
  </si>
  <si>
    <t>比较法-商业</t>
  </si>
  <si>
    <t>不临65条商业街</t>
  </si>
  <si>
    <t>与级别开发程度一致</t>
  </si>
  <si>
    <t>楼层修正</t>
  </si>
  <si>
    <t>一般</t>
  </si>
  <si>
    <t>较好</t>
  </si>
  <si>
    <t>好</t>
  </si>
  <si>
    <t>未包含在土地购买价格中</t>
  </si>
  <si>
    <t>已包含在土地取得成本中</t>
  </si>
  <si>
    <t>单套模式</t>
  </si>
  <si>
    <t>售价</t>
  </si>
  <si>
    <t>中介问询</t>
    <phoneticPr fontId="3" type="noConversion"/>
  </si>
  <si>
    <r>
      <rPr>
        <sz val="10"/>
        <color indexed="8"/>
        <rFont val="宋体"/>
        <family val="3"/>
        <charset val="134"/>
      </rPr>
      <t>租金</t>
    </r>
    <r>
      <rPr>
        <sz val="10"/>
        <color indexed="8"/>
        <rFont val="Arial"/>
        <family val="2"/>
      </rPr>
      <t>6-7</t>
    </r>
    <r>
      <rPr>
        <sz val="10"/>
        <color indexed="8"/>
        <rFont val="宋体"/>
        <family val="3"/>
        <charset val="134"/>
      </rPr>
      <t>元</t>
    </r>
    <phoneticPr fontId="3" type="noConversion"/>
  </si>
  <si>
    <t>层高5米以上</t>
  </si>
  <si>
    <t>层高5米以上</t>
    <phoneticPr fontId="134" type="noConversion"/>
  </si>
  <si>
    <t>精装</t>
    <phoneticPr fontId="134" type="noConversion"/>
  </si>
  <si>
    <t>柏林爱乐二期</t>
    <phoneticPr fontId="134" type="noConversion"/>
  </si>
  <si>
    <t>简装修</t>
    <phoneticPr fontId="134" type="noConversion"/>
  </si>
  <si>
    <t>保利首开和锦汇</t>
  </si>
  <si>
    <t>保利首开和锦汇</t>
    <phoneticPr fontId="134" type="noConversion"/>
  </si>
  <si>
    <t>和锦薇棠</t>
    <phoneticPr fontId="134" type="noConversion"/>
  </si>
  <si>
    <t>正常</t>
  </si>
  <si>
    <t>商业</t>
    <phoneticPr fontId="30" type="noConversion"/>
  </si>
  <si>
    <t>可餐饮</t>
    <phoneticPr fontId="30" type="noConversion"/>
  </si>
  <si>
    <t>不可餐饮</t>
    <phoneticPr fontId="30" type="noConversion"/>
  </si>
  <si>
    <r>
      <rPr>
        <sz val="11"/>
        <color indexed="8"/>
        <rFont val="宋体"/>
        <family val="3"/>
        <charset val="134"/>
      </rPr>
      <t>层高</t>
    </r>
    <r>
      <rPr>
        <sz val="11"/>
        <color indexed="8"/>
        <rFont val="Arial"/>
        <family val="2"/>
      </rPr>
      <t>5</t>
    </r>
    <r>
      <rPr>
        <sz val="11"/>
        <color indexed="8"/>
        <rFont val="宋体"/>
        <family val="3"/>
        <charset val="134"/>
      </rPr>
      <t>米以上</t>
    </r>
    <phoneticPr fontId="30" type="noConversion"/>
  </si>
  <si>
    <t>标准层高</t>
  </si>
  <si>
    <t>标准层高</t>
    <phoneticPr fontId="30" type="noConversion"/>
  </si>
  <si>
    <t>精装修</t>
  </si>
  <si>
    <t>精装修</t>
    <phoneticPr fontId="30" type="noConversion"/>
  </si>
  <si>
    <t>普通装修</t>
  </si>
  <si>
    <t>普通装修</t>
    <phoneticPr fontId="30" type="noConversion"/>
  </si>
  <si>
    <t>简单装修</t>
  </si>
  <si>
    <t>简单装修</t>
    <phoneticPr fontId="30" type="noConversion"/>
  </si>
  <si>
    <t>毛坯</t>
    <phoneticPr fontId="30" type="noConversion"/>
  </si>
  <si>
    <t>较好</t>
    <phoneticPr fontId="30" type="noConversion"/>
  </si>
  <si>
    <t>单面临街</t>
  </si>
  <si>
    <t>单面临街</t>
    <phoneticPr fontId="30" type="noConversion"/>
  </si>
  <si>
    <t>大</t>
    <phoneticPr fontId="30" type="noConversion"/>
  </si>
  <si>
    <t>较大</t>
  </si>
  <si>
    <t>较大</t>
    <phoneticPr fontId="30" type="noConversion"/>
  </si>
  <si>
    <t>一般</t>
    <phoneticPr fontId="30" type="noConversion"/>
  </si>
  <si>
    <t>较小</t>
    <phoneticPr fontId="30" type="noConversion"/>
  </si>
  <si>
    <t>小</t>
    <phoneticPr fontId="30" type="noConversion"/>
  </si>
  <si>
    <r>
      <t>0-10</t>
    </r>
    <r>
      <rPr>
        <sz val="11"/>
        <rFont val="宋体"/>
        <family val="3"/>
        <charset val="134"/>
      </rPr>
      <t>（含）</t>
    </r>
    <phoneticPr fontId="30" type="noConversion"/>
  </si>
  <si>
    <r>
      <t>10-20</t>
    </r>
    <r>
      <rPr>
        <sz val="11"/>
        <rFont val="宋体"/>
        <family val="3"/>
        <charset val="134"/>
      </rPr>
      <t>（含）</t>
    </r>
    <phoneticPr fontId="30" type="noConversion"/>
  </si>
  <si>
    <r>
      <t>20-30</t>
    </r>
    <r>
      <rPr>
        <sz val="11"/>
        <rFont val="宋体"/>
        <family val="3"/>
        <charset val="134"/>
      </rPr>
      <t>（含）</t>
    </r>
    <phoneticPr fontId="30" type="noConversion"/>
  </si>
  <si>
    <r>
      <t>30-40</t>
    </r>
    <r>
      <rPr>
        <sz val="11"/>
        <rFont val="宋体"/>
        <family val="3"/>
        <charset val="134"/>
      </rPr>
      <t>（含）</t>
    </r>
    <phoneticPr fontId="30" type="noConversion"/>
  </si>
  <si>
    <r>
      <t>10-20</t>
    </r>
    <r>
      <rPr>
        <sz val="11"/>
        <color indexed="8"/>
        <rFont val="宋体"/>
        <family val="3"/>
        <charset val="134"/>
      </rPr>
      <t>（含）</t>
    </r>
    <phoneticPr fontId="30" type="noConversion"/>
  </si>
  <si>
    <t>挂牌价</t>
  </si>
  <si>
    <t>挂牌价</t>
    <phoneticPr fontId="30" type="noConversion"/>
  </si>
  <si>
    <t>柏林爱乐</t>
    <phoneticPr fontId="30" type="noConversion"/>
  </si>
  <si>
    <t>查询</t>
    <phoneticPr fontId="30" type="noConversion"/>
  </si>
  <si>
    <t>大概时间</t>
    <phoneticPr fontId="30" type="noConversion"/>
  </si>
  <si>
    <t>和锦薇棠</t>
    <phoneticPr fontId="30" type="noConversion"/>
  </si>
  <si>
    <t>成新度</t>
    <phoneticPr fontId="30" type="noConversion"/>
  </si>
  <si>
    <t>剩余土地年限</t>
    <phoneticPr fontId="30" type="noConversion"/>
  </si>
  <si>
    <r>
      <t>30-40</t>
    </r>
    <r>
      <rPr>
        <sz val="11"/>
        <color indexed="8"/>
        <rFont val="宋体"/>
        <family val="3"/>
        <charset val="134"/>
      </rPr>
      <t>（含）</t>
    </r>
    <phoneticPr fontId="30" type="noConversion"/>
  </si>
  <si>
    <t>住宅底商</t>
  </si>
  <si>
    <t>住宅底商</t>
    <phoneticPr fontId="30" type="noConversion"/>
  </si>
  <si>
    <t>七通</t>
  </si>
  <si>
    <r>
      <t>1</t>
    </r>
    <r>
      <rPr>
        <sz val="11"/>
        <color indexed="8"/>
        <rFont val="宋体"/>
        <family val="3"/>
        <charset val="134"/>
      </rPr>
      <t>层</t>
    </r>
    <phoneticPr fontId="30" type="noConversion"/>
  </si>
  <si>
    <t>1层</t>
  </si>
  <si>
    <t>中介高飞</t>
    <phoneticPr fontId="134" type="noConversion"/>
  </si>
  <si>
    <t>估价对象</t>
    <phoneticPr fontId="134" type="noConversion"/>
  </si>
  <si>
    <t>挂牌价</t>
    <phoneticPr fontId="134" type="noConversion"/>
  </si>
  <si>
    <r>
      <t>4</t>
    </r>
    <r>
      <rPr>
        <sz val="11"/>
        <color theme="1"/>
        <rFont val="宋体"/>
        <family val="3"/>
        <charset val="134"/>
        <scheme val="minor"/>
      </rPr>
      <t>000万</t>
    </r>
    <phoneticPr fontId="134" type="noConversion"/>
  </si>
  <si>
    <r>
      <t>6</t>
    </r>
    <r>
      <rPr>
        <sz val="11"/>
        <color theme="1"/>
        <rFont val="宋体"/>
        <family val="3"/>
        <charset val="134"/>
        <scheme val="minor"/>
      </rPr>
      <t>-7元</t>
    </r>
    <phoneticPr fontId="134" type="noConversion"/>
  </si>
  <si>
    <t>楼面单价</t>
  </si>
  <si>
    <t>自定义</t>
  </si>
  <si>
    <t>钢混</t>
    <phoneticPr fontId="30" type="noConversion"/>
  </si>
  <si>
    <t>企业</t>
  </si>
  <si>
    <t xml:space="preserve">北京惠尔三吉绿色化学科技有限公司
</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</si>
</sst>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color indexed="8"/>
      <name val="Arial"/>
      <family val="3"/>
      <charset val="134"/>
    </font>
    <font>
      <sz val="11"/>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49" fontId="272" fillId="12" borderId="4" xfId="0" applyNumberFormat="1" applyFont="1" applyFill="1" applyBorder="1" applyAlignment="1" applyProtection="1">
      <alignment horizontal="left" vertical="center"/>
      <protection locked="0"/>
    </xf>
    <xf numFmtId="179" fontId="128" fillId="12" borderId="0" xfId="0" applyNumberFormat="1" applyFont="1" applyFill="1" applyProtection="1">
      <alignment vertical="center"/>
      <protection locked="0"/>
    </xf>
    <xf numFmtId="0" fontId="128" fillId="12" borderId="0" xfId="0" applyFont="1" applyFill="1" applyProtection="1">
      <alignment vertical="center"/>
      <protection locked="0"/>
    </xf>
    <xf numFmtId="0" fontId="77" fillId="12" borderId="0" xfId="0" applyFont="1" applyFill="1" applyProtection="1">
      <alignment vertical="center"/>
      <protection locked="0"/>
    </xf>
    <xf numFmtId="0" fontId="77" fillId="0" borderId="0" xfId="0" applyFont="1">
      <alignment vertical="center"/>
    </xf>
    <xf numFmtId="176" fontId="47" fillId="12" borderId="0" xfId="0" applyNumberFormat="1" applyFont="1" applyFill="1" applyProtection="1">
      <alignment vertical="center"/>
      <protection locked="0"/>
    </xf>
    <xf numFmtId="183" fontId="77" fillId="0" borderId="1" xfId="0" applyNumberFormat="1" applyFont="1" applyBorder="1" applyAlignment="1" applyProtection="1">
      <alignment horizontal="center" vertical="center" shrinkToFit="1"/>
      <protection locked="0"/>
    </xf>
    <xf numFmtId="0" fontId="273" fillId="12" borderId="0" xfId="0"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74"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181" fontId="128" fillId="12" borderId="0" xfId="0" applyNumberFormat="1" applyFont="1" applyFill="1" applyAlignment="1" applyProtection="1">
      <alignment horizontal="center" vertical="center" wrapText="1"/>
      <protection locked="0"/>
    </xf>
    <xf numFmtId="0" fontId="128" fillId="12" borderId="0" xfId="0" applyFont="1" applyFill="1" applyAlignment="1" applyProtection="1">
      <alignment horizontal="center" vertical="center"/>
      <protection locked="0"/>
    </xf>
    <xf numFmtId="181" fontId="209" fillId="12" borderId="0" xfId="0" applyNumberFormat="1" applyFont="1" applyFill="1" applyAlignment="1" applyProtection="1">
      <alignment horizontal="center" vertical="center" wrapText="1"/>
      <protection locked="0"/>
    </xf>
    <xf numFmtId="0" fontId="94" fillId="12" borderId="0" xfId="0" applyFont="1" applyFill="1" applyAlignment="1" applyProtection="1">
      <alignment horizontal="center" vertical="center"/>
      <protection locked="0"/>
    </xf>
    <xf numFmtId="181" fontId="224" fillId="12" borderId="0" xfId="0" applyNumberFormat="1" applyFont="1" applyFill="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95" fillId="5" borderId="0" xfId="0" applyFont="1" applyFill="1">
      <alignment vertical="center"/>
    </xf>
    <xf numFmtId="0" fontId="77" fillId="7" borderId="54" xfId="0" applyFont="1" applyFill="1" applyBorder="1" applyAlignment="1" applyProtection="1">
      <alignment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14</xdr:row>
      <xdr:rowOff>52552</xdr:rowOff>
    </xdr:from>
    <xdr:to>
      <xdr:col>5</xdr:col>
      <xdr:colOff>493135</xdr:colOff>
      <xdr:row>33</xdr:row>
      <xdr:rowOff>6223</xdr:rowOff>
    </xdr:to>
    <xdr:pic>
      <xdr:nvPicPr>
        <xdr:cNvPr id="2" name="图片 1">
          <a:extLst>
            <a:ext uri="{FF2B5EF4-FFF2-40B4-BE49-F238E27FC236}">
              <a16:creationId xmlns:a16="http://schemas.microsoft.com/office/drawing/2014/main" id="{4AA62E07-C03D-AFE3-D51B-CD1DFBA01040}"/>
            </a:ext>
          </a:extLst>
        </xdr:cNvPr>
        <xdr:cNvPicPr>
          <a:picLocks noChangeAspect="1"/>
        </xdr:cNvPicPr>
      </xdr:nvPicPr>
      <xdr:blipFill>
        <a:blip xmlns:r="http://schemas.openxmlformats.org/officeDocument/2006/relationships" r:embed="rId1"/>
        <a:stretch>
          <a:fillRect/>
        </a:stretch>
      </xdr:blipFill>
      <xdr:spPr>
        <a:xfrm>
          <a:off x="0" y="2627586"/>
          <a:ext cx="3541135" cy="3448361"/>
        </a:xfrm>
        <a:prstGeom prst="rect">
          <a:avLst/>
        </a:prstGeom>
      </xdr:spPr>
    </xdr:pic>
    <xdr:clientData/>
  </xdr:twoCellAnchor>
  <xdr:twoCellAnchor editAs="oneCell">
    <xdr:from>
      <xdr:col>5</xdr:col>
      <xdr:colOff>551792</xdr:colOff>
      <xdr:row>14</xdr:row>
      <xdr:rowOff>93780</xdr:rowOff>
    </xdr:from>
    <xdr:to>
      <xdr:col>19</xdr:col>
      <xdr:colOff>151843</xdr:colOff>
      <xdr:row>42</xdr:row>
      <xdr:rowOff>63076</xdr:rowOff>
    </xdr:to>
    <xdr:pic>
      <xdr:nvPicPr>
        <xdr:cNvPr id="3" name="图片 2">
          <a:extLst>
            <a:ext uri="{FF2B5EF4-FFF2-40B4-BE49-F238E27FC236}">
              <a16:creationId xmlns:a16="http://schemas.microsoft.com/office/drawing/2014/main" id="{7F7EEE88-7D06-91B8-540B-0D0494376E1D}"/>
            </a:ext>
          </a:extLst>
        </xdr:cNvPr>
        <xdr:cNvPicPr>
          <a:picLocks noChangeAspect="1"/>
        </xdr:cNvPicPr>
      </xdr:nvPicPr>
      <xdr:blipFill>
        <a:blip xmlns:r="http://schemas.openxmlformats.org/officeDocument/2006/relationships" r:embed="rId2"/>
        <a:stretch>
          <a:fillRect/>
        </a:stretch>
      </xdr:blipFill>
      <xdr:spPr>
        <a:xfrm>
          <a:off x="3599792" y="2668814"/>
          <a:ext cx="8134451" cy="5119365"/>
        </a:xfrm>
        <a:prstGeom prst="rect">
          <a:avLst/>
        </a:prstGeom>
      </xdr:spPr>
    </xdr:pic>
    <xdr:clientData/>
  </xdr:twoCellAnchor>
  <xdr:twoCellAnchor editAs="oneCell">
    <xdr:from>
      <xdr:col>0</xdr:col>
      <xdr:colOff>194939</xdr:colOff>
      <xdr:row>42</xdr:row>
      <xdr:rowOff>47297</xdr:rowOff>
    </xdr:from>
    <xdr:to>
      <xdr:col>15</xdr:col>
      <xdr:colOff>83925</xdr:colOff>
      <xdr:row>69</xdr:row>
      <xdr:rowOff>21530</xdr:rowOff>
    </xdr:to>
    <xdr:pic>
      <xdr:nvPicPr>
        <xdr:cNvPr id="4" name="图片 3">
          <a:extLst>
            <a:ext uri="{FF2B5EF4-FFF2-40B4-BE49-F238E27FC236}">
              <a16:creationId xmlns:a16="http://schemas.microsoft.com/office/drawing/2014/main" id="{F0F0087D-2611-4F1C-75A6-030CF64534C0}"/>
            </a:ext>
          </a:extLst>
        </xdr:cNvPr>
        <xdr:cNvPicPr>
          <a:picLocks noChangeAspect="1"/>
        </xdr:cNvPicPr>
      </xdr:nvPicPr>
      <xdr:blipFill>
        <a:blip xmlns:r="http://schemas.openxmlformats.org/officeDocument/2006/relationships" r:embed="rId3"/>
        <a:stretch>
          <a:fillRect/>
        </a:stretch>
      </xdr:blipFill>
      <xdr:spPr>
        <a:xfrm>
          <a:off x="194939" y="7772400"/>
          <a:ext cx="9032986" cy="49403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29575</xdr:colOff>
      <xdr:row>30</xdr:row>
      <xdr:rowOff>71421</xdr:rowOff>
    </xdr:to>
    <xdr:pic>
      <xdr:nvPicPr>
        <xdr:cNvPr id="2" name="图片 1">
          <a:extLst>
            <a:ext uri="{FF2B5EF4-FFF2-40B4-BE49-F238E27FC236}">
              <a16:creationId xmlns:a16="http://schemas.microsoft.com/office/drawing/2014/main" id="{A16CB832-2408-DCD3-1C84-FF7C39F2C554}"/>
            </a:ext>
          </a:extLst>
        </xdr:cNvPr>
        <xdr:cNvPicPr>
          <a:picLocks noChangeAspect="1"/>
        </xdr:cNvPicPr>
      </xdr:nvPicPr>
      <xdr:blipFill>
        <a:blip xmlns:r="http://schemas.openxmlformats.org/officeDocument/2006/relationships" r:embed="rId1"/>
        <a:stretch>
          <a:fillRect/>
        </a:stretch>
      </xdr:blipFill>
      <xdr:spPr>
        <a:xfrm>
          <a:off x="0" y="0"/>
          <a:ext cx="7954375" cy="5557821"/>
        </a:xfrm>
        <a:prstGeom prst="rect">
          <a:avLst/>
        </a:prstGeom>
      </xdr:spPr>
    </xdr:pic>
    <xdr:clientData/>
  </xdr:twoCellAnchor>
  <xdr:twoCellAnchor editAs="oneCell">
    <xdr:from>
      <xdr:col>0</xdr:col>
      <xdr:colOff>0</xdr:colOff>
      <xdr:row>31</xdr:row>
      <xdr:rowOff>144780</xdr:rowOff>
    </xdr:from>
    <xdr:to>
      <xdr:col>13</xdr:col>
      <xdr:colOff>419659</xdr:colOff>
      <xdr:row>64</xdr:row>
      <xdr:rowOff>48589</xdr:rowOff>
    </xdr:to>
    <xdr:pic>
      <xdr:nvPicPr>
        <xdr:cNvPr id="3" name="图片 2">
          <a:extLst>
            <a:ext uri="{FF2B5EF4-FFF2-40B4-BE49-F238E27FC236}">
              <a16:creationId xmlns:a16="http://schemas.microsoft.com/office/drawing/2014/main" id="{ADACF9C2-F521-487C-8D10-E41777A67451}"/>
            </a:ext>
          </a:extLst>
        </xdr:cNvPr>
        <xdr:cNvPicPr>
          <a:picLocks noChangeAspect="1"/>
        </xdr:cNvPicPr>
      </xdr:nvPicPr>
      <xdr:blipFill>
        <a:blip xmlns:r="http://schemas.openxmlformats.org/officeDocument/2006/relationships" r:embed="rId2"/>
        <a:stretch>
          <a:fillRect/>
        </a:stretch>
      </xdr:blipFill>
      <xdr:spPr>
        <a:xfrm>
          <a:off x="0" y="5814060"/>
          <a:ext cx="8344459" cy="5938849"/>
        </a:xfrm>
        <a:prstGeom prst="rect">
          <a:avLst/>
        </a:prstGeom>
      </xdr:spPr>
    </xdr:pic>
    <xdr:clientData/>
  </xdr:twoCellAnchor>
  <xdr:twoCellAnchor editAs="oneCell">
    <xdr:from>
      <xdr:col>0</xdr:col>
      <xdr:colOff>83820</xdr:colOff>
      <xdr:row>65</xdr:row>
      <xdr:rowOff>144780</xdr:rowOff>
    </xdr:from>
    <xdr:to>
      <xdr:col>13</xdr:col>
      <xdr:colOff>452798</xdr:colOff>
      <xdr:row>101</xdr:row>
      <xdr:rowOff>16163</xdr:rowOff>
    </xdr:to>
    <xdr:pic>
      <xdr:nvPicPr>
        <xdr:cNvPr id="4" name="图片 3">
          <a:extLst>
            <a:ext uri="{FF2B5EF4-FFF2-40B4-BE49-F238E27FC236}">
              <a16:creationId xmlns:a16="http://schemas.microsoft.com/office/drawing/2014/main" id="{294AB4FC-674E-1ADB-A6D1-B18DCAB84805}"/>
            </a:ext>
          </a:extLst>
        </xdr:cNvPr>
        <xdr:cNvPicPr>
          <a:picLocks noChangeAspect="1"/>
        </xdr:cNvPicPr>
      </xdr:nvPicPr>
      <xdr:blipFill>
        <a:blip xmlns:r="http://schemas.openxmlformats.org/officeDocument/2006/relationships" r:embed="rId3"/>
        <a:stretch>
          <a:fillRect/>
        </a:stretch>
      </xdr:blipFill>
      <xdr:spPr>
        <a:xfrm>
          <a:off x="83820" y="12031980"/>
          <a:ext cx="8293778" cy="64550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北京市朝阳区常营南路50号院12-14商业1层104房地产抵押价值预评估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受贵公司委托，我公司对北京市朝阳区常营南路50号院12-14商业1层104房地产抵押价值进行了预评估。</v>
      </c>
    </row>
    <row r="7" spans="1:2">
      <c r="A7" s="1119" t="s">
        <v>566</v>
      </c>
      <c r="B7" s="1120" t="str">
        <f>'预评函-1'!A7</f>
        <v>估价对象为北京市朝阳区常营南路50号院12-14商业1层104房地产，为北京惠尔三吉绿色化学科技有限公司
所有。根据《国有土地使用证》[]，估价对象（分摊）出让国有建设用地使用权面积为0平方米，建筑面积为576.94平方米。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估价对象为北京市朝阳区常营南路50号院12-14商业1层104房地产,属北京惠尔三吉绿色化学科技有限公司
开发建设的商业项目，该项目尚在开发建设中。根据《国有土地使用证》[]，估价对象（分摊）出让国有建设用地使用权面积为0平方米，规划建筑面积为576.94平方米。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常营南路50号院12-14商业1层104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2025年5月9日</v>
      </c>
    </row>
    <row r="13" spans="1:2">
      <c r="A13" s="1119" t="s">
        <v>529</v>
      </c>
      <c r="B13" s="1120" t="str">
        <f>'预评函-1'!A18</f>
        <v>本次估价的“房地产价值”是指在正常市场情况下，在价值时点2025年5月9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2940</v>
      </c>
    </row>
    <row r="21" spans="1:2">
      <c r="A21" s="1119" t="s">
        <v>537</v>
      </c>
      <c r="B21" s="1120">
        <f ca="1">'预评函-2'!D7</f>
        <v>50957</v>
      </c>
    </row>
    <row r="22" spans="1:2">
      <c r="A22" s="1119" t="s">
        <v>538</v>
      </c>
      <c r="B22" s="1120" t="str">
        <f ca="1">'预评函-2'!D6</f>
        <v>贰仟玖佰肆拾万元整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2940</v>
      </c>
    </row>
    <row r="31" spans="1:2">
      <c r="A31" s="1119" t="s">
        <v>576</v>
      </c>
      <c r="B31" s="1120">
        <f ca="1">'预评函-2'!D15</f>
        <v>50957</v>
      </c>
    </row>
    <row r="32" spans="1:2">
      <c r="A32" s="1119" t="s">
        <v>543</v>
      </c>
      <c r="B32" s="1120" t="str">
        <f ca="1">'预评函-2'!D14</f>
        <v>贰仟玖佰肆拾万元整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北京市朝阳区常营南路50号院12-14商业1层104房地产</v>
      </c>
    </row>
    <row r="42" spans="1:2" ht="31.2">
      <c r="A42" s="1119" t="s">
        <v>590</v>
      </c>
      <c r="B42" s="1120" t="str">
        <f>'预评函-3'!B2</f>
        <v>建筑面积</v>
      </c>
    </row>
    <row r="43" spans="1:2">
      <c r="A43" s="1119" t="s">
        <v>591</v>
      </c>
      <c r="B43" s="1120">
        <f>'预评函-3'!B4</f>
        <v>576.94000000000005</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2577</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2578</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常营南路50号院12-14商业1层104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1"/>
      <c r="B54" s="1447" t="s">
        <v>385</v>
      </c>
      <c r="C54" s="1445" t="s">
        <v>583</v>
      </c>
    </row>
    <row r="55" spans="1:4">
      <c r="A55" s="3201"/>
      <c r="B55" s="1447" t="s">
        <v>386</v>
      </c>
      <c r="C55" s="1445" t="s">
        <v>584</v>
      </c>
    </row>
    <row r="56" spans="1:4">
      <c r="A56" s="3201"/>
      <c r="B56" s="1447" t="s">
        <v>387</v>
      </c>
      <c r="C56" s="1445" t="s">
        <v>588</v>
      </c>
    </row>
    <row r="57" spans="1:4">
      <c r="A57" s="320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02" t="s">
        <v>2580</v>
      </c>
      <c r="J2" s="3202"/>
      <c r="K2" s="3202"/>
      <c r="L2" s="3202"/>
      <c r="M2" s="3202"/>
      <c r="N2" s="3202"/>
      <c r="O2" s="3202"/>
      <c r="P2" s="3202"/>
      <c r="Q2" s="3202"/>
      <c r="R2" s="3202"/>
    </row>
    <row r="3" spans="1:18">
      <c r="A3" s="2761" t="s">
        <v>2501</v>
      </c>
      <c r="B3" s="2762">
        <f>项目基本情况!D3</f>
        <v>45786</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1.61</v>
      </c>
      <c r="D5" s="2766">
        <f>IF(ISERROR(ROUND(POWER(1+E5,A5-C5)*(POWER(1+E5,C5)-1)/(POWER(1+E5,A5)-1),3)),0,ROUND(POWER(1+E5,A5-C5)*(POWER(1+E5,C5)-1)/(POWER(1+E5,A5)-1),4))</f>
        <v>7.7299999999999994E-2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11.62</v>
      </c>
      <c r="D6" s="2766">
        <f>IF(ISERROR(ROUND(POWER(1+E6,A6-C6)*(POWER(1+E6,C6)-1)/(POWER(1+E6,A6)-1),3)),0,ROUND(POWER(1+E6,A6-C6)*(POWER(1+E6,C6)-1)/(POWER(1+E6,A6)-1),4))</f>
        <v>0.42599999999999999</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31.63</v>
      </c>
      <c r="D7" s="2766">
        <f>IF(ISERROR(ROUND(POWER(1+E7,A7-C7)*(POWER(1+E7,C7)-1)/(POWER(1+E7,A7)-1),3)),0,ROUND(POWER(1+E7,A7-C7)*(POWER(1+E7,C7)-1)/(POWER(1+E7,A7)-1),4))</f>
        <v>0.75960000000000005</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5" thickBot="1">
      <c r="A18" s="2771" t="s">
        <v>2516</v>
      </c>
      <c r="B18" s="2772">
        <f>ROUND(B17*F11/F12,2)</f>
        <v>5541.87</v>
      </c>
      <c r="C18" s="2772">
        <f>ROUND(F11/F12,4)</f>
        <v>1.1521999999999999</v>
      </c>
      <c r="D18" s="2773"/>
      <c r="E18" s="2773"/>
      <c r="F18" s="2774"/>
    </row>
    <row r="19" spans="1:14" ht="15" thickBot="1"/>
    <row r="20" spans="1:14" s="2807" customFormat="1" ht="1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3386</v>
      </c>
    </row>
    <row r="50" spans="1:4">
      <c r="A50" s="3143" t="s">
        <v>3387</v>
      </c>
      <c r="B50" s="3143" t="s">
        <v>3388</v>
      </c>
      <c r="C50" s="3143" t="s">
        <v>3389</v>
      </c>
      <c r="D50" s="3143" t="s">
        <v>3390</v>
      </c>
    </row>
    <row r="51" spans="1:4">
      <c r="A51" s="3143" t="s">
        <v>3391</v>
      </c>
      <c r="B51" s="2763">
        <f>B52+B53</f>
        <v>15000</v>
      </c>
      <c r="C51" s="3144">
        <f>D51/B51</f>
        <v>2666.6666666666665</v>
      </c>
      <c r="D51" s="2763">
        <f>D52+D53</f>
        <v>40000000</v>
      </c>
    </row>
    <row r="52" spans="1:4">
      <c r="A52" s="3145" t="s">
        <v>3392</v>
      </c>
      <c r="B52" s="3146">
        <v>10000</v>
      </c>
      <c r="C52" s="3146">
        <v>1500</v>
      </c>
      <c r="D52" s="3147">
        <f>C52*B52</f>
        <v>15000000</v>
      </c>
    </row>
    <row r="53" spans="1:4">
      <c r="A53" s="3145" t="s">
        <v>3393</v>
      </c>
      <c r="B53" s="3146">
        <v>5000</v>
      </c>
      <c r="C53" s="3146">
        <v>5000</v>
      </c>
      <c r="D53" s="3147">
        <f>C53*B53</f>
        <v>25000000</v>
      </c>
    </row>
    <row r="54" spans="1:4">
      <c r="A54" s="3143" t="s">
        <v>3394</v>
      </c>
      <c r="B54" s="2763">
        <f>B51</f>
        <v>15000</v>
      </c>
      <c r="C54" s="2769">
        <v>700</v>
      </c>
      <c r="D54" s="2763">
        <f t="shared" ref="D54:D55" si="5">C54*B54</f>
        <v>10500000</v>
      </c>
    </row>
    <row r="55" spans="1:4">
      <c r="A55" s="3143" t="s">
        <v>3395</v>
      </c>
      <c r="B55" s="2763">
        <f>B51</f>
        <v>15000</v>
      </c>
      <c r="C55" s="2769">
        <v>1500</v>
      </c>
      <c r="D55" s="2763">
        <f t="shared" si="5"/>
        <v>22500000</v>
      </c>
    </row>
    <row r="56" spans="1:4">
      <c r="A56" s="3143" t="s">
        <v>3396</v>
      </c>
      <c r="B56" s="2763">
        <f>B51</f>
        <v>15000</v>
      </c>
      <c r="C56" s="3148">
        <f>C51+C54+C55</f>
        <v>4866.6666666666661</v>
      </c>
      <c r="D56" s="2763">
        <f>D51+D54+D55</f>
        <v>73000000</v>
      </c>
    </row>
    <row r="58" spans="1:4">
      <c r="A58" s="3143" t="s">
        <v>3397</v>
      </c>
      <c r="B58" s="3149">
        <v>0.05</v>
      </c>
      <c r="C58" s="2763">
        <f>C56*(1+B58)</f>
        <v>5110</v>
      </c>
      <c r="D58" s="2763">
        <f>D56*B58</f>
        <v>3650000</v>
      </c>
    </row>
    <row r="60" spans="1:4">
      <c r="A60" s="3143" t="s">
        <v>3398</v>
      </c>
      <c r="B60" s="2769">
        <v>3500</v>
      </c>
      <c r="C60" s="2769">
        <f>C53</f>
        <v>5000</v>
      </c>
      <c r="D60" s="2763">
        <f>C60*B60</f>
        <v>17500000</v>
      </c>
    </row>
    <row r="62" spans="1:4">
      <c r="A62" s="3143" t="s">
        <v>3399</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C11" sqref="C11"/>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10" t="str">
        <f>IF(B10="北京市","北京市",C10)&amp;F10&amp;IF(结果表!G1="在建","出让国有建设用地使用权及在建建筑物",IF(结果表!G1="土地","出让国有建设用地使用权",))&amp;B9&amp;"预评估"</f>
        <v>北京市朝阳区常营南路50号院12-14商业1层104房地产抵押价值预评估</v>
      </c>
      <c r="C1" s="3211"/>
      <c r="D1" s="3211"/>
      <c r="E1" s="3211"/>
      <c r="F1" s="3211"/>
      <c r="G1" s="3211"/>
      <c r="H1" s="3211"/>
      <c r="I1" s="3212"/>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北京市朝阳区常营南路50号院12-14商业1层104房地产抵押价值</v>
      </c>
      <c r="T1" s="1618"/>
      <c r="U1" s="1618"/>
      <c r="V1" s="1618"/>
      <c r="W1" s="1618"/>
      <c r="X1" s="1618"/>
      <c r="Y1" s="1618"/>
      <c r="Z1" s="1618"/>
      <c r="AA1" s="1618"/>
      <c r="AB1" s="1618"/>
    </row>
    <row r="2" spans="1:30">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北京市朝阳区常营南路50号院12-14商业1层104房地产</v>
      </c>
      <c r="T2" s="1618"/>
      <c r="U2" s="1618"/>
      <c r="V2" s="1618"/>
      <c r="W2" s="1618"/>
      <c r="X2" s="1618"/>
      <c r="Y2" s="1618"/>
      <c r="Z2" s="1618"/>
      <c r="AA2" s="1618"/>
      <c r="AB2" s="1618"/>
    </row>
    <row r="3" spans="1:30">
      <c r="A3" s="294" t="s">
        <v>2170</v>
      </c>
      <c r="B3" s="2185"/>
      <c r="C3" s="2186" t="s">
        <v>2171</v>
      </c>
      <c r="D3" s="2185">
        <v>45786</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3411</v>
      </c>
      <c r="C8" s="2201"/>
      <c r="D8" s="3213" t="s">
        <v>2177</v>
      </c>
      <c r="E8" s="2202" t="s">
        <v>3412</v>
      </c>
      <c r="F8" s="2203"/>
      <c r="G8" s="2441"/>
      <c r="H8" s="2441"/>
      <c r="I8" s="2441"/>
      <c r="J8" s="2244"/>
      <c r="K8" s="2399"/>
      <c r="L8" s="2398"/>
      <c r="M8" s="2398"/>
      <c r="N8" s="2244"/>
      <c r="O8" s="1670"/>
      <c r="P8" s="2244"/>
      <c r="Q8" s="2244"/>
      <c r="R8" s="2244"/>
    </row>
    <row r="9" spans="1:30" ht="13.8" thickBot="1">
      <c r="A9" s="2204" t="s">
        <v>2178</v>
      </c>
      <c r="B9" s="2205" t="s">
        <v>3412</v>
      </c>
      <c r="C9" s="2206"/>
      <c r="D9" s="3214"/>
      <c r="E9" s="2205"/>
      <c r="F9" s="2207"/>
      <c r="G9" s="2442"/>
      <c r="H9" s="2442"/>
      <c r="I9" s="2442"/>
      <c r="J9" s="2244"/>
      <c r="K9" s="2401"/>
      <c r="L9" s="2398"/>
      <c r="M9" s="2398"/>
      <c r="N9" s="2244"/>
      <c r="O9" s="1670"/>
      <c r="P9" s="2244"/>
      <c r="Q9" s="2244"/>
      <c r="R9" s="2244"/>
    </row>
    <row r="10" spans="1:30" ht="13.8" thickTop="1">
      <c r="A10" s="2208" t="s">
        <v>2179</v>
      </c>
      <c r="B10" s="2209" t="s">
        <v>3413</v>
      </c>
      <c r="C10" s="2210"/>
      <c r="D10" s="2193"/>
      <c r="E10" s="2211" t="s">
        <v>2180</v>
      </c>
      <c r="F10" s="3496" t="s">
        <v>3414</v>
      </c>
      <c r="G10" s="2443"/>
      <c r="H10" s="2444"/>
      <c r="I10" s="2445"/>
      <c r="J10" s="2244"/>
      <c r="K10" s="2401"/>
      <c r="L10" s="2398"/>
      <c r="M10" s="2398"/>
      <c r="N10" s="2244"/>
      <c r="O10" s="1670"/>
      <c r="P10" s="2244"/>
      <c r="Q10" s="2244"/>
      <c r="R10" s="2244"/>
    </row>
    <row r="11" spans="1:30" ht="60">
      <c r="A11" s="2212" t="s">
        <v>2181</v>
      </c>
      <c r="B11" s="2213" t="s">
        <v>3510</v>
      </c>
      <c r="C11" s="3517" t="s">
        <v>3511</v>
      </c>
      <c r="D11" s="2214"/>
      <c r="E11" s="2182"/>
      <c r="F11" s="2182"/>
      <c r="G11" s="2182"/>
      <c r="H11" s="2182"/>
      <c r="I11" s="2182"/>
      <c r="J11" s="2800"/>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c r="A13" s="3120" t="s">
        <v>3332</v>
      </c>
      <c r="B13" s="2217" t="s">
        <v>2190</v>
      </c>
      <c r="C13" s="803"/>
      <c r="D13" s="803">
        <v>52356</v>
      </c>
      <c r="E13" s="3502" t="s">
        <v>3436</v>
      </c>
      <c r="F13" s="803"/>
      <c r="G13" s="803"/>
      <c r="H13" s="803"/>
      <c r="I13" s="803"/>
      <c r="J13" s="2801"/>
      <c r="K13" s="2398"/>
      <c r="L13" s="2398"/>
      <c r="M13" s="2244"/>
      <c r="N13" s="1670"/>
      <c r="O13" s="2244"/>
      <c r="P13" s="2244"/>
      <c r="Q13" s="2244"/>
      <c r="AD13" s="1618"/>
    </row>
    <row r="14" spans="1:30">
      <c r="A14" s="1018"/>
      <c r="B14" s="2217" t="s">
        <v>2191</v>
      </c>
      <c r="C14" s="2218"/>
      <c r="D14" s="2218"/>
      <c r="E14" s="2218"/>
      <c r="F14" s="2218"/>
      <c r="G14" s="2218"/>
      <c r="H14" s="2218"/>
      <c r="I14" s="2218"/>
      <c r="J14" s="2802"/>
      <c r="K14" s="2398"/>
      <c r="L14" s="2398"/>
      <c r="M14" s="2244"/>
      <c r="N14" s="1670"/>
      <c r="O14" s="2244"/>
      <c r="P14" s="2244"/>
      <c r="Q14" s="2244"/>
      <c r="AD14" s="1618"/>
    </row>
    <row r="15" spans="1:30">
      <c r="A15" s="312"/>
      <c r="B15" s="2219" t="s">
        <v>2192</v>
      </c>
      <c r="C15" s="2220" t="str">
        <f>IF(A13="出让",IF(C13="","",ROUNDDOWN(MIN((C13-$D$3)/365,C14),2)),C14)</f>
        <v/>
      </c>
      <c r="D15" s="2220">
        <f>IF(A13="出让",IF(D13="","",ROUNDDOWN(MIN((D13-$D$3)/365,D14),2)),D14)</f>
        <v>18</v>
      </c>
      <c r="E15" s="2220" t="e">
        <f>IF(A13="出让",IF(E13="","",ROUNDDOWN(MIN((E13-$D$3)/365,E14),2)),E14)</f>
        <v>#VALUE!</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2193</v>
      </c>
      <c r="B16" s="3220"/>
      <c r="C16" s="3221"/>
      <c r="D16" s="3222"/>
      <c r="E16" s="2221" t="s">
        <v>2194</v>
      </c>
      <c r="F16" s="3223"/>
      <c r="G16" s="3224"/>
      <c r="H16" s="3224"/>
      <c r="I16" s="3225"/>
      <c r="J16" s="2244"/>
      <c r="K16" s="2402"/>
      <c r="L16" s="1670"/>
      <c r="M16" s="1670"/>
      <c r="N16" s="2244"/>
      <c r="O16" s="1670"/>
      <c r="P16" s="2244"/>
      <c r="Q16" s="2244"/>
      <c r="R16" s="2244"/>
    </row>
    <row r="17" spans="1:28">
      <c r="A17" s="305" t="s">
        <v>2195</v>
      </c>
      <c r="B17" s="294" t="s">
        <v>2196</v>
      </c>
      <c r="C17" s="8">
        <f>'数据-汇总表'!E3</f>
        <v>576.94000000000005</v>
      </c>
      <c r="D17" s="1256" t="s">
        <v>2197</v>
      </c>
      <c r="E17" s="3226" t="s">
        <v>2198</v>
      </c>
      <c r="F17" s="3227"/>
      <c r="G17" s="3227"/>
      <c r="H17" s="3227"/>
      <c r="I17" s="3228"/>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0</v>
      </c>
      <c r="D18" s="1029" t="s">
        <v>2201</v>
      </c>
      <c r="E18" s="3229" t="s">
        <v>2202</v>
      </c>
      <c r="F18" s="3230"/>
      <c r="G18" s="3230"/>
      <c r="H18" s="3230"/>
      <c r="I18" s="3231"/>
      <c r="J18" s="2244"/>
      <c r="K18" s="2403"/>
      <c r="L18" s="1670"/>
      <c r="M18" s="1670"/>
      <c r="N18" s="2244"/>
      <c r="O18" s="1670"/>
      <c r="P18" s="2244"/>
      <c r="Q18" s="2244"/>
      <c r="R18" s="2244"/>
      <c r="S18" s="2244"/>
      <c r="T18" s="2244"/>
      <c r="U18" s="2244"/>
      <c r="V18" s="2244"/>
    </row>
    <row r="19" spans="1:28" ht="54" thickTop="1" thickBot="1">
      <c r="A19" s="319" t="s">
        <v>1055</v>
      </c>
      <c r="B19" s="299" t="s">
        <v>2203</v>
      </c>
      <c r="C19" s="1455" t="s">
        <v>3416</v>
      </c>
      <c r="D19" s="1456" t="s">
        <v>2204</v>
      </c>
      <c r="E19" s="1457" t="s">
        <v>3434</v>
      </c>
      <c r="F19" s="1458" t="str">
        <f>IF(AND(C19="是",E19="否"),"是否提供他项权证或相关说明","")</f>
        <v>是否提供他项权证或相关说明</v>
      </c>
      <c r="G19" s="1459" t="s">
        <v>3434</v>
      </c>
      <c r="H19" s="2441"/>
      <c r="I19" s="2441"/>
      <c r="J19" s="2244"/>
      <c r="K19" s="2401"/>
      <c r="L19" s="2398"/>
      <c r="M19" s="2398"/>
      <c r="N19" s="2244"/>
      <c r="O19" s="1670"/>
      <c r="P19" s="2244"/>
      <c r="Q19" s="2244"/>
      <c r="R19" s="2244"/>
      <c r="S19" s="2244"/>
      <c r="T19" s="2244"/>
      <c r="U19" s="2244"/>
      <c r="V19" s="2244"/>
    </row>
    <row r="20" spans="1:28">
      <c r="A20" s="2416" t="s">
        <v>2205</v>
      </c>
      <c r="B20" s="3216" t="s">
        <v>2206</v>
      </c>
      <c r="C20" s="3217"/>
      <c r="D20" s="3218" t="s">
        <v>2207</v>
      </c>
      <c r="E20" s="3219"/>
      <c r="F20" s="2429" t="s">
        <v>1056</v>
      </c>
      <c r="G20" s="2441"/>
      <c r="H20" s="2441"/>
      <c r="I20" s="2441"/>
      <c r="J20" s="2244"/>
      <c r="K20" s="321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21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21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04" t="s">
        <v>2214</v>
      </c>
      <c r="B27" s="312" t="s">
        <v>2215</v>
      </c>
      <c r="C27" s="2224" t="s">
        <v>3418</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04"/>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04"/>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05"/>
      <c r="B30" s="294" t="s">
        <v>2218</v>
      </c>
      <c r="C30" s="3206"/>
      <c r="D30" s="3207"/>
      <c r="E30" s="2441"/>
      <c r="F30" s="2441"/>
      <c r="G30" s="2441"/>
      <c r="H30" s="2441"/>
      <c r="I30" s="2441"/>
      <c r="J30" s="2244"/>
      <c r="K30" s="2401"/>
      <c r="L30" s="2398"/>
      <c r="M30" s="2398"/>
      <c r="N30" s="2244"/>
      <c r="O30" s="1670"/>
      <c r="P30" s="2244"/>
      <c r="Q30" s="2244"/>
      <c r="R30" s="2244"/>
      <c r="S30" s="2244"/>
      <c r="T30" s="2244"/>
      <c r="U30" s="2244"/>
      <c r="V30" s="2244"/>
    </row>
    <row r="31" spans="1:28">
      <c r="A31" s="3208" t="s">
        <v>2219</v>
      </c>
      <c r="B31" s="2230" t="s">
        <v>3417</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09"/>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09"/>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03" t="s">
        <v>2228</v>
      </c>
      <c r="T34" s="315" t="str">
        <f>NUMBERSTRING(7-K34,1)&amp;"通"</f>
        <v>七通</v>
      </c>
      <c r="U34" s="2244"/>
      <c r="V34" s="2244"/>
    </row>
    <row r="35" spans="1:30">
      <c r="A35" s="2235"/>
      <c r="B35" s="3203" t="s">
        <v>2229</v>
      </c>
      <c r="C35" s="3203"/>
      <c r="D35" s="3203"/>
      <c r="E35" s="3203"/>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3"/>
      <c r="T35" s="138" t="str">
        <f>IF(T34="一通",L35,IF(T34="二通",M35,IF(T34="三通",N35,IF(T34="四通",O35,IF(T34="五通",P35,IF(T34="六通",Q35,R35))))))</f>
        <v>、、、、、、</v>
      </c>
      <c r="U35" s="2244"/>
      <c r="V35" s="2244"/>
    </row>
    <row r="36" spans="1:30">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t="s">
        <v>303</v>
      </c>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2231</v>
      </c>
      <c r="B38" s="2237" t="s">
        <v>291</v>
      </c>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3" sqref="D13"/>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576.94000000000005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576.94000000000005</v>
      </c>
      <c r="H5" s="13">
        <f t="shared" ref="H5:AT5" si="0">SUM(H13:H656)</f>
        <v>576.94000000000005</v>
      </c>
      <c r="I5" s="13">
        <f t="shared" si="0"/>
        <v>576.94000000000005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576.94000000000005</v>
      </c>
      <c r="BA5" s="15">
        <f t="shared" si="1"/>
        <v>576.94000000000005</v>
      </c>
      <c r="BB5" s="15">
        <f t="shared" si="1"/>
        <v>576.94000000000005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3415</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3416</v>
      </c>
      <c r="E13" s="13">
        <f>IF($C$3="是",ROUND($A$3*G13/$B$3,2),ROUND($A$3*(G13-AT13)/$B$3,2))</f>
        <v>0</v>
      </c>
      <c r="F13" s="29"/>
      <c r="G13" s="30">
        <f>H13+AC13+AT13</f>
        <v>576.94000000000005</v>
      </c>
      <c r="H13" s="17">
        <f>SUMIF(I$12:AB$12,"总值",I13:AB13)</f>
        <v>576.94000000000005</v>
      </c>
      <c r="I13" s="1514">
        <v>576.94000000000005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576.94000000000005</v>
      </c>
      <c r="BA13" s="13">
        <f>SUM(BB13:BK13)</f>
        <v>576.94000000000005</v>
      </c>
      <c r="BB13" s="13">
        <f>IF($D13="是",I13-J13,0)</f>
        <v>576.94000000000005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1" t="s">
        <v>1131</v>
      </c>
      <c r="B2" s="3241"/>
      <c r="C2" s="3241"/>
      <c r="D2" s="748" t="s">
        <v>1107</v>
      </c>
      <c r="E2" s="1523" t="s">
        <v>1108</v>
      </c>
      <c r="F2" s="2438"/>
      <c r="G2" s="2431"/>
      <c r="H2" s="2432"/>
      <c r="I2" s="2146" t="s">
        <v>1132</v>
      </c>
      <c r="J2" s="2438"/>
      <c r="K2" s="2438"/>
      <c r="L2" s="2438"/>
      <c r="M2" s="2438"/>
      <c r="N2" s="2439"/>
      <c r="O2" s="2438"/>
      <c r="P2" s="2438"/>
    </row>
    <row r="3" spans="1:16" ht="15" thickBot="1">
      <c r="A3" s="3242" t="s">
        <v>1105</v>
      </c>
      <c r="B3" s="3242"/>
      <c r="C3" s="3242"/>
      <c r="D3" s="41">
        <f>'数据-基础表'!AY6</f>
        <v>0</v>
      </c>
      <c r="E3" s="41">
        <f>'数据-基础表'!AZ5</f>
        <v>576.94000000000005</v>
      </c>
      <c r="F3" s="2438"/>
      <c r="G3" s="42"/>
      <c r="H3" s="43" t="s">
        <v>1106</v>
      </c>
      <c r="I3" s="802" t="e">
        <f>ROUND('数据-基础表'!B3/'数据-基础表'!A3,2)</f>
        <v>#DIV/0!</v>
      </c>
      <c r="J3" s="2438"/>
      <c r="K3" s="2438"/>
      <c r="L3" s="2438"/>
      <c r="M3" s="2438"/>
      <c r="N3" s="2439"/>
      <c r="O3" s="2438"/>
      <c r="P3" s="2438"/>
    </row>
    <row r="4" spans="1:16" ht="14.4">
      <c r="A4" s="3243"/>
      <c r="B4" s="3244"/>
      <c r="C4" s="3245"/>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46" t="s">
        <v>1110</v>
      </c>
      <c r="C5" s="3246"/>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46" t="s">
        <v>1111</v>
      </c>
      <c r="C6" s="3246"/>
      <c r="D6" s="43">
        <f>ROUND($D$3*E6/$E$3,2)</f>
        <v>0</v>
      </c>
      <c r="E6" s="44">
        <f>E3-E5</f>
        <v>576.94000000000005</v>
      </c>
      <c r="F6" s="2438"/>
      <c r="G6" s="1529" t="s">
        <v>1112</v>
      </c>
      <c r="H6" s="45" t="s">
        <v>1113</v>
      </c>
      <c r="I6" s="2434" t="e">
        <f>ROUND(F31/D31,2)</f>
        <v>#DIV/0!</v>
      </c>
      <c r="J6" s="2438"/>
      <c r="K6" s="2438"/>
      <c r="L6" s="2438"/>
      <c r="M6" s="2438"/>
      <c r="N6" s="2438"/>
      <c r="O6" s="2438"/>
      <c r="P6" s="2438"/>
    </row>
    <row r="7" spans="1:16" ht="15" thickBot="1">
      <c r="A7" s="3238"/>
      <c r="B7" s="3239"/>
      <c r="C7" s="3240"/>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576.94000000000005</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576.94000000000005</v>
      </c>
      <c r="F16" s="2438"/>
      <c r="G16" s="2438"/>
      <c r="H16" s="1531" t="s">
        <v>1135</v>
      </c>
      <c r="I16" s="1532"/>
      <c r="J16" s="1071"/>
      <c r="K16" s="3235" t="s">
        <v>1135</v>
      </c>
      <c r="L16" s="3236"/>
      <c r="M16" s="3236"/>
      <c r="N16" s="3236"/>
      <c r="O16" s="3236"/>
      <c r="P16" s="3237"/>
    </row>
    <row r="17" spans="1:19" ht="14.4">
      <c r="A17" s="1533" t="s">
        <v>1136</v>
      </c>
      <c r="B17" s="1534" t="s">
        <v>1137</v>
      </c>
      <c r="C17" s="1535" t="s">
        <v>1138</v>
      </c>
      <c r="D17" s="1536" t="s">
        <v>1126</v>
      </c>
      <c r="E17" s="1537" t="s">
        <v>1127</v>
      </c>
      <c r="F17" s="1538"/>
      <c r="G17" s="1539"/>
      <c r="H17" s="1540" t="s">
        <v>1139</v>
      </c>
      <c r="I17" s="1541" t="s">
        <v>1124</v>
      </c>
      <c r="J17" s="1071"/>
      <c r="K17" s="3232" t="s">
        <v>1140</v>
      </c>
      <c r="L17" s="3233"/>
      <c r="M17" s="3234"/>
      <c r="N17" s="3232" t="s">
        <v>1141</v>
      </c>
      <c r="O17" s="3233"/>
      <c r="P17" s="3234"/>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t="s">
        <v>3419</v>
      </c>
      <c r="D19" s="43">
        <f>ROUND($D$3*E19/$E$3,2)</f>
        <v>0</v>
      </c>
      <c r="E19" s="51">
        <f t="shared" ref="E19:E26" si="1">SUM(F19:G19)</f>
        <v>576.94000000000005</v>
      </c>
      <c r="F19" s="2556">
        <f>'数据-基础表'!H13</f>
        <v>576.94000000000005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576.94000000000005</v>
      </c>
    </row>
    <row r="20" spans="1:19" ht="14.4">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576.94000000000005</v>
      </c>
      <c r="F27" s="1072">
        <f>IF(SUM(F19:F26)=E8,SUM(F19:F26),"地上面积有误")</f>
        <v>576.94000000000005</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576.94000000000005</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576.94000000000005</v>
      </c>
      <c r="F31" s="644">
        <f>F27+F30</f>
        <v>576.94000000000005</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L24" activePane="bottomRight" state="frozen"/>
      <selection activeCell="C50" sqref="C50"/>
      <selection pane="topRight" activeCell="C50" sqref="C50"/>
      <selection pane="bottomLeft" activeCell="C50" sqref="C50"/>
      <selection pane="bottomRight" activeCell="B30" sqref="B30"/>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9.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45786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商业</v>
      </c>
      <c r="B6" s="1587" t="str">
        <f>IF(A6=0,"","经营性")</f>
        <v>经营性</v>
      </c>
      <c r="C6" s="1588" t="s">
        <v>673</v>
      </c>
      <c r="D6" s="805">
        <f>SUMIF(项目基本情况!C$12:I$12,C6,项目基本情况!C$14:I$14)</f>
        <v>0</v>
      </c>
      <c r="E6" s="804">
        <f>IF(B6="","",SUMIF(项目基本情况!C$12:I$12,C6,项目基本情况!C$13:I$13))</f>
        <v>52356</v>
      </c>
      <c r="F6" s="61">
        <f>SUMIF(项目基本情况!C$12:I$12,C6,项目基本情况!C$15:I$15)</f>
        <v>18</v>
      </c>
      <c r="G6" s="62">
        <f>IF(ISERROR(ROUND(POWER(1+H6,D6-F6)*(POWER(1+H6,F6)-1)/(POWER(1+H6,D6)-1),3)),0,ROUND(POWER(1+H6,D6-F6)*(POWER(1+H6,F6)-1)/(POWER(1+H6,D6)-1),3))</f>
        <v>0</v>
      </c>
      <c r="H6" s="691">
        <v>0.05</v>
      </c>
      <c r="I6" s="691">
        <v>5.5E-2</v>
      </c>
      <c r="J6" s="63">
        <v>7.0000000000000007E-2</v>
      </c>
      <c r="K6" s="970">
        <f>SUMIF('数据-汇总表'!C$19:C$33,A6,'数据-汇总表'!E$19:E$33)</f>
        <v>576.94000000000005</v>
      </c>
      <c r="L6" s="692">
        <v>4000</v>
      </c>
      <c r="M6" s="64">
        <f t="shared" ref="M6:M14" si="0">ROUND(K6*L6/10000,0)</f>
        <v>231</v>
      </c>
      <c r="N6" s="690">
        <f>N19</f>
        <v>0.67</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f>U19</f>
        <v>9.73</v>
      </c>
      <c r="V6" s="67">
        <v>0.02</v>
      </c>
      <c r="W6" s="67">
        <v>0.1</v>
      </c>
      <c r="X6" s="979"/>
      <c r="Y6" s="68">
        <f>N6</f>
        <v>0.67</v>
      </c>
      <c r="Z6" s="69"/>
      <c r="AA6" s="63"/>
      <c r="AB6" s="63"/>
      <c r="AC6" s="979"/>
      <c r="AD6" s="70"/>
      <c r="AE6" s="980">
        <f ca="1">IF(AN6="",0,SUMIF(INDIRECT("'"&amp;AN6&amp;"'"&amp;"!E:E"),$AE$5,INDIRECT("'"&amp;AN6&amp;"'"&amp;"!F:F")))</f>
        <v>18</v>
      </c>
      <c r="AF6" s="74"/>
      <c r="AG6" s="130">
        <f>IF(AF6="",0,AE6-AF6)</f>
        <v>0</v>
      </c>
      <c r="AH6" s="71"/>
      <c r="AI6" s="73">
        <v>365</v>
      </c>
      <c r="AJ6" s="74"/>
      <c r="AK6" s="75">
        <v>0.01</v>
      </c>
      <c r="AL6" s="76">
        <v>1E-3</v>
      </c>
      <c r="AM6" s="77">
        <v>0.01</v>
      </c>
      <c r="AN6" s="1589" t="s">
        <v>3428</v>
      </c>
      <c r="AO6" s="50">
        <f ca="1">SUMIF(INDIRECT("'"&amp;AN6&amp;"'"&amp;"!A:A"),"总价",INDIRECT("'"&amp;AN6&amp;"'"&amp;"!B:B"))</f>
        <v>1967.4022</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f>ROUND(SUMPRODUCT(H6:H13,K6:K13)/SUMPRODUCT((H6:H13&gt;0)*(K6:K13)),3)</f>
        <v>0.05</v>
      </c>
      <c r="I16" s="85"/>
      <c r="J16" s="85"/>
      <c r="K16" s="86">
        <f>SUM(K6:K15)</f>
        <v>576.94000000000005</v>
      </c>
      <c r="L16" s="87">
        <f>ROUND(M16*10000/SUM(K6:K14),0)</f>
        <v>4004</v>
      </c>
      <c r="M16" s="87">
        <f>SUM(M6:M14)</f>
        <v>231</v>
      </c>
      <c r="N16" s="88">
        <f>ROUND(SUMPRODUCT(M6:M14,N6:N14)/M16,3)</f>
        <v>0.67</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3499" t="s">
        <v>3423</v>
      </c>
      <c r="N18" s="2447">
        <v>2005</v>
      </c>
      <c r="O18" s="3499" t="s">
        <v>3424</v>
      </c>
      <c r="P18" s="2447"/>
      <c r="Q18" s="2447"/>
      <c r="R18" s="2447"/>
      <c r="S18" s="3499" t="s">
        <v>3431</v>
      </c>
      <c r="T18" s="3499" t="s">
        <v>3429</v>
      </c>
      <c r="U18" s="2447">
        <v>2050000</v>
      </c>
      <c r="W18" s="3500" t="s">
        <v>3433</v>
      </c>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2302</v>
      </c>
      <c r="D19" s="2450"/>
      <c r="E19" s="2438"/>
      <c r="F19" s="2438"/>
      <c r="G19" s="2438"/>
      <c r="H19" s="2438"/>
      <c r="I19" s="2438"/>
      <c r="J19" s="2438"/>
      <c r="K19" s="2448"/>
      <c r="L19" s="2448"/>
      <c r="M19" s="3499" t="s">
        <v>3425</v>
      </c>
      <c r="N19" s="2447">
        <f>ROUND(1-(1-0)*(2025-N18)/60,2)</f>
        <v>0.67</v>
      </c>
      <c r="O19" s="3499" t="s">
        <v>3427</v>
      </c>
      <c r="P19" s="2447"/>
      <c r="Q19" s="2447"/>
      <c r="R19" s="2447"/>
      <c r="S19" s="2447"/>
      <c r="T19" s="3499" t="s">
        <v>3430</v>
      </c>
      <c r="U19" s="2447">
        <f>ROUND(U18/365/'数据-汇总表'!E19,2)</f>
        <v>9.73</v>
      </c>
      <c r="V19" s="2447"/>
      <c r="W19" s="2447" t="s">
        <v>3432</v>
      </c>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2</v>
      </c>
      <c r="C20" s="2560" t="s">
        <v>2300</v>
      </c>
      <c r="D20" s="2450"/>
      <c r="E20" s="2438"/>
      <c r="F20" s="2438"/>
      <c r="G20" s="2438"/>
      <c r="H20" s="2438"/>
      <c r="I20" s="2438"/>
      <c r="J20" s="2438"/>
      <c r="K20" s="2448"/>
      <c r="L20" s="2448"/>
      <c r="M20" s="2447"/>
      <c r="N20" s="2447"/>
      <c r="O20" s="3499" t="s">
        <v>3435</v>
      </c>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f>B20</f>
        <v>2</v>
      </c>
      <c r="C21" s="2438"/>
      <c r="D21" s="2450"/>
      <c r="E21" s="2438"/>
      <c r="F21" s="2438"/>
      <c r="G21" s="2438"/>
      <c r="H21" s="2438"/>
      <c r="I21" s="2438"/>
      <c r="J21" s="2438"/>
      <c r="K21" s="2448"/>
      <c r="L21" s="2448"/>
      <c r="M21" s="2447"/>
      <c r="N21" s="2447"/>
      <c r="O21" s="3501">
        <f>N18-B20+40</f>
        <v>2043</v>
      </c>
      <c r="P21" s="2447"/>
      <c r="Q21" s="2447"/>
      <c r="R21" s="2447"/>
      <c r="S21" s="2447"/>
      <c r="T21" s="3499" t="s">
        <v>3450</v>
      </c>
      <c r="U21" s="3503" t="s">
        <v>3451</v>
      </c>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v>160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f ca="1">'收益法 (元)'!C17/10000</f>
        <v>11.5388</v>
      </c>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v>0.05</v>
      </c>
      <c r="C33" s="2563" t="s">
        <v>3382</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3400</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v>0.02</v>
      </c>
      <c r="C37" s="2563" t="s">
        <v>3383</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v>0.02</v>
      </c>
      <c r="C38" s="2563" t="s">
        <v>3384</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2310</v>
      </c>
      <c r="B40" s="1015">
        <f ca="1">IF(A40="利息：取LPR",存贷款利率!G1,存贷款利率!G1+C40)</f>
        <v>3.1E-2</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5.5000000000000007E-2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5.000000000000001E-3</v>
      </c>
      <c r="C43" s="2452"/>
      <c r="D43" s="3497" t="s">
        <v>3421</v>
      </c>
      <c r="E43" s="3498" t="s">
        <v>3422</v>
      </c>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0.05</v>
      </c>
      <c r="C44" s="2563" t="s">
        <v>3385</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3</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t="s">
        <v>303</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f>C58</f>
        <v>3</v>
      </c>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47" t="s">
        <v>2286</v>
      </c>
      <c r="B1" s="3248"/>
      <c r="C1" s="3248"/>
      <c r="D1" s="3248"/>
      <c r="E1" s="3248"/>
      <c r="F1" s="3248"/>
      <c r="G1" s="3248"/>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576.94000000000005</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45786</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 ca="1">SUM(D14:D23)</f>
        <v>2940</v>
      </c>
      <c r="C5" s="2299">
        <f ca="1">IF(B5=D14,结果表!H102,ROUND(B5*10000/$B$1,0))</f>
        <v>50957</v>
      </c>
      <c r="D5" s="2299" t="e">
        <f ca="1">ROUND(B5*10000/$B$2,0)</f>
        <v>#DIV/0!</v>
      </c>
      <c r="E5" s="2460"/>
      <c r="F5" s="2461"/>
      <c r="G5" s="2461"/>
      <c r="H5" s="2461"/>
      <c r="I5" s="2461"/>
      <c r="J5" s="2461"/>
      <c r="K5" s="2461"/>
    </row>
    <row r="6" spans="1:11" ht="15.6">
      <c r="A6" s="2299" t="s">
        <v>656</v>
      </c>
      <c r="B6" s="2299">
        <f ca="1">SUM(G14:G23)</f>
        <v>2940</v>
      </c>
      <c r="C6" s="2299">
        <f ca="1">IF(B6=G14,结果表!H108,ROUND(B6*10000/$B$1,0))</f>
        <v>50957</v>
      </c>
      <c r="D6" s="2299" t="e">
        <f ca="1">ROUND(B6*10000/$B$2,0)</f>
        <v>#DIV/0!</v>
      </c>
      <c r="E6" s="2460"/>
      <c r="F6" s="2461"/>
      <c r="G6" s="2461"/>
      <c r="H6" s="2461"/>
      <c r="I6" s="2461"/>
      <c r="J6" s="2461"/>
      <c r="K6" s="2461"/>
    </row>
    <row r="7" spans="1:11" ht="15.6">
      <c r="A7" s="2299" t="s">
        <v>664</v>
      </c>
      <c r="B7" s="2299">
        <f>SUM(H14:H23)</f>
        <v>0</v>
      </c>
      <c r="C7" s="2299" t="str">
        <f>IF(B7=H14,结果表!H110,ROUND(B7*10000/$B$1,0))</f>
        <v>——</v>
      </c>
      <c r="D7" s="2299" t="e">
        <f>ROUND(B7*10000/$B$2,0)</f>
        <v>#DIV/0!</v>
      </c>
      <c r="E7" s="2460"/>
      <c r="F7" s="2461"/>
      <c r="G7" s="2461"/>
      <c r="H7" s="2461"/>
      <c r="I7" s="2461"/>
      <c r="J7" s="2461"/>
      <c r="K7" s="2461"/>
    </row>
    <row r="8" spans="1:11" ht="15.6">
      <c r="A8" s="2299" t="s">
        <v>587</v>
      </c>
      <c r="B8" s="2299">
        <f>SUM(I14:I23)</f>
        <v>0</v>
      </c>
      <c r="C8" s="2299" t="str">
        <f>IF(B8=I14,结果表!H112,ROUND(B8*10000/$B$1,0))</f>
        <v>——</v>
      </c>
      <c r="D8" s="2299" t="e">
        <f>ROUND(B8*10000/$B$2,0)</f>
        <v>#DIV/0!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3355</v>
      </c>
      <c r="D10" s="2299" t="s">
        <v>3356</v>
      </c>
      <c r="E10" s="3135"/>
      <c r="F10" s="3139" t="s">
        <v>3357</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'数据-汇总表'!E19</f>
        <v>576.94000000000005</v>
      </c>
      <c r="C14" s="2305"/>
      <c r="D14" s="2305">
        <f ca="1">结果表!H101</f>
        <v>2940</v>
      </c>
      <c r="E14" s="2305">
        <f ca="1">结果表!H102</f>
        <v>50957</v>
      </c>
      <c r="F14" s="2305" t="e">
        <f ca="1">ROUND(D14*10000/C14,0)</f>
        <v>#DIV/0!</v>
      </c>
      <c r="G14" s="2305">
        <f ca="1">结果表!H107</f>
        <v>2940</v>
      </c>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 zoomScale="70" zoomScaleNormal="100" zoomScaleSheetLayoutView="70" zoomScalePageLayoutView="80" workbookViewId="0">
      <selection activeCell="D17" sqref="D17"/>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673</v>
      </c>
      <c r="D1" s="646"/>
      <c r="E1" s="646"/>
      <c r="F1" s="1621" t="s">
        <v>1263</v>
      </c>
      <c r="G1" s="1453" t="s">
        <v>3417</v>
      </c>
      <c r="H1" s="1621" t="str">
        <f>IF(G1="现房","——","估价对象范围")</f>
        <v>——</v>
      </c>
      <c r="I1" s="1622"/>
    </row>
    <row r="2" spans="1:12" ht="21.75" customHeight="1" thickBot="1">
      <c r="A2" s="3283" t="str">
        <f>项目基本情况!S2</f>
        <v>北京市朝阳区常营南路50号院12-14商业1层104房地产</v>
      </c>
      <c r="B2" s="3284"/>
      <c r="C2" s="3284"/>
      <c r="D2" s="3284"/>
      <c r="E2" s="3284"/>
      <c r="F2" s="3284"/>
      <c r="G2" s="3284"/>
      <c r="H2" s="3284"/>
      <c r="I2" s="3285"/>
    </row>
    <row r="3" spans="1:12" ht="13.2">
      <c r="A3" s="3287" t="s">
        <v>1264</v>
      </c>
      <c r="B3" s="3288"/>
      <c r="C3" s="3288"/>
      <c r="D3" s="3288"/>
      <c r="E3" s="3288"/>
      <c r="F3" s="3288"/>
      <c r="G3" s="3288"/>
      <c r="H3" s="3288"/>
      <c r="I3" s="3288"/>
    </row>
    <row r="4" spans="1:12" ht="14.4">
      <c r="A4" s="1624" t="s">
        <v>1265</v>
      </c>
      <c r="B4" s="1625" t="s">
        <v>1266</v>
      </c>
      <c r="C4" s="1626" t="s">
        <v>3439</v>
      </c>
      <c r="D4" s="1626" t="s">
        <v>3428</v>
      </c>
      <c r="E4" s="3289" t="s">
        <v>1267</v>
      </c>
      <c r="F4" s="3290"/>
      <c r="G4" s="3290"/>
      <c r="H4" s="3290"/>
      <c r="I4" s="3291"/>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3" t="s">
        <v>1268</v>
      </c>
      <c r="B5" s="3250">
        <v>25</v>
      </c>
      <c r="C5" s="3266"/>
      <c r="D5" s="3286"/>
      <c r="E5" s="123" t="s">
        <v>1269</v>
      </c>
      <c r="F5" s="1627"/>
      <c r="G5" s="1627"/>
      <c r="H5" s="1627"/>
      <c r="I5" s="1281"/>
    </row>
    <row r="6" spans="1:12" ht="13.2">
      <c r="A6" s="3263"/>
      <c r="B6" s="3250"/>
      <c r="C6" s="3267"/>
      <c r="D6" s="3286"/>
      <c r="E6" s="123" t="s">
        <v>1270</v>
      </c>
      <c r="F6" s="1627"/>
      <c r="G6" s="1627"/>
      <c r="H6" s="1627"/>
      <c r="I6" s="1281"/>
    </row>
    <row r="7" spans="1:12" ht="13.2">
      <c r="A7" s="3263"/>
      <c r="B7" s="3250"/>
      <c r="C7" s="3268"/>
      <c r="D7" s="3286"/>
      <c r="E7" s="123" t="s">
        <v>1271</v>
      </c>
      <c r="F7" s="1627"/>
      <c r="G7" s="1627"/>
      <c r="H7" s="1627"/>
      <c r="I7" s="1281"/>
    </row>
    <row r="8" spans="1:12" ht="13.2">
      <c r="A8" s="3263" t="s">
        <v>1272</v>
      </c>
      <c r="B8" s="3250">
        <v>15</v>
      </c>
      <c r="C8" s="3266"/>
      <c r="D8" s="3286"/>
      <c r="E8" s="123" t="s">
        <v>1273</v>
      </c>
      <c r="F8" s="1627"/>
      <c r="G8" s="1627"/>
      <c r="H8" s="1627"/>
      <c r="I8" s="1281"/>
    </row>
    <row r="9" spans="1:12" ht="13.2">
      <c r="A9" s="3263"/>
      <c r="B9" s="3250"/>
      <c r="C9" s="3268"/>
      <c r="D9" s="3286"/>
      <c r="E9" s="123" t="s">
        <v>1274</v>
      </c>
      <c r="F9" s="1627"/>
      <c r="G9" s="1627"/>
      <c r="H9" s="1627"/>
      <c r="I9" s="1281"/>
    </row>
    <row r="10" spans="1:12" ht="13.2">
      <c r="A10" s="3263" t="s">
        <v>1275</v>
      </c>
      <c r="B10" s="3250">
        <v>15</v>
      </c>
      <c r="C10" s="3266"/>
      <c r="D10" s="3286"/>
      <c r="E10" s="123" t="s">
        <v>1276</v>
      </c>
      <c r="F10" s="1627"/>
      <c r="G10" s="1627"/>
      <c r="H10" s="1627"/>
      <c r="I10" s="1281"/>
    </row>
    <row r="11" spans="1:12" ht="13.2">
      <c r="A11" s="3263"/>
      <c r="B11" s="3250"/>
      <c r="C11" s="3268"/>
      <c r="D11" s="3286"/>
      <c r="E11" s="123" t="s">
        <v>1277</v>
      </c>
      <c r="F11" s="1627"/>
      <c r="G11" s="1627"/>
      <c r="H11" s="1627"/>
      <c r="I11" s="1281"/>
    </row>
    <row r="12" spans="1:12" ht="13.2">
      <c r="A12" s="3263" t="s">
        <v>1278</v>
      </c>
      <c r="B12" s="3250">
        <v>15</v>
      </c>
      <c r="C12" s="3266"/>
      <c r="D12" s="3286"/>
      <c r="E12" s="123" t="s">
        <v>1279</v>
      </c>
      <c r="F12" s="1627"/>
      <c r="G12" s="1627"/>
      <c r="H12" s="1627"/>
      <c r="I12" s="1281"/>
    </row>
    <row r="13" spans="1:12" ht="13.2">
      <c r="A13" s="3263"/>
      <c r="B13" s="3250"/>
      <c r="C13" s="3268"/>
      <c r="D13" s="3286"/>
      <c r="E13" s="123" t="s">
        <v>1280</v>
      </c>
      <c r="F13" s="1627"/>
      <c r="G13" s="1627"/>
      <c r="H13" s="1627"/>
      <c r="I13" s="1281"/>
    </row>
    <row r="14" spans="1:12" ht="13.2">
      <c r="A14" s="3263" t="s">
        <v>1281</v>
      </c>
      <c r="B14" s="3250">
        <v>30</v>
      </c>
      <c r="C14" s="3266">
        <v>6</v>
      </c>
      <c r="D14" s="3286">
        <v>4</v>
      </c>
      <c r="E14" s="123" t="s">
        <v>1282</v>
      </c>
      <c r="F14" s="1627"/>
      <c r="G14" s="1627"/>
      <c r="H14" s="1627"/>
      <c r="I14" s="1281"/>
    </row>
    <row r="15" spans="1:12" ht="13.2">
      <c r="A15" s="3263"/>
      <c r="B15" s="3250"/>
      <c r="C15" s="3267"/>
      <c r="D15" s="3286"/>
      <c r="E15" s="123" t="s">
        <v>1283</v>
      </c>
      <c r="F15" s="1627"/>
      <c r="G15" s="1627"/>
      <c r="H15" s="1627"/>
      <c r="I15" s="1281"/>
    </row>
    <row r="16" spans="1:12" ht="13.2">
      <c r="A16" s="3263"/>
      <c r="B16" s="3250"/>
      <c r="C16" s="3268"/>
      <c r="D16" s="3286"/>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273" t="s">
        <v>2131</v>
      </c>
      <c r="F18" s="3274"/>
      <c r="G18" s="3274"/>
      <c r="H18" s="3274"/>
      <c r="I18" s="3274"/>
      <c r="K18" s="294" t="s">
        <v>1289</v>
      </c>
      <c r="L18" s="294">
        <f>IF(C1="",'数据-汇总表'!E3,SUMIF(项目类型,C1,'数据-汇总表'!E17:E26)+SUMIF(项目类型,C1,'数据-汇总表'!I17:I26))</f>
        <v>576.94000000000005</v>
      </c>
      <c r="M18" s="294">
        <f>IF(C1="",'数据-汇总表'!E3,SUMIF(项目类型,C1,'数据-汇总表'!E17:E26))</f>
        <v>576.94000000000005</v>
      </c>
    </row>
    <row r="19" spans="1:36" ht="14.4">
      <c r="A19" s="1630" t="s">
        <v>1290</v>
      </c>
      <c r="B19" s="1631" t="s">
        <v>1291</v>
      </c>
      <c r="C19" s="126">
        <f ca="1">SUMIF(INDIRECT("'"&amp;C4&amp;"'"&amp;"!A:A"),结果表!B19,INDIRECT("'"&amp;C4&amp;"'"&amp;"!B:B"))</f>
        <v>3588.2206000000001</v>
      </c>
      <c r="D19" s="127">
        <f ca="1">SUMIF(INDIRECT("'"&amp;D4&amp;"'"&amp;"!A:A"),结果表!B19,INDIRECT("'"&amp;D4&amp;"'"&amp;"!B:B"))</f>
        <v>1967.4022</v>
      </c>
      <c r="E19" s="1630" t="s">
        <v>1292</v>
      </c>
      <c r="F19" s="1631" t="s">
        <v>1291</v>
      </c>
      <c r="G19" s="128">
        <f ca="1">ROUND(C19*$C$18+D19*$D$18,0)</f>
        <v>2940</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62194</v>
      </c>
      <c r="D20" s="130">
        <f ca="1">SUMIF(INDIRECT("'"&amp;D4&amp;"'"&amp;"!A:A"),结果表!B20,INDIRECT("'"&amp;D4&amp;"'"&amp;"!B:B"))</f>
        <v>34101</v>
      </c>
      <c r="E20" s="1633"/>
      <c r="F20" s="43" t="s">
        <v>1295</v>
      </c>
      <c r="G20" s="131">
        <f ca="1">ROUND(C20*$C$18+D20*$D$18,0)</f>
        <v>50957</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0.82383683417656051</v>
      </c>
      <c r="E22" s="121"/>
      <c r="F22" s="121"/>
      <c r="G22" s="121"/>
      <c r="H22" s="121"/>
      <c r="I22" s="121"/>
    </row>
    <row r="23" spans="1:36" ht="13.8" thickBot="1">
      <c r="A23" s="646"/>
      <c r="B23" s="646"/>
      <c r="C23" s="646"/>
      <c r="D23" s="646"/>
      <c r="E23" s="121"/>
      <c r="F23" s="121"/>
      <c r="G23" s="121"/>
      <c r="H23" s="121"/>
      <c r="I23" s="121"/>
    </row>
    <row r="24" spans="1:36" ht="14.4">
      <c r="A24" s="3257" t="s">
        <v>1299</v>
      </c>
      <c r="B24" s="1631" t="s">
        <v>1291</v>
      </c>
      <c r="C24" s="128">
        <f>IF(B30=0,0,D30)</f>
        <v>0</v>
      </c>
      <c r="D24" s="1637"/>
      <c r="E24" s="121"/>
      <c r="F24" s="121"/>
      <c r="G24" s="121"/>
      <c r="H24" s="121"/>
      <c r="I24" s="121"/>
    </row>
    <row r="25" spans="1:36" ht="14.4">
      <c r="A25" s="325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50957</v>
      </c>
      <c r="D32" s="1641" t="s">
        <v>3507</v>
      </c>
      <c r="E32" s="121"/>
      <c r="F32" s="121"/>
      <c r="G32" s="121"/>
      <c r="H32" s="121"/>
      <c r="I32" s="121"/>
    </row>
    <row r="33" spans="1:15" ht="14.4">
      <c r="A33" s="740" t="s">
        <v>1306</v>
      </c>
      <c r="B33" s="123"/>
      <c r="C33" s="1642" t="s">
        <v>3508</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77" t="s">
        <v>1312</v>
      </c>
      <c r="B36" s="1652" t="s">
        <v>1313</v>
      </c>
      <c r="C36" s="137"/>
      <c r="D36" s="1653"/>
      <c r="E36" s="1567"/>
      <c r="F36" s="1654"/>
      <c r="G36" s="121"/>
      <c r="H36" s="121"/>
      <c r="I36" s="121"/>
    </row>
    <row r="37" spans="1:15" ht="15" thickBot="1">
      <c r="A37" s="3278"/>
      <c r="B37" s="1555" t="s">
        <v>1314</v>
      </c>
      <c r="C37" s="139"/>
      <c r="D37" s="1071"/>
      <c r="E37" s="1071"/>
      <c r="F37" s="1654"/>
      <c r="G37" s="121"/>
      <c r="H37" s="121"/>
      <c r="I37" s="121"/>
    </row>
    <row r="38" spans="1:15" ht="15" thickBot="1">
      <c r="A38" s="3279"/>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54" t="s">
        <v>1326</v>
      </c>
      <c r="B45" s="3255"/>
      <c r="C45" s="3256"/>
      <c r="D45" s="147">
        <f ca="1">ROUND(H101*F45,0)</f>
        <v>2940</v>
      </c>
      <c r="E45" s="148" t="s">
        <v>1327</v>
      </c>
      <c r="F45" s="149">
        <v>1</v>
      </c>
      <c r="G45" s="150" t="s">
        <v>1328</v>
      </c>
      <c r="H45" s="121"/>
      <c r="I45" s="121"/>
      <c r="J45" s="3332" t="s">
        <v>1329</v>
      </c>
      <c r="K45" s="3332"/>
      <c r="L45" s="3332"/>
      <c r="M45" s="3332"/>
      <c r="N45" s="3332"/>
      <c r="O45" s="3332"/>
    </row>
    <row r="46" spans="1:15" ht="14.25" customHeight="1">
      <c r="A46" s="3251" t="s">
        <v>1330</v>
      </c>
      <c r="B46" s="3252"/>
      <c r="C46" s="3252"/>
      <c r="D46" s="3252"/>
      <c r="E46" s="3252"/>
      <c r="F46" s="3252"/>
      <c r="G46" s="3253"/>
      <c r="H46" s="1668"/>
      <c r="I46" s="151"/>
      <c r="J46" s="2309">
        <v>1</v>
      </c>
      <c r="K46" s="3313" t="s">
        <v>1331</v>
      </c>
      <c r="L46" s="3313"/>
      <c r="M46" s="3333"/>
      <c r="N46" s="3333"/>
      <c r="O46" s="3333"/>
    </row>
    <row r="47" spans="1:15" ht="12" customHeight="1">
      <c r="A47" s="152" t="s">
        <v>1332</v>
      </c>
      <c r="B47" s="153"/>
      <c r="C47" s="154"/>
      <c r="D47" s="1024" t="s">
        <v>1333</v>
      </c>
      <c r="E47" s="294" t="s">
        <v>1334</v>
      </c>
      <c r="F47" s="155" t="s">
        <v>1335</v>
      </c>
      <c r="G47" s="2332" t="s">
        <v>1336</v>
      </c>
      <c r="H47" s="2333"/>
      <c r="I47" s="151"/>
      <c r="J47" s="2309">
        <v>2</v>
      </c>
      <c r="K47" s="3313" t="s">
        <v>1337</v>
      </c>
      <c r="L47" s="3313"/>
      <c r="M47" s="3334">
        <f>'数据-取费表'!B2</f>
        <v>45786</v>
      </c>
      <c r="N47" s="3334"/>
      <c r="O47" s="3334"/>
    </row>
    <row r="48" spans="1:15" ht="26.4">
      <c r="A48" s="3282" t="s">
        <v>1338</v>
      </c>
      <c r="B48" s="3265"/>
      <c r="C48" s="3265"/>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313" t="s">
        <v>1340</v>
      </c>
      <c r="L48" s="3313"/>
      <c r="M48" s="3335">
        <f ca="1">H101</f>
        <v>2940</v>
      </c>
      <c r="N48" s="3335"/>
      <c r="O48" s="3335"/>
    </row>
    <row r="49" spans="1:35" ht="25.5" customHeight="1">
      <c r="A49" s="2152" t="s">
        <v>1341</v>
      </c>
      <c r="B49" s="3249" t="s">
        <v>1342</v>
      </c>
      <c r="C49" s="3249"/>
      <c r="D49" s="1478">
        <v>0</v>
      </c>
      <c r="E49" s="316" t="s">
        <v>1343</v>
      </c>
      <c r="F49" s="2232" t="s">
        <v>28</v>
      </c>
      <c r="G49" s="3319"/>
      <c r="H49" s="2134" t="s">
        <v>2134</v>
      </c>
      <c r="I49" s="2135"/>
      <c r="J49" s="2309">
        <v>4</v>
      </c>
      <c r="K49" s="3313" t="str">
        <f>IF(项目基本情况!E8="房地产抵押价值","房地产抵押价值","抵押担保权已注销时的房地产抵押价值")</f>
        <v>房地产抵押价值</v>
      </c>
      <c r="L49" s="3313"/>
      <c r="M49" s="3335">
        <f ca="1">IF(项目基本情况!E8="房地产抵押价值",H107,H109)</f>
        <v>2940</v>
      </c>
      <c r="N49" s="3335"/>
      <c r="O49" s="3335"/>
    </row>
    <row r="50" spans="1:35" ht="25.5" customHeight="1">
      <c r="A50" s="2337"/>
      <c r="B50" s="3249" t="s">
        <v>1344</v>
      </c>
      <c r="C50" s="3249"/>
      <c r="D50" s="2189"/>
      <c r="E50" s="323"/>
      <c r="F50" s="2232"/>
      <c r="G50" s="3320"/>
      <c r="H50" s="2136" t="s">
        <v>2135</v>
      </c>
      <c r="I50" s="2135"/>
      <c r="J50" s="3332" t="s">
        <v>1345</v>
      </c>
      <c r="K50" s="3332"/>
      <c r="L50" s="3332"/>
      <c r="M50" s="3332"/>
      <c r="N50" s="3332"/>
      <c r="O50" s="3332"/>
    </row>
    <row r="51" spans="1:35" ht="20.399999999999999" customHeight="1">
      <c r="A51" s="2338"/>
      <c r="B51" s="3249" t="s">
        <v>1346</v>
      </c>
      <c r="C51" s="3249"/>
      <c r="D51" s="1024"/>
      <c r="E51" s="319"/>
      <c r="F51" s="2232"/>
      <c r="G51" s="3321"/>
      <c r="H51" s="2136" t="s">
        <v>2136</v>
      </c>
      <c r="I51" s="2135"/>
      <c r="J51" s="2310" t="s">
        <v>1347</v>
      </c>
      <c r="K51" s="3313" t="s">
        <v>1348</v>
      </c>
      <c r="L51" s="3313"/>
      <c r="M51" s="2310" t="s">
        <v>1349</v>
      </c>
      <c r="N51" s="2310" t="s">
        <v>1350</v>
      </c>
      <c r="O51" s="2310" t="s">
        <v>1351</v>
      </c>
    </row>
    <row r="52" spans="1:35" ht="24" customHeight="1">
      <c r="A52" s="2153" t="s">
        <v>1352</v>
      </c>
      <c r="B52" s="3249" t="s">
        <v>1353</v>
      </c>
      <c r="C52" s="3249"/>
      <c r="D52" s="1024">
        <f ca="1">ROUND(D45*'数据-取费表'!B41/(1+'数据-取费表'!C42),0)</f>
        <v>154</v>
      </c>
      <c r="E52" s="1256" t="s">
        <v>1354</v>
      </c>
      <c r="F52" s="2339">
        <f>'数据-取费表'!B41</f>
        <v>5.5000000000000007E-2</v>
      </c>
      <c r="G52" s="2340"/>
      <c r="H52" s="2330"/>
      <c r="I52" s="1669"/>
      <c r="J52" s="2309">
        <v>1</v>
      </c>
      <c r="K52" s="3314" t="s">
        <v>1355</v>
      </c>
      <c r="L52" s="3314"/>
      <c r="M52" s="2311" t="b">
        <f>D48</f>
        <v>0</v>
      </c>
      <c r="N52" s="2309" t="str">
        <f>E48</f>
        <v>销售额×税（费）率</v>
      </c>
      <c r="O52" s="2312">
        <f>F48</f>
        <v>5.5000000000000007E-2</v>
      </c>
    </row>
    <row r="53" spans="1:35" ht="12" customHeight="1">
      <c r="A53" s="2153" t="s">
        <v>1356</v>
      </c>
      <c r="B53" s="3275" t="s">
        <v>2291</v>
      </c>
      <c r="C53" s="3276"/>
      <c r="D53" s="1024">
        <f ca="1">ROUND(D45*'数据-取费表'!B41/(1+'数据-取费表'!C42),0)</f>
        <v>154</v>
      </c>
      <c r="E53" s="1256" t="s">
        <v>1354</v>
      </c>
      <c r="F53" s="2339">
        <f>'数据-取费表'!B41</f>
        <v>5.5000000000000007E-2</v>
      </c>
      <c r="G53" s="2340"/>
      <c r="H53" s="2330"/>
      <c r="I53" s="1669"/>
      <c r="J53" s="2309">
        <v>2</v>
      </c>
      <c r="K53" s="3314" t="s">
        <v>1357</v>
      </c>
      <c r="L53" s="3314"/>
      <c r="M53" s="2311">
        <f t="shared" ref="M53:O54" ca="1" si="0">D55</f>
        <v>1</v>
      </c>
      <c r="N53" s="2309" t="str">
        <f t="shared" si="0"/>
        <v>销售额×税（费）率</v>
      </c>
      <c r="O53" s="2312" t="str">
        <f t="shared" si="0"/>
        <v>免征</v>
      </c>
    </row>
    <row r="54" spans="1:35" ht="12" customHeight="1">
      <c r="A54" s="2153" t="s">
        <v>1358</v>
      </c>
      <c r="B54" s="3275" t="s">
        <v>2292</v>
      </c>
      <c r="C54" s="3276"/>
      <c r="D54" s="1024">
        <f ca="1">C68</f>
        <v>154</v>
      </c>
      <c r="E54" s="319" t="s">
        <v>1359</v>
      </c>
      <c r="F54" s="2339">
        <f>'数据-取费表'!B41</f>
        <v>5.5000000000000007E-2</v>
      </c>
      <c r="G54" s="2340"/>
      <c r="H54" s="2341"/>
      <c r="I54" s="1669"/>
      <c r="J54" s="2309">
        <v>3</v>
      </c>
      <c r="K54" s="3314" t="s">
        <v>1360</v>
      </c>
      <c r="L54" s="3314"/>
      <c r="M54" s="2311">
        <f t="shared" ca="1" si="0"/>
        <v>1667</v>
      </c>
      <c r="N54" s="2309" t="str">
        <f t="shared" si="0"/>
        <v>增值额×税（费）率</v>
      </c>
      <c r="O54" s="2313" t="str">
        <f t="shared" si="0"/>
        <v>免征</v>
      </c>
    </row>
    <row r="55" spans="1:35" ht="24" customHeight="1">
      <c r="A55" s="3264" t="s">
        <v>1361</v>
      </c>
      <c r="B55" s="3265"/>
      <c r="C55" s="3265"/>
      <c r="D55" s="12">
        <f ca="1">IF(H55="个人住宅",0,ROUND(D45*I55,0))</f>
        <v>1</v>
      </c>
      <c r="E55" s="1256" t="s">
        <v>1362</v>
      </c>
      <c r="F55" s="2339" t="str">
        <f>IF(H55="正常",I55,"免征")</f>
        <v>免征</v>
      </c>
      <c r="G55" s="2340"/>
      <c r="H55" s="2336"/>
      <c r="I55" s="157">
        <f>'数据-取费表'!B49</f>
        <v>5.0000000000000001E-4</v>
      </c>
      <c r="J55" s="2309">
        <f>IF(H59="非个人房产","",4)</f>
        <v>4</v>
      </c>
      <c r="K55" s="3314" t="str">
        <f>IF(H59="非个人房产","——","个人所得税")</f>
        <v>个人所得税</v>
      </c>
      <c r="L55" s="3314"/>
      <c r="M55" s="2314">
        <f ca="1">D59</f>
        <v>28</v>
      </c>
      <c r="N55" s="1883" t="str">
        <f>E59</f>
        <v>差额计税</v>
      </c>
      <c r="O55" s="2315">
        <f>F59</f>
        <v>0.01</v>
      </c>
    </row>
    <row r="56" spans="1:35" ht="25.2">
      <c r="A56" s="3264" t="s">
        <v>1363</v>
      </c>
      <c r="B56" s="3265"/>
      <c r="C56" s="3265"/>
      <c r="D56" s="12">
        <f ca="1">IF(H56="个人住宅",D57,D58)</f>
        <v>1667</v>
      </c>
      <c r="E56" s="1256" t="s">
        <v>1364</v>
      </c>
      <c r="F56" s="2339" t="str">
        <f>IF(H56="正常",F58,"免征")</f>
        <v>免征</v>
      </c>
      <c r="G56" s="2342" t="s">
        <v>1365</v>
      </c>
      <c r="H56" s="2343"/>
      <c r="I56" s="1670"/>
      <c r="J56" s="2309" t="str">
        <f>IF(项目基本情况!K6="上海银行",IF(J55="",4,J55+1),"")</f>
        <v/>
      </c>
      <c r="K56" s="3337" t="str">
        <f>IF(项目基本情况!K6="上海银行","其他处置费用","")</f>
        <v/>
      </c>
      <c r="L56" s="3338"/>
      <c r="M56" s="2311" t="str">
        <f>IF(项目基本情况!K6="上海银行",M69,"")</f>
        <v/>
      </c>
      <c r="N56" s="3337" t="str">
        <f>IF(项目基本情况!K6="上海银行","包含处置中涉及的律师、诉讼、拍卖、评估等费用","")</f>
        <v/>
      </c>
      <c r="O56" s="3340"/>
    </row>
    <row r="57" spans="1:35" ht="13.2">
      <c r="A57" s="2153" t="s">
        <v>1341</v>
      </c>
      <c r="B57" s="3275" t="s">
        <v>1366</v>
      </c>
      <c r="C57" s="3276"/>
      <c r="D57" s="1478">
        <v>0</v>
      </c>
      <c r="E57" s="316" t="s">
        <v>1343</v>
      </c>
      <c r="F57" s="294"/>
      <c r="G57" s="2340"/>
      <c r="H57" s="2344"/>
      <c r="I57" s="1670"/>
      <c r="J57" s="3314">
        <f>IF(AND(J55="",J56=""),4,IF(项目基本情况!K6="上海银行",结果表!J56+1,结果表!J55+1))</f>
        <v>5</v>
      </c>
      <c r="K57" s="3314" t="s">
        <v>1367</v>
      </c>
      <c r="L57" s="2316" t="s">
        <v>1368</v>
      </c>
      <c r="M57" s="2317"/>
      <c r="N57" s="2318">
        <f ca="1">SUMIF(M52:M56,"&lt;9e307")</f>
        <v>1696</v>
      </c>
      <c r="O57" s="2319"/>
      <c r="P57" s="2463">
        <f ca="1">N57/M49</f>
        <v>0.57687074829931972</v>
      </c>
    </row>
    <row r="58" spans="1:35" ht="25.2">
      <c r="A58" s="2153" t="s">
        <v>1352</v>
      </c>
      <c r="B58" s="3275" t="s">
        <v>1369</v>
      </c>
      <c r="C58" s="3249"/>
      <c r="D58" s="12">
        <f ca="1">IF(H58="转让取得",C81,C97)</f>
        <v>1667</v>
      </c>
      <c r="E58" s="1256" t="s">
        <v>1364</v>
      </c>
      <c r="F58" s="294" t="s">
        <v>28</v>
      </c>
      <c r="G58" s="2340"/>
      <c r="H58" s="2343"/>
      <c r="I58" s="1670"/>
      <c r="J58" s="3314"/>
      <c r="K58" s="3314"/>
      <c r="L58" s="2316" t="s">
        <v>1370</v>
      </c>
      <c r="M58" s="2320"/>
      <c r="N58" s="2321" t="str">
        <f ca="1">NUMBERSTRING(INT(N57*10000),2)&amp;"元整"</f>
        <v>壹仟陆佰玖拾陆万元整</v>
      </c>
      <c r="O58" s="2322"/>
    </row>
    <row r="59" spans="1:35" ht="24.6" thickBot="1">
      <c r="A59" s="3317" t="s">
        <v>1371</v>
      </c>
      <c r="B59" s="3318"/>
      <c r="C59" s="3318"/>
      <c r="D59" s="2345">
        <f ca="1">IF(H59="非个人房产","——",IF(H59="个人住宅（满五唯一有凭证）",0,IF(H59="个人其他（无凭证）",ROUND(D45*F59,0),ROUND(C67*F59,0))))</f>
        <v>28</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15">
        <f>J57+1</f>
        <v>6</v>
      </c>
      <c r="K59" s="3314" t="s">
        <v>1372</v>
      </c>
      <c r="L59" s="2309" t="s">
        <v>1368</v>
      </c>
      <c r="M59" s="2323"/>
      <c r="N59" s="2324">
        <f ca="1">M49-N57</f>
        <v>1244</v>
      </c>
      <c r="O59" s="2325"/>
    </row>
    <row r="60" spans="1:35" ht="12" customHeight="1">
      <c r="A60" s="1671"/>
      <c r="B60" s="646"/>
      <c r="C60" s="646"/>
      <c r="D60" s="646"/>
      <c r="E60" s="1466"/>
      <c r="F60" s="1670"/>
      <c r="G60" s="1670"/>
      <c r="H60" s="151"/>
      <c r="I60" s="121"/>
      <c r="J60" s="3316"/>
      <c r="K60" s="3314"/>
      <c r="L60" s="2316" t="s">
        <v>1370</v>
      </c>
      <c r="M60" s="2320"/>
      <c r="N60" s="2321" t="str">
        <f ca="1">NUMBERSTRING(INT(N59*10000),2)&amp;"元整"</f>
        <v>壹仟贰佰肆拾肆万元整</v>
      </c>
      <c r="O60" s="2322"/>
    </row>
    <row r="61" spans="1:35" ht="13.8" thickBot="1">
      <c r="A61" s="3262" t="s">
        <v>1373</v>
      </c>
      <c r="B61" s="3262"/>
      <c r="C61" s="3262"/>
      <c r="D61" s="3262"/>
      <c r="E61" s="3262"/>
      <c r="F61" s="1670"/>
      <c r="G61" s="1670"/>
      <c r="H61" s="151"/>
      <c r="I61" s="121"/>
      <c r="J61" s="2309">
        <f>J59+1</f>
        <v>7</v>
      </c>
      <c r="K61" s="3314" t="s">
        <v>1374</v>
      </c>
      <c r="L61" s="3314"/>
      <c r="M61" s="2326"/>
      <c r="N61" s="2327">
        <f ca="1">ROUND(N59*10000/'数据-汇总表'!E3,0)</f>
        <v>21562</v>
      </c>
      <c r="O61" s="2328"/>
    </row>
    <row r="62" spans="1:35" ht="13.2">
      <c r="A62" s="3280" t="s">
        <v>1375</v>
      </c>
      <c r="B62" s="3281"/>
      <c r="C62" s="1865"/>
      <c r="D62" s="1865" t="s">
        <v>1376</v>
      </c>
      <c r="E62" s="158" t="s">
        <v>1377</v>
      </c>
      <c r="F62" s="1670"/>
      <c r="G62" s="1670"/>
      <c r="H62" s="151"/>
      <c r="I62" s="121"/>
    </row>
    <row r="63" spans="1:35" ht="13.2">
      <c r="A63" s="165" t="s">
        <v>330</v>
      </c>
      <c r="B63" s="159" t="s">
        <v>1378</v>
      </c>
      <c r="C63" s="2349">
        <f ca="1">ROUND((C64+C65)/(1+'数据-取费表'!C42),0)</f>
        <v>2800</v>
      </c>
      <c r="D63" s="159"/>
      <c r="E63" s="160"/>
      <c r="F63" s="1670"/>
      <c r="G63" s="1670"/>
      <c r="H63" s="151"/>
      <c r="I63" s="121"/>
      <c r="J63" s="3339" t="s">
        <v>1379</v>
      </c>
      <c r="K63" s="1245" t="s">
        <v>1380</v>
      </c>
      <c r="L63" s="1245">
        <f ca="1">IF(M49&gt;10000,M49*0.5%,IF(AND(M49&gt;1000,M49&lt;=10000),M49*1%,IF(AND(M49&gt;100,M49&lt;=1000),M49*3%,IF(AND(M49&gt;10,M49&lt;=100),M49*5%,M49*8%))))</f>
        <v>29.400000000000002</v>
      </c>
      <c r="M63" s="294">
        <f ca="1">ROUND(L63,1)</f>
        <v>29.4</v>
      </c>
      <c r="N63" s="2329"/>
      <c r="Z63" s="1623"/>
      <c r="AI63" s="1561"/>
    </row>
    <row r="64" spans="1:35" ht="14.25" customHeight="1">
      <c r="A64" s="161" t="s">
        <v>325</v>
      </c>
      <c r="B64" s="162" t="s">
        <v>1381</v>
      </c>
      <c r="C64" s="2350">
        <f ca="1">D45</f>
        <v>2940</v>
      </c>
      <c r="D64" s="162" t="s">
        <v>26</v>
      </c>
      <c r="E64" s="164"/>
      <c r="F64" s="1670"/>
      <c r="G64" s="1670"/>
      <c r="H64" s="151"/>
      <c r="I64" s="121"/>
      <c r="J64" s="3339"/>
      <c r="K64" s="1245" t="s">
        <v>1382</v>
      </c>
      <c r="L64" s="1245">
        <f ca="1">IF(M49&gt;2000,M49*0.5%,IF(AND(M49&gt;1000,M49&lt;=2000),M49*0.6%,IF(AND(M49&gt;500,M49&lt;=1000),M49*0.7%,IF(AND(M49&gt;200,M49&lt;=500),M49*0.8%,IF(AND(M49&gt;100,M49&lt;=200),M49*0.9%,IF(AND(M49&gt;50,M49&lt;=100),M49*1%,IF(AND(M49&gt;20,M49&lt;=50),M49*1.5%,IF(AND(M49&gt;10,M49&lt;=20),M49*2%,IF(AND(M49&gt;1,M49&lt;=10),M49*2.5%)))))))))</f>
        <v>14.700000000000001</v>
      </c>
      <c r="M64" s="294">
        <f t="shared" ref="M64:M65" ca="1" si="1">ROUND(L64,1)</f>
        <v>14.7</v>
      </c>
      <c r="N64" s="2330" t="s">
        <v>1383</v>
      </c>
      <c r="Z64" s="1623"/>
      <c r="AI64" s="1561"/>
    </row>
    <row r="65" spans="1:35" ht="14.25" customHeight="1">
      <c r="A65" s="161" t="s">
        <v>326</v>
      </c>
      <c r="B65" s="162" t="s">
        <v>1384</v>
      </c>
      <c r="C65" s="2351"/>
      <c r="D65" s="162"/>
      <c r="E65" s="164"/>
      <c r="F65" s="1670"/>
      <c r="G65" s="1670"/>
      <c r="H65" s="151"/>
      <c r="I65" s="121"/>
      <c r="J65" s="3339"/>
      <c r="K65" s="1245" t="s">
        <v>1385</v>
      </c>
      <c r="L65" s="1245">
        <f ca="1">IF(M49&gt;1000,M49*0.1%,IF(AND(M49&gt;500,M49&lt;=1000),M49*0.5%,IF(AND(M49&gt;50,M49&lt;=500),M49*1%,IF(AND(M49&gt;1,M49&lt;=50),M49*1.5%))))</f>
        <v>2.94</v>
      </c>
      <c r="M65" s="294">
        <f t="shared" ca="1" si="1"/>
        <v>2.9</v>
      </c>
      <c r="N65" s="2330" t="s">
        <v>1383</v>
      </c>
      <c r="Z65" s="1623"/>
      <c r="AI65" s="1561"/>
    </row>
    <row r="66" spans="1:35" ht="14.25" customHeight="1">
      <c r="A66" s="165" t="s">
        <v>327</v>
      </c>
      <c r="B66" s="166" t="s">
        <v>1386</v>
      </c>
      <c r="C66" s="2352"/>
      <c r="D66" s="166" t="s">
        <v>26</v>
      </c>
      <c r="E66" s="1251" t="s">
        <v>671</v>
      </c>
      <c r="F66" s="1670"/>
      <c r="G66" s="1670"/>
      <c r="H66" s="151"/>
      <c r="I66" s="121"/>
      <c r="J66" s="3339"/>
      <c r="K66" s="1245" t="s">
        <v>1387</v>
      </c>
      <c r="L66" s="1245">
        <f ca="1">M49*0.5%</f>
        <v>14.700000000000001</v>
      </c>
      <c r="M66" s="294">
        <f ca="1">IF(L66&gt;0.5,0.5,ROUND(L66,0))</f>
        <v>0.5</v>
      </c>
      <c r="N66" s="2330" t="s">
        <v>1388</v>
      </c>
      <c r="Z66" s="1623"/>
      <c r="AI66" s="1561"/>
    </row>
    <row r="67" spans="1:35" ht="14.25" customHeight="1">
      <c r="A67" s="165" t="s">
        <v>328</v>
      </c>
      <c r="B67" s="166" t="s">
        <v>1389</v>
      </c>
      <c r="C67" s="2353">
        <f ca="1">C63-C66</f>
        <v>2800</v>
      </c>
      <c r="D67" s="162" t="s">
        <v>26</v>
      </c>
      <c r="E67" s="164"/>
      <c r="F67" s="1670"/>
      <c r="G67" s="1670"/>
      <c r="H67" s="151"/>
      <c r="I67" s="121"/>
      <c r="J67" s="3339"/>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9"/>
      <c r="Z67" s="1623"/>
      <c r="AI67" s="1561"/>
    </row>
    <row r="68" spans="1:35" ht="14.25" customHeight="1" thickBot="1">
      <c r="A68" s="168" t="s">
        <v>329</v>
      </c>
      <c r="B68" s="169" t="s">
        <v>1391</v>
      </c>
      <c r="C68" s="2354">
        <f ca="1">IF(C67&lt;=0,0,ROUND(C67*D68,0))</f>
        <v>154</v>
      </c>
      <c r="D68" s="2355">
        <f>'数据-取费表'!B41</f>
        <v>5.5000000000000007E-2</v>
      </c>
      <c r="E68" s="170"/>
      <c r="F68" s="1670"/>
      <c r="G68" s="1670"/>
      <c r="H68" s="151"/>
      <c r="I68" s="121"/>
      <c r="J68" s="3339"/>
      <c r="K68" s="1245" t="s">
        <v>1392</v>
      </c>
      <c r="L68" s="1245">
        <f ca="1">IF(M49&gt;10000,M49*0.5%,IF(AND(M49&gt;5000,M49&lt;=10000),M49*1%,IF(AND(M49&gt;1000,M49&lt;=5000),M49*2%,IF(AND(M49&gt;200,M49&lt;=1000),M49*3%,M49*5%))))</f>
        <v>58.800000000000004</v>
      </c>
      <c r="M68" s="294">
        <f ca="1">ROUND(L68,1)</f>
        <v>58.8</v>
      </c>
      <c r="N68" s="2329"/>
      <c r="Z68" s="1623"/>
      <c r="AI68" s="1561"/>
    </row>
    <row r="69" spans="1:35" ht="16.5" customHeight="1">
      <c r="A69" s="1672"/>
      <c r="B69" s="1673"/>
      <c r="C69" s="1674"/>
      <c r="D69" s="1675"/>
      <c r="E69" s="1676"/>
      <c r="F69" s="1466"/>
      <c r="G69" s="1466"/>
      <c r="H69" s="1467"/>
      <c r="I69" s="646"/>
      <c r="J69" s="3339"/>
      <c r="K69" s="1245" t="s">
        <v>1393</v>
      </c>
      <c r="L69" s="1245"/>
      <c r="M69" s="294">
        <f ca="1">ROUND(SUM(M63:M68),0)</f>
        <v>109</v>
      </c>
      <c r="N69" s="2331">
        <f ca="1">M69/M49</f>
        <v>3.7074829931972787E-2</v>
      </c>
      <c r="Z69" s="1623"/>
      <c r="AI69" s="1561"/>
    </row>
    <row r="70" spans="1:35" s="642" customFormat="1" ht="14.4" thickBot="1">
      <c r="A70" s="3301" t="s">
        <v>1394</v>
      </c>
      <c r="B70" s="3302"/>
      <c r="C70" s="3302"/>
      <c r="D70" s="3302"/>
      <c r="E70" s="3302"/>
      <c r="F70" s="3302"/>
      <c r="G70" s="3302"/>
      <c r="H70" s="330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0" t="s">
        <v>1375</v>
      </c>
      <c r="B71" s="328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2800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14</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75" t="s">
        <v>1402</v>
      </c>
      <c r="F76" s="3249"/>
      <c r="G76" s="3249"/>
      <c r="H76" s="330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14</v>
      </c>
      <c r="D78" s="2362">
        <f>'数据-取费表'!B43</f>
        <v>5.000000000000001E-3</v>
      </c>
      <c r="E78" s="3259" t="s">
        <v>1406</v>
      </c>
      <c r="F78" s="3260"/>
      <c r="G78" s="3260"/>
      <c r="H78" s="326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f ca="1">C72-C73</f>
        <v>2786</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199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1667</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1" t="s">
        <v>1410</v>
      </c>
      <c r="B83" s="3302"/>
      <c r="C83" s="3302"/>
      <c r="D83" s="3302"/>
      <c r="E83" s="3302"/>
      <c r="F83" s="3302"/>
      <c r="G83" s="3302"/>
      <c r="H83" s="330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0" t="s">
        <v>1375</v>
      </c>
      <c r="B84" s="328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2800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14</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341" t="s">
        <v>2129</v>
      </c>
      <c r="H90" s="3342"/>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59" t="s">
        <v>1419</v>
      </c>
      <c r="F91" s="3260"/>
      <c r="G91" s="326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59" t="s">
        <v>1422</v>
      </c>
      <c r="F92" s="3260"/>
      <c r="G92" s="3260"/>
      <c r="H92" s="3269"/>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14</v>
      </c>
      <c r="D93" s="2362">
        <f>'数据-取费表'!B43</f>
        <v>5.000000000000001E-3</v>
      </c>
      <c r="E93" s="3259" t="s">
        <v>1406</v>
      </c>
      <c r="F93" s="3260"/>
      <c r="G93" s="3260"/>
      <c r="H93" s="326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70" t="s">
        <v>1426</v>
      </c>
      <c r="F94" s="3271"/>
      <c r="G94" s="3271"/>
      <c r="H94" s="327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f ca="1">ROUND(C85-C86,0)</f>
        <v>2786</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199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1667</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3" t="s">
        <v>1428</v>
      </c>
      <c r="B100" s="3244"/>
      <c r="C100" s="3244"/>
      <c r="D100" s="3261"/>
      <c r="E100" s="3244" t="s">
        <v>1429</v>
      </c>
      <c r="F100" s="3244"/>
      <c r="G100" s="3244"/>
      <c r="H100" s="3261"/>
      <c r="I100" s="121"/>
    </row>
    <row r="101" spans="1:35" ht="18.75" customHeight="1">
      <c r="A101" s="3322" t="s">
        <v>1430</v>
      </c>
      <c r="B101" s="3323"/>
      <c r="C101" s="2370" t="str">
        <f>C4</f>
        <v>比较法-商业</v>
      </c>
      <c r="D101" s="2371" t="str">
        <f>D4</f>
        <v>收益法 (元)</v>
      </c>
      <c r="E101" s="3336" t="s">
        <v>1431</v>
      </c>
      <c r="F101" s="3293"/>
      <c r="G101" s="1687" t="s">
        <v>1432</v>
      </c>
      <c r="H101" s="2380">
        <f ca="1">H118</f>
        <v>2940</v>
      </c>
      <c r="I101" s="121"/>
    </row>
    <row r="102" spans="1:35" ht="18.75" customHeight="1">
      <c r="A102" s="3295" t="s">
        <v>1433</v>
      </c>
      <c r="B102" s="2369" t="s">
        <v>1432</v>
      </c>
      <c r="C102" s="2370">
        <f ca="1">IF(D32="楼面单价",ROUND(C19,0),C19)</f>
        <v>3588</v>
      </c>
      <c r="D102" s="2371">
        <f ca="1">IF(D32="楼面单价",ROUND(D19,0),D19)</f>
        <v>1967</v>
      </c>
      <c r="E102" s="3336"/>
      <c r="F102" s="3293"/>
      <c r="G102" s="1687" t="s">
        <v>1434</v>
      </c>
      <c r="H102" s="2340">
        <f ca="1">I118</f>
        <v>50957</v>
      </c>
      <c r="I102" s="121"/>
    </row>
    <row r="103" spans="1:35" ht="42.75" customHeight="1">
      <c r="A103" s="3295"/>
      <c r="B103" s="2369" t="s">
        <v>1434</v>
      </c>
      <c r="C103" s="2372">
        <f ca="1">C20</f>
        <v>62194</v>
      </c>
      <c r="D103" s="2373">
        <f ca="1">D20</f>
        <v>34101</v>
      </c>
      <c r="E103" s="3330" t="s">
        <v>1435</v>
      </c>
      <c r="F103" s="3331"/>
      <c r="G103" s="1688" t="s">
        <v>1436</v>
      </c>
      <c r="H103" s="2380">
        <f>IF(D36="正常操作",H104+H105+H106,H105+H106)</f>
        <v>0</v>
      </c>
      <c r="I103" s="121"/>
    </row>
    <row r="104" spans="1:35" ht="18.75" customHeight="1">
      <c r="A104" s="3295" t="s">
        <v>1437</v>
      </c>
      <c r="B104" s="2374" t="s">
        <v>1432</v>
      </c>
      <c r="C104" s="2375">
        <f ca="1">H118</f>
        <v>2940</v>
      </c>
      <c r="D104" s="2376"/>
      <c r="E104" s="1555" t="s">
        <v>1438</v>
      </c>
      <c r="F104" s="1548"/>
      <c r="G104" s="1688" t="s">
        <v>1436</v>
      </c>
      <c r="H104" s="2381">
        <f>IF(D36="同一抵押权人同一抵押物续贷",C36&amp;"（续贷，未扣减，详见特别提示）",C36)</f>
        <v>0</v>
      </c>
      <c r="I104" s="121"/>
    </row>
    <row r="105" spans="1:35" ht="18.75" customHeight="1" thickBot="1">
      <c r="A105" s="3296"/>
      <c r="B105" s="2377" t="s">
        <v>1434</v>
      </c>
      <c r="C105" s="2378">
        <f ca="1">I118</f>
        <v>50957</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2" t="str">
        <f>IF(项目基本情况!E8="已注销","——","3.房地产抵押价值")</f>
        <v>3.房地产抵押价值</v>
      </c>
      <c r="F107" s="3293"/>
      <c r="G107" s="1687" t="s">
        <v>1432</v>
      </c>
      <c r="H107" s="2380">
        <f ca="1">IF(E107="——","——",H101-H103)</f>
        <v>2940</v>
      </c>
      <c r="I107" s="121"/>
    </row>
    <row r="108" spans="1:35" ht="18.75" customHeight="1">
      <c r="A108" s="121"/>
      <c r="B108" s="121"/>
      <c r="C108" s="121"/>
      <c r="D108" s="121"/>
      <c r="E108" s="3292"/>
      <c r="F108" s="3293"/>
      <c r="G108" s="1687" t="s">
        <v>1434</v>
      </c>
      <c r="H108" s="2340">
        <f ca="1">IF(H107=H101,H102,ROUND(H107*10000/'数据-汇总表'!E3,0))</f>
        <v>50957</v>
      </c>
      <c r="I108" s="121"/>
    </row>
    <row r="109" spans="1:35" ht="18.75" customHeight="1">
      <c r="A109" s="121"/>
      <c r="B109" s="121"/>
      <c r="C109" s="121"/>
      <c r="D109" s="121"/>
      <c r="E109" s="3292" t="str">
        <f>IF(项目基本情况!E8="已注销及未注销","4.抵押担保权已注销时的房地产抵押价值",IF(项目基本情况!E8="已注销","3.抵押担保权已注销时的房地产抵押价值","——"))</f>
        <v>——</v>
      </c>
      <c r="F109" s="3293"/>
      <c r="G109" s="1687" t="s">
        <v>1432</v>
      </c>
      <c r="H109" s="2383" t="str">
        <f>IF(E109="——","——",H101-H105-H106)</f>
        <v>——</v>
      </c>
      <c r="I109" s="121"/>
    </row>
    <row r="110" spans="1:35" ht="18.75" customHeight="1">
      <c r="A110" s="121"/>
      <c r="B110" s="121"/>
      <c r="C110" s="121"/>
      <c r="D110" s="121"/>
      <c r="E110" s="3292"/>
      <c r="F110" s="3293"/>
      <c r="G110" s="1687" t="s">
        <v>1434</v>
      </c>
      <c r="H110" s="2340" t="str">
        <f>IF(H109="——","——",ROUND(H109*10000/'数据-汇总表'!E3,0))</f>
        <v>——</v>
      </c>
      <c r="I110" s="121"/>
    </row>
    <row r="111" spans="1:35" ht="18.75" customHeight="1">
      <c r="A111" s="121"/>
      <c r="B111" s="121"/>
      <c r="C111" s="121"/>
      <c r="D111" s="121"/>
      <c r="E111" s="3324" t="str">
        <f>IF(项目基本情况!E9="抵押净值",IF(OR(项目基本情况!E8="已注销",项目基本情况!E8="房地产抵押价值"),"4.抵押净值","5.抵押净值"),"——")</f>
        <v>——</v>
      </c>
      <c r="F111" s="3294"/>
      <c r="G111" s="1687" t="s">
        <v>1432</v>
      </c>
      <c r="H111" s="2380" t="str">
        <f>IF(E111="——","——",N59)</f>
        <v>——</v>
      </c>
      <c r="I111" s="121"/>
    </row>
    <row r="112" spans="1:35" ht="18.75" customHeight="1" thickBot="1">
      <c r="A112" s="121"/>
      <c r="B112" s="121"/>
      <c r="C112" s="121"/>
      <c r="D112" s="121"/>
      <c r="E112" s="3325"/>
      <c r="F112" s="3326"/>
      <c r="G112" s="1690" t="s">
        <v>1434</v>
      </c>
      <c r="H112" s="2384" t="str">
        <f>IF(E111="——","——",N61)</f>
        <v>——</v>
      </c>
      <c r="I112" s="121"/>
    </row>
    <row r="113" spans="1:27" ht="18.75" customHeight="1">
      <c r="A113" s="121"/>
      <c r="B113" s="121"/>
      <c r="C113" s="121"/>
      <c r="D113" s="121"/>
      <c r="E113" s="3297" t="s">
        <v>1440</v>
      </c>
      <c r="F113" s="3297"/>
      <c r="G113" s="3297"/>
      <c r="H113" s="3297"/>
      <c r="I113" s="121"/>
    </row>
    <row r="114" spans="1:27" ht="3.75" customHeight="1">
      <c r="A114" s="646"/>
      <c r="B114" s="646"/>
      <c r="C114" s="646"/>
      <c r="D114" s="646"/>
      <c r="E114" s="1671"/>
      <c r="F114" s="1671"/>
      <c r="G114" s="1671"/>
      <c r="H114" s="1671"/>
      <c r="I114" s="646"/>
    </row>
    <row r="115" spans="1:27" ht="18.75" customHeight="1">
      <c r="A115" s="3307" t="s">
        <v>1442</v>
      </c>
      <c r="B115" s="3308"/>
      <c r="C115" s="3308"/>
      <c r="D115" s="3308"/>
      <c r="E115" s="3308"/>
      <c r="F115" s="3308"/>
      <c r="G115" s="3308"/>
      <c r="H115" s="3308"/>
      <c r="I115" s="3309"/>
    </row>
    <row r="116" spans="1:27" ht="27" customHeight="1">
      <c r="A116" s="3263" t="s">
        <v>1443</v>
      </c>
      <c r="B116" s="3298" t="s">
        <v>1444</v>
      </c>
      <c r="C116" s="3298" t="s">
        <v>1445</v>
      </c>
      <c r="D116" s="3311" t="s">
        <v>1446</v>
      </c>
      <c r="E116" s="3312"/>
      <c r="F116" s="3306" t="s">
        <v>1447</v>
      </c>
      <c r="G116" s="3306"/>
      <c r="H116" s="3263" t="s">
        <v>1448</v>
      </c>
      <c r="I116" s="3263"/>
    </row>
    <row r="117" spans="1:27" ht="18.75" customHeight="1">
      <c r="A117" s="3263"/>
      <c r="B117" s="3299"/>
      <c r="C117" s="3299"/>
      <c r="D117" s="2150" t="s">
        <v>1449</v>
      </c>
      <c r="E117" s="2150" t="s">
        <v>1450</v>
      </c>
      <c r="F117" s="2150" t="s">
        <v>1449</v>
      </c>
      <c r="G117" s="2150" t="s">
        <v>1451</v>
      </c>
      <c r="H117" s="2150" t="s">
        <v>1449</v>
      </c>
      <c r="I117" s="2150" t="s">
        <v>1451</v>
      </c>
    </row>
    <row r="118" spans="1:27" ht="24.75" customHeight="1">
      <c r="A118" s="2385" t="str">
        <f>项目基本情况!S2</f>
        <v>北京市朝阳区常营南路50号院12-14商业1层104房地产</v>
      </c>
      <c r="B118" s="2150">
        <f>M18</f>
        <v>576.94000000000005</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2940</v>
      </c>
      <c r="I118" s="2150">
        <f ca="1">ROUND(IF(D32="楼面单价",C32,H118*10000/B118),0)</f>
        <v>50957</v>
      </c>
    </row>
    <row r="119" spans="1:27" ht="18.75" customHeight="1">
      <c r="A119" s="3263" t="s">
        <v>1452</v>
      </c>
      <c r="B119" s="3263"/>
      <c r="C119" s="3263"/>
      <c r="D119" s="3303" t="str">
        <f>NUMBERSTRING(INT(D118*10000),2)&amp;"元整"</f>
        <v>零元整</v>
      </c>
      <c r="E119" s="3305"/>
      <c r="F119" s="3303" t="str">
        <f>NUMBERSTRING(INT(F118*10000),2)&amp;"元整"</f>
        <v>零元整</v>
      </c>
      <c r="G119" s="3305"/>
      <c r="H119" s="3303" t="str">
        <f ca="1">NUMBERSTRING(INT(H118*10000),2)&amp;"元整"</f>
        <v>贰仟玖佰肆拾万元整</v>
      </c>
      <c r="I119" s="3305"/>
    </row>
    <row r="120" spans="1:27" ht="18.75" customHeight="1">
      <c r="A120" s="3327" t="str">
        <f>IF(项目基本情况!B9="房地产市场价值","",MID(E103,3,LEN(E103)-2))</f>
        <v>估价师知悉的法定优先受偿款</v>
      </c>
      <c r="B120" s="3328"/>
      <c r="C120" s="3329"/>
      <c r="D120" s="3327">
        <f>H103</f>
        <v>0</v>
      </c>
      <c r="E120" s="3328"/>
      <c r="F120" s="3328"/>
      <c r="G120" s="3328"/>
      <c r="H120" s="3328"/>
      <c r="I120" s="332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3" t="s">
        <v>1452</v>
      </c>
      <c r="B121" s="3304"/>
      <c r="C121" s="3305"/>
      <c r="D121" s="3303" t="str">
        <f>IF(D120=0,"零元整",NUMBERSTRING(INT(D120*10000),2)&amp;"元整")</f>
        <v>零元整</v>
      </c>
      <c r="E121" s="3304"/>
      <c r="F121" s="3304"/>
      <c r="G121" s="3304"/>
      <c r="H121" s="3304"/>
      <c r="I121" s="3305"/>
      <c r="AA121" s="684"/>
    </row>
    <row r="122" spans="1:27" ht="18.75" customHeight="1">
      <c r="A122" s="3294" t="str">
        <f>IF(项目基本情况!B9="房地产市场价值","",MID(E107,3,LEN(E107)-2))</f>
        <v>房地产抵押价值</v>
      </c>
      <c r="B122" s="3294"/>
      <c r="C122" s="3294"/>
      <c r="D122" s="3327">
        <f ca="1">H107</f>
        <v>2940</v>
      </c>
      <c r="E122" s="3328"/>
      <c r="F122" s="3328"/>
      <c r="G122" s="3328"/>
      <c r="H122" s="3328"/>
      <c r="I122" s="3329"/>
      <c r="AA122" s="684"/>
    </row>
    <row r="123" spans="1:27" ht="18.75" customHeight="1">
      <c r="A123" s="3263" t="s">
        <v>1452</v>
      </c>
      <c r="B123" s="3263"/>
      <c r="C123" s="3263"/>
      <c r="D123" s="3303" t="str">
        <f ca="1">NUMBERSTRING(INT(D122*10000),2)&amp;"元整"</f>
        <v>贰仟玖佰肆拾万元整</v>
      </c>
      <c r="E123" s="3304"/>
      <c r="F123" s="3304"/>
      <c r="G123" s="3304"/>
      <c r="H123" s="3304"/>
      <c r="I123" s="3305"/>
      <c r="AA123" s="684"/>
    </row>
    <row r="124" spans="1:27" ht="18.75" customHeight="1">
      <c r="A124" s="3294" t="str">
        <f>IF(项目基本情况!B9="房地产市场价值","",MID(E109,3,LEN(E109)-2))</f>
        <v/>
      </c>
      <c r="B124" s="3294"/>
      <c r="C124" s="3294"/>
      <c r="D124" s="3327" t="str">
        <f>H109</f>
        <v>——</v>
      </c>
      <c r="E124" s="3328"/>
      <c r="F124" s="3328"/>
      <c r="G124" s="3328"/>
      <c r="H124" s="3328"/>
      <c r="I124" s="3329"/>
      <c r="AA124" s="684"/>
    </row>
    <row r="125" spans="1:27" ht="18.75" customHeight="1">
      <c r="A125" s="3263" t="s">
        <v>1452</v>
      </c>
      <c r="B125" s="3263"/>
      <c r="C125" s="3263"/>
      <c r="D125" s="3303" t="e">
        <f>NUMBERSTRING(INT(D124*10000),2)&amp;"元整"</f>
        <v>#VALUE!</v>
      </c>
      <c r="E125" s="3304"/>
      <c r="F125" s="3304"/>
      <c r="G125" s="3304"/>
      <c r="H125" s="3304"/>
      <c r="I125" s="3305"/>
      <c r="AA125" s="684"/>
    </row>
    <row r="126" spans="1:27" ht="18.75" customHeight="1">
      <c r="A126" s="3294" t="str">
        <f>IF(项目基本情况!B9="房地产市场价值","",MID(E111,3,LEN(E111)-2))</f>
        <v/>
      </c>
      <c r="B126" s="3294"/>
      <c r="C126" s="3294"/>
      <c r="D126" s="3327" t="str">
        <f>H111</f>
        <v>——</v>
      </c>
      <c r="E126" s="3328"/>
      <c r="F126" s="3328"/>
      <c r="G126" s="3328"/>
      <c r="H126" s="3328"/>
      <c r="I126" s="3329"/>
      <c r="AA126" s="684"/>
    </row>
    <row r="127" spans="1:27" ht="18.75" customHeight="1">
      <c r="A127" s="3263" t="s">
        <v>1452</v>
      </c>
      <c r="B127" s="3263"/>
      <c r="C127" s="3263"/>
      <c r="D127" s="3303" t="e">
        <f>NUMBERSTRING(INT(D126*10000),2)&amp;"元整"</f>
        <v>#VALUE!</v>
      </c>
      <c r="E127" s="3304"/>
      <c r="F127" s="3304"/>
      <c r="G127" s="3304"/>
      <c r="H127" s="3304"/>
      <c r="I127" s="3305"/>
      <c r="AA127" s="684"/>
    </row>
    <row r="128" spans="1:27" ht="21.75" customHeight="1">
      <c r="A128" s="3310" t="s">
        <v>1453</v>
      </c>
      <c r="B128" s="3310"/>
      <c r="C128" s="3310"/>
      <c r="D128" s="3310"/>
      <c r="E128" s="3310"/>
      <c r="F128" s="3310"/>
      <c r="G128" s="3310"/>
      <c r="H128" s="3310"/>
      <c r="I128" s="331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259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4489</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11.5388</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11.5388</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12</v>
      </c>
      <c r="D10" s="795">
        <f ca="1">IF(B1="",'数据-汇总表'!E6,IF(INDIRECT("'数据-取费表'!c"&amp;$G$1)="住宅",INDIRECT("'数据-取费表'!s"&amp;$G$1),INDIRECT("'数据-取费表'!k"&amp;$G$1)+INDIRECT("'数据-取费表'!s"&amp;$G$1)))</f>
        <v>576.94000000000005</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12</v>
      </c>
      <c r="D19" s="204">
        <f ca="1">D9+D10</f>
        <v>576.94000000000005</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2</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4</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4</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32</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260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231</v>
      </c>
      <c r="D34" s="209"/>
      <c r="E34" s="212"/>
      <c r="F34" s="249">
        <f ca="1">IF('数据-取费表'!B24=0,1,IF(B1="",'数据-取费表'!N16,INDIRECT("'数据-取费表'!n"&amp;$G$1)))</f>
        <v>1</v>
      </c>
      <c r="G34" s="211" t="s">
        <v>1526</v>
      </c>
    </row>
    <row r="35" spans="1:7" ht="13.5" customHeight="1">
      <c r="A35" s="734" t="s">
        <v>351</v>
      </c>
      <c r="B35" s="207" t="s">
        <v>1527</v>
      </c>
      <c r="C35" s="212">
        <f ca="1">ROUND(C34*F35,0)</f>
        <v>12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12</v>
      </c>
      <c r="D37" s="209">
        <f ca="1">D19</f>
        <v>576.94000000000005</v>
      </c>
      <c r="E37" s="241">
        <f>'数据-取费表'!B35</f>
        <v>200</v>
      </c>
      <c r="F37" s="251"/>
      <c r="G37" s="253" t="s">
        <v>1532</v>
      </c>
    </row>
    <row r="38" spans="1:7" ht="13.5" customHeight="1">
      <c r="A38" s="734" t="s">
        <v>354</v>
      </c>
      <c r="B38" s="207" t="s">
        <v>1533</v>
      </c>
      <c r="C38" s="212">
        <f ca="1">ROUND(C34*F38,0)</f>
        <v>5</v>
      </c>
      <c r="D38" s="212"/>
      <c r="E38" s="212"/>
      <c r="F38" s="251">
        <f>'数据-取费表'!B36</f>
        <v>0.02</v>
      </c>
      <c r="G38" s="211" t="s">
        <v>1528</v>
      </c>
    </row>
    <row r="39" spans="1:7" s="206" customFormat="1" ht="13.5" customHeight="1">
      <c r="A39" s="247" t="s">
        <v>1534</v>
      </c>
      <c r="B39" s="202" t="s">
        <v>1535</v>
      </c>
      <c r="C39" s="224">
        <f ca="1">ROUND(C33*F20,0)</f>
        <v>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8</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8</v>
      </c>
      <c r="D42" s="230"/>
      <c r="E42" s="230"/>
      <c r="F42" s="231"/>
      <c r="G42" s="3343" t="s">
        <v>1544</v>
      </c>
    </row>
    <row r="43" spans="1:7" ht="13.5" customHeight="1">
      <c r="A43" s="734" t="s">
        <v>347</v>
      </c>
      <c r="B43" s="207" t="s">
        <v>1545</v>
      </c>
      <c r="C43" s="230">
        <f ca="1">ROUND(IF('数据-取费表'!B22&lt;=1,C39*F22*'数据-取费表'!B21/2,C39*(POWER((1+F22),'数据-取费表'!B21/2)-1)),0)</f>
        <v>0</v>
      </c>
      <c r="D43" s="230"/>
      <c r="E43" s="230"/>
      <c r="F43" s="231"/>
      <c r="G43" s="3344"/>
    </row>
    <row r="44" spans="1:7" ht="13.5" customHeight="1">
      <c r="A44" s="734" t="s">
        <v>348</v>
      </c>
      <c r="B44" s="207" t="s">
        <v>1546</v>
      </c>
      <c r="C44" s="230">
        <f ca="1">ROUND(IF('数据-取费表'!B22&lt;=1,C40*F22*'数据-取费表'!B21/2,C40*(POWER((1+F22),'数据-取费表'!B21/2)-1)),4)</f>
        <v>5.9999999999999995E-4</v>
      </c>
      <c r="D44" s="230"/>
      <c r="E44" s="230"/>
      <c r="F44" s="231"/>
      <c r="G44" s="3345"/>
    </row>
    <row r="45" spans="1:7" s="206" customFormat="1" ht="13.5" customHeight="1">
      <c r="A45" s="247" t="s">
        <v>1547</v>
      </c>
      <c r="B45" s="236" t="s">
        <v>1513</v>
      </c>
      <c r="C45" s="237">
        <f ca="1">C46</f>
        <v>40</v>
      </c>
      <c r="D45" s="227">
        <f ca="1">C47</f>
        <v>3.0000000000000001E-3</v>
      </c>
      <c r="E45" s="228" t="s">
        <v>1539</v>
      </c>
      <c r="F45" s="238">
        <f ca="1">F27</f>
        <v>0.15</v>
      </c>
      <c r="G45" s="239" t="s">
        <v>1548</v>
      </c>
    </row>
    <row r="46" spans="1:7" s="206" customFormat="1" ht="13.5" customHeight="1">
      <c r="A46" s="734" t="s">
        <v>346</v>
      </c>
      <c r="B46" s="240" t="s">
        <v>1549</v>
      </c>
      <c r="C46" s="241">
        <f ca="1">ROUND((C33+C39)*F27,0)</f>
        <v>40</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339</v>
      </c>
      <c r="D49" s="224"/>
      <c r="E49" s="224"/>
      <c r="F49" s="256"/>
      <c r="G49" s="226" t="s">
        <v>1554</v>
      </c>
    </row>
    <row r="50" spans="1:7" s="250" customFormat="1" ht="24">
      <c r="A50" s="247" t="s">
        <v>1555</v>
      </c>
      <c r="B50" s="202" t="s">
        <v>1556</v>
      </c>
      <c r="C50" s="224"/>
      <c r="D50" s="224"/>
      <c r="E50" s="224"/>
      <c r="F50" s="256">
        <f>IF('数据-取费表'!B24=0,'数据-取费表'!N16,1)</f>
        <v>0.67</v>
      </c>
      <c r="G50" s="239" t="s">
        <v>1557</v>
      </c>
    </row>
    <row r="51" spans="1:7" ht="16.5" customHeight="1">
      <c r="A51" s="247" t="s">
        <v>1558</v>
      </c>
      <c r="B51" s="202" t="s">
        <v>1559</v>
      </c>
      <c r="C51" s="224">
        <f ca="1">ROUND(C49*F50,0)</f>
        <v>227</v>
      </c>
      <c r="D51" s="224"/>
      <c r="E51" s="224"/>
      <c r="F51" s="256"/>
      <c r="G51" s="226" t="s">
        <v>1560</v>
      </c>
    </row>
    <row r="52" spans="1:7" s="200" customFormat="1" ht="16.8" thickBot="1">
      <c r="A52" s="257" t="s">
        <v>1561</v>
      </c>
      <c r="B52" s="258"/>
      <c r="C52" s="259">
        <f ca="1">C31+C51</f>
        <v>259</v>
      </c>
      <c r="D52" s="258"/>
      <c r="E52" s="258"/>
      <c r="F52" s="258"/>
      <c r="G52" s="260"/>
    </row>
    <row r="55" spans="1:7" ht="15">
      <c r="B55" s="262" t="s">
        <v>1562</v>
      </c>
      <c r="C55" s="263"/>
    </row>
    <row r="56" spans="1:7">
      <c r="B56" s="265" t="s">
        <v>802</v>
      </c>
      <c r="C56" s="267">
        <f ca="1">1-C57</f>
        <v>0.124</v>
      </c>
    </row>
    <row r="57" spans="1:7">
      <c r="B57" s="265" t="s">
        <v>803</v>
      </c>
      <c r="C57" s="266">
        <f ca="1">ROUND(C51/C52,3)</f>
        <v>0.876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1" t="str">
        <f>项目基本情况!B1</f>
        <v>北京市朝阳区常营南路50号院12-14商业1层104房地产抵押价值预评估</v>
      </c>
      <c r="C37" s="3161"/>
      <c r="D37" s="3161"/>
      <c r="E37" s="3161"/>
      <c r="F37" s="3161"/>
      <c r="G37" s="3161"/>
      <c r="H37" s="3161"/>
      <c r="I37" s="316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34" zoomScale="60" zoomScaleNormal="70" workbookViewId="0">
      <selection activeCell="K40" sqref="K40"/>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673</v>
      </c>
      <c r="E1" s="3123" t="s">
        <v>3448</v>
      </c>
      <c r="F1" s="1735" t="s">
        <v>3449</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3588.2206000000001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62194</v>
      </c>
      <c r="C3" s="344" t="s">
        <v>1768</v>
      </c>
      <c r="D3" s="343">
        <f>IF(D1="",'数据-汇总表'!E3,SUMIF('数据-汇总表'!$C19:$C33,D1,'数据-汇总表'!$E19:$E33))</f>
        <v>576.94000000000005</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390" t="s">
        <v>1770</v>
      </c>
      <c r="D4" s="3391"/>
      <c r="E4" s="3392" t="s">
        <v>1771</v>
      </c>
      <c r="F4" s="3393"/>
      <c r="G4" s="3390" t="s">
        <v>1772</v>
      </c>
      <c r="H4" s="3391"/>
      <c r="I4" s="3390" t="s">
        <v>1773</v>
      </c>
      <c r="J4" s="3391"/>
      <c r="K4" s="537" t="s">
        <v>1774</v>
      </c>
      <c r="L4" s="2485"/>
      <c r="M4" s="2486"/>
      <c r="N4" s="2486"/>
      <c r="O4" s="2486"/>
      <c r="P4" s="3394" t="s">
        <v>1775</v>
      </c>
      <c r="Q4" s="3395"/>
      <c r="R4" s="3400" t="s">
        <v>1771</v>
      </c>
      <c r="S4" s="3401"/>
      <c r="T4" s="3400" t="s">
        <v>1772</v>
      </c>
      <c r="U4" s="3401"/>
      <c r="V4" s="3376" t="s">
        <v>1773</v>
      </c>
      <c r="W4" s="3376"/>
      <c r="X4" s="1265"/>
      <c r="Y4" s="3400" t="s">
        <v>1775</v>
      </c>
      <c r="Z4" s="3401"/>
      <c r="AA4" s="3387" t="s">
        <v>1771</v>
      </c>
      <c r="AB4" s="3376" t="s">
        <v>1772</v>
      </c>
      <c r="AC4" s="3387" t="s">
        <v>1773</v>
      </c>
    </row>
    <row r="5" spans="1:29">
      <c r="A5" s="348"/>
      <c r="B5" s="349"/>
      <c r="C5" s="3408" t="s">
        <v>1673</v>
      </c>
      <c r="D5" s="3409"/>
      <c r="E5" s="3415" t="str">
        <f>案例!O3</f>
        <v>柏林爱乐二期</v>
      </c>
      <c r="F5" s="3416"/>
      <c r="G5" s="3408" t="str">
        <f>案例!O38</f>
        <v>和锦薇棠</v>
      </c>
      <c r="H5" s="3409"/>
      <c r="I5" s="3408" t="str">
        <f>案例!O69</f>
        <v>保利首开和锦汇</v>
      </c>
      <c r="J5" s="3409"/>
      <c r="K5" s="537"/>
      <c r="L5" s="2485"/>
      <c r="M5" s="2486"/>
      <c r="N5" s="2486"/>
      <c r="O5" s="2486"/>
      <c r="P5" s="3396"/>
      <c r="Q5" s="3397"/>
      <c r="R5" s="3402"/>
      <c r="S5" s="3403"/>
      <c r="T5" s="3402"/>
      <c r="U5" s="3403"/>
      <c r="V5" s="3376"/>
      <c r="W5" s="3376"/>
      <c r="X5" s="1265"/>
      <c r="Y5" s="3402"/>
      <c r="Z5" s="3403"/>
      <c r="AA5" s="3388"/>
      <c r="AB5" s="3376"/>
      <c r="AC5" s="3388"/>
    </row>
    <row r="6" spans="1:29" ht="15" thickBot="1">
      <c r="A6" s="350"/>
      <c r="B6" s="351"/>
      <c r="C6" s="3406" t="s">
        <v>1677</v>
      </c>
      <c r="D6" s="3407"/>
      <c r="E6" s="3413" t="s">
        <v>1677</v>
      </c>
      <c r="F6" s="3414"/>
      <c r="G6" s="3406" t="s">
        <v>1677</v>
      </c>
      <c r="H6" s="3407"/>
      <c r="I6" s="3406" t="s">
        <v>1677</v>
      </c>
      <c r="J6" s="3407"/>
      <c r="K6" s="537" t="s">
        <v>1678</v>
      </c>
      <c r="L6" s="2485"/>
      <c r="M6" s="2486"/>
      <c r="N6" s="2486"/>
      <c r="O6" s="2486"/>
      <c r="P6" s="3398"/>
      <c r="Q6" s="3399"/>
      <c r="R6" s="3402"/>
      <c r="S6" s="3403"/>
      <c r="T6" s="3404"/>
      <c r="U6" s="3405"/>
      <c r="V6" s="3376"/>
      <c r="W6" s="3376"/>
      <c r="X6" s="1265"/>
      <c r="Y6" s="3404"/>
      <c r="Z6" s="3405"/>
      <c r="AA6" s="3389"/>
      <c r="AB6" s="3376"/>
      <c r="AC6" s="3389"/>
    </row>
    <row r="7" spans="1:29" s="102" customFormat="1" ht="15" thickBot="1">
      <c r="A7" s="352" t="s">
        <v>1679</v>
      </c>
      <c r="B7" s="353"/>
      <c r="C7" s="354">
        <f>'数据-取费表'!B2</f>
        <v>45786</v>
      </c>
      <c r="D7" s="355">
        <v>100</v>
      </c>
      <c r="E7" s="356">
        <f>C7</f>
        <v>45786</v>
      </c>
      <c r="F7" s="357">
        <f>SUMIF(58:58,YEAR(E7)&amp;"-"&amp;MONTH(E7),59:59)</f>
        <v>100</v>
      </c>
      <c r="G7" s="356">
        <f>C7</f>
        <v>45786</v>
      </c>
      <c r="H7" s="355">
        <f>SUMIF(58:58,YEAR(G7)&amp;"-"&amp;MONTH(G7),59:59)</f>
        <v>100</v>
      </c>
      <c r="I7" s="356">
        <f>C7</f>
        <v>45786</v>
      </c>
      <c r="J7" s="355">
        <f>SUMIF(58:58,YEAR(I7)&amp;"-"&amp;MONTH(I7),59:59)</f>
        <v>100</v>
      </c>
      <c r="K7" s="38"/>
      <c r="L7" s="2487"/>
      <c r="M7" s="2439"/>
      <c r="N7" s="2439"/>
      <c r="O7" s="2439"/>
      <c r="P7" s="3410" t="s">
        <v>1680</v>
      </c>
      <c r="Q7" s="3412"/>
      <c r="R7" s="664" t="s">
        <v>14</v>
      </c>
      <c r="S7" s="665">
        <f t="shared" ref="S7:S15" si="0">F7</f>
        <v>100</v>
      </c>
      <c r="T7" s="664" t="s">
        <v>14</v>
      </c>
      <c r="U7" s="665">
        <f t="shared" ref="U7:U15" si="1">H7</f>
        <v>100</v>
      </c>
      <c r="V7" s="664" t="s">
        <v>14</v>
      </c>
      <c r="W7" s="665">
        <f t="shared" ref="W7:W15" si="2">J7</f>
        <v>100</v>
      </c>
      <c r="X7" s="666"/>
      <c r="Y7" s="3410" t="s">
        <v>1680</v>
      </c>
      <c r="Z7" s="3411"/>
      <c r="AA7" s="50">
        <f>D7/F7</f>
        <v>1</v>
      </c>
      <c r="AB7" s="50">
        <f>D7/H7</f>
        <v>1</v>
      </c>
      <c r="AC7" s="50">
        <f>D7/J7</f>
        <v>1</v>
      </c>
    </row>
    <row r="8" spans="1:29" s="102" customFormat="1" ht="15" thickBot="1">
      <c r="A8" s="352" t="s">
        <v>1681</v>
      </c>
      <c r="B8" s="353"/>
      <c r="C8" s="358" t="s">
        <v>3460</v>
      </c>
      <c r="D8" s="355">
        <v>100</v>
      </c>
      <c r="E8" s="358" t="s">
        <v>3488</v>
      </c>
      <c r="F8" s="357">
        <f>SUMIF(61:61,E8,62:62)-SUMIF(61:61,C8,62:62)+100</f>
        <v>103</v>
      </c>
      <c r="G8" s="358" t="s">
        <v>3488</v>
      </c>
      <c r="H8" s="355">
        <f>SUMIF(61:61,G8,62:62)-SUMIF(61:61,C8,62:62)+100</f>
        <v>103</v>
      </c>
      <c r="I8" s="358" t="s">
        <v>3488</v>
      </c>
      <c r="J8" s="355">
        <f>SUMIF(61:61,I8,62:62)-SUMIF(61:61,C8,62:62)+100</f>
        <v>103</v>
      </c>
      <c r="K8" s="38"/>
      <c r="L8" s="2487"/>
      <c r="M8" s="2439"/>
      <c r="N8" s="2439"/>
      <c r="O8" s="2439"/>
      <c r="P8" s="3410" t="s">
        <v>1683</v>
      </c>
      <c r="Q8" s="3411"/>
      <c r="R8" s="664" t="s">
        <v>14</v>
      </c>
      <c r="S8" s="665">
        <f t="shared" si="0"/>
        <v>103</v>
      </c>
      <c r="T8" s="664" t="s">
        <v>14</v>
      </c>
      <c r="U8" s="665">
        <f t="shared" si="1"/>
        <v>103</v>
      </c>
      <c r="V8" s="664" t="s">
        <v>14</v>
      </c>
      <c r="W8" s="665">
        <f t="shared" si="2"/>
        <v>103</v>
      </c>
      <c r="X8" s="666"/>
      <c r="Y8" s="3410" t="s">
        <v>1683</v>
      </c>
      <c r="Z8" s="3411"/>
      <c r="AA8" s="50">
        <f t="shared" ref="AA8:AA46" si="3">D8/F8</f>
        <v>0.970873786407767</v>
      </c>
      <c r="AB8" s="50">
        <f t="shared" ref="AB8:AB46" si="4">D8/H8</f>
        <v>0.970873786407767</v>
      </c>
      <c r="AC8" s="50">
        <f t="shared" ref="AC8:AC46" si="5">D8/J8</f>
        <v>0.970873786407767</v>
      </c>
    </row>
    <row r="9" spans="1:29" s="102" customFormat="1" ht="14.4">
      <c r="A9" s="359" t="s">
        <v>1684</v>
      </c>
      <c r="B9" s="60" t="s">
        <v>1685</v>
      </c>
      <c r="C9" s="3504" t="s">
        <v>3461</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9"/>
      <c r="N9" s="2439"/>
      <c r="O9" s="2439"/>
      <c r="P9" s="3386" t="s">
        <v>1686</v>
      </c>
      <c r="Q9" s="530" t="str">
        <f t="shared" ref="Q9:Q15" si="6">B9</f>
        <v>用途</v>
      </c>
      <c r="R9" s="664" t="s">
        <v>14</v>
      </c>
      <c r="S9" s="665">
        <f t="shared" si="0"/>
        <v>100</v>
      </c>
      <c r="T9" s="664" t="s">
        <v>14</v>
      </c>
      <c r="U9" s="665">
        <f t="shared" si="1"/>
        <v>100</v>
      </c>
      <c r="V9" s="664" t="s">
        <v>14</v>
      </c>
      <c r="W9" s="665">
        <f t="shared" si="2"/>
        <v>100</v>
      </c>
      <c r="X9" s="666"/>
      <c r="Y9" s="3250" t="s">
        <v>1687</v>
      </c>
      <c r="Z9" s="50" t="str">
        <f t="shared" ref="Z9:Z15" si="7">Q9</f>
        <v>用途</v>
      </c>
      <c r="AA9" s="50">
        <f t="shared" si="3"/>
        <v>1</v>
      </c>
      <c r="AB9" s="50">
        <f t="shared" si="4"/>
        <v>1</v>
      </c>
      <c r="AC9" s="50">
        <f t="shared" si="5"/>
        <v>1</v>
      </c>
    </row>
    <row r="10" spans="1:29" s="366" customFormat="1" ht="28.8">
      <c r="A10" s="363"/>
      <c r="B10" s="364" t="s">
        <v>1688</v>
      </c>
      <c r="C10" s="3131" t="s">
        <v>3487</v>
      </c>
      <c r="D10" s="119">
        <v>100</v>
      </c>
      <c r="E10" s="3131" t="s">
        <v>3487</v>
      </c>
      <c r="F10" s="364">
        <f>SUMIF(65:65,E10,66:66)-SUMIF(65:65,C10,66:66)+100</f>
        <v>100</v>
      </c>
      <c r="G10" s="3131" t="s">
        <v>3496</v>
      </c>
      <c r="H10" s="119">
        <f>SUMIF(65:65,G10,66:66)-SUMIF(65:65,C10,66:66)+100</f>
        <v>104</v>
      </c>
      <c r="I10" s="3131" t="s">
        <v>3496</v>
      </c>
      <c r="J10" s="119">
        <f>SUMIF(65:65,I10,66:66)-SUMIF(65:65,C10,66:66)+100</f>
        <v>104</v>
      </c>
      <c r="K10" s="38"/>
      <c r="L10" s="2488"/>
      <c r="M10" s="2489"/>
      <c r="N10" s="2489"/>
      <c r="O10" s="2489"/>
      <c r="P10" s="3386"/>
      <c r="Q10" s="530" t="str">
        <f t="shared" si="6"/>
        <v>土地使用年限（年）</v>
      </c>
      <c r="R10" s="664" t="s">
        <v>14</v>
      </c>
      <c r="S10" s="665">
        <f t="shared" si="0"/>
        <v>100</v>
      </c>
      <c r="T10" s="664" t="s">
        <v>14</v>
      </c>
      <c r="U10" s="665">
        <f t="shared" si="1"/>
        <v>104</v>
      </c>
      <c r="V10" s="664" t="s">
        <v>14</v>
      </c>
      <c r="W10" s="665">
        <f t="shared" si="2"/>
        <v>104</v>
      </c>
      <c r="X10" s="666"/>
      <c r="Y10" s="3250"/>
      <c r="Z10" s="50" t="str">
        <f t="shared" si="7"/>
        <v>土地使用年限（年）</v>
      </c>
      <c r="AA10" s="50">
        <f t="shared" si="3"/>
        <v>1</v>
      </c>
      <c r="AB10" s="50">
        <f t="shared" si="4"/>
        <v>0.96153846153846156</v>
      </c>
      <c r="AC10" s="50">
        <f t="shared" si="5"/>
        <v>0.96153846153846156</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386"/>
      <c r="Q11" s="530" t="str">
        <f t="shared" si="6"/>
        <v>容积率</v>
      </c>
      <c r="R11" s="664" t="s">
        <v>14</v>
      </c>
      <c r="S11" s="665">
        <f t="shared" si="0"/>
        <v>100</v>
      </c>
      <c r="T11" s="664" t="s">
        <v>14</v>
      </c>
      <c r="U11" s="665">
        <f t="shared" si="1"/>
        <v>100</v>
      </c>
      <c r="V11" s="664" t="s">
        <v>14</v>
      </c>
      <c r="W11" s="665">
        <f t="shared" si="2"/>
        <v>100</v>
      </c>
      <c r="X11" s="666"/>
      <c r="Y11" s="3250"/>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86"/>
      <c r="Q12" s="530">
        <f t="shared" si="6"/>
        <v>111</v>
      </c>
      <c r="R12" s="664" t="s">
        <v>14</v>
      </c>
      <c r="S12" s="665">
        <f t="shared" si="0"/>
        <v>100</v>
      </c>
      <c r="T12" s="664" t="s">
        <v>14</v>
      </c>
      <c r="U12" s="665">
        <f t="shared" si="1"/>
        <v>100</v>
      </c>
      <c r="V12" s="664" t="s">
        <v>14</v>
      </c>
      <c r="W12" s="665">
        <f t="shared" si="2"/>
        <v>100</v>
      </c>
      <c r="X12" s="666"/>
      <c r="Y12" s="325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86"/>
      <c r="Q13" s="530">
        <f t="shared" si="6"/>
        <v>111</v>
      </c>
      <c r="R13" s="664" t="s">
        <v>14</v>
      </c>
      <c r="S13" s="665">
        <f t="shared" si="0"/>
        <v>100</v>
      </c>
      <c r="T13" s="664" t="s">
        <v>14</v>
      </c>
      <c r="U13" s="665">
        <f t="shared" si="1"/>
        <v>100</v>
      </c>
      <c r="V13" s="664" t="s">
        <v>14</v>
      </c>
      <c r="W13" s="665">
        <f t="shared" si="2"/>
        <v>100</v>
      </c>
      <c r="X13" s="666"/>
      <c r="Y13" s="3250"/>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86"/>
      <c r="Q14" s="530">
        <f t="shared" si="6"/>
        <v>111</v>
      </c>
      <c r="R14" s="664" t="s">
        <v>14</v>
      </c>
      <c r="S14" s="665">
        <f t="shared" si="0"/>
        <v>100</v>
      </c>
      <c r="T14" s="664" t="s">
        <v>14</v>
      </c>
      <c r="U14" s="665">
        <f t="shared" si="1"/>
        <v>100</v>
      </c>
      <c r="V14" s="664" t="s">
        <v>14</v>
      </c>
      <c r="W14" s="665">
        <f t="shared" si="2"/>
        <v>100</v>
      </c>
      <c r="X14" s="666"/>
      <c r="Y14" s="3250"/>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91"/>
      <c r="M15" s="2486"/>
      <c r="N15" s="2486"/>
      <c r="O15" s="2486"/>
      <c r="P15" s="3384" t="s">
        <v>1691</v>
      </c>
      <c r="Q15" s="1263" t="str">
        <f t="shared" si="6"/>
        <v>商业繁华度</v>
      </c>
      <c r="R15" s="667" t="s">
        <v>14</v>
      </c>
      <c r="S15" s="668">
        <f t="shared" si="0"/>
        <v>100</v>
      </c>
      <c r="T15" s="667" t="s">
        <v>14</v>
      </c>
      <c r="U15" s="668">
        <f t="shared" si="1"/>
        <v>100</v>
      </c>
      <c r="V15" s="667" t="s">
        <v>14</v>
      </c>
      <c r="W15" s="668">
        <f t="shared" si="2"/>
        <v>100</v>
      </c>
      <c r="X15" s="1265"/>
      <c r="Y15" s="3377" t="s">
        <v>1691</v>
      </c>
      <c r="Z15" s="1264" t="str">
        <f t="shared" si="7"/>
        <v>商业繁华度</v>
      </c>
      <c r="AA15" s="1264">
        <f t="shared" si="3"/>
        <v>1</v>
      </c>
      <c r="AB15" s="1264">
        <f t="shared" si="4"/>
        <v>1</v>
      </c>
      <c r="AC15" s="1264">
        <f t="shared" si="5"/>
        <v>1</v>
      </c>
    </row>
    <row r="16" spans="1:29" ht="15">
      <c r="A16" s="367"/>
      <c r="B16" s="385"/>
      <c r="C16" s="386" t="s">
        <v>3443</v>
      </c>
      <c r="D16" s="387"/>
      <c r="E16" s="386" t="s">
        <v>3443</v>
      </c>
      <c r="F16" s="388"/>
      <c r="G16" s="386" t="s">
        <v>3443</v>
      </c>
      <c r="H16" s="389"/>
      <c r="I16" s="386" t="s">
        <v>3443</v>
      </c>
      <c r="J16" s="387"/>
      <c r="K16" s="541"/>
      <c r="L16" s="2491"/>
      <c r="M16" s="2486"/>
      <c r="N16" s="2486"/>
      <c r="O16" s="2486"/>
      <c r="P16" s="3385"/>
      <c r="Q16" s="1263"/>
      <c r="R16" s="667"/>
      <c r="S16" s="668"/>
      <c r="T16" s="667"/>
      <c r="U16" s="668"/>
      <c r="V16" s="667"/>
      <c r="W16" s="668"/>
      <c r="X16" s="1265"/>
      <c r="Y16" s="3378"/>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1"/>
      <c r="M17" s="2486"/>
      <c r="N17" s="2486"/>
      <c r="O17" s="2486"/>
      <c r="P17" s="3385"/>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264">
        <f t="shared" si="5"/>
        <v>1</v>
      </c>
    </row>
    <row r="18" spans="1:29" ht="15">
      <c r="A18" s="367"/>
      <c r="B18" s="395"/>
      <c r="C18" s="1755" t="s">
        <v>3444</v>
      </c>
      <c r="D18" s="389"/>
      <c r="E18" s="1755" t="s">
        <v>3444</v>
      </c>
      <c r="F18" s="392"/>
      <c r="G18" s="1755" t="s">
        <v>3444</v>
      </c>
      <c r="H18" s="387"/>
      <c r="I18" s="1755" t="s">
        <v>3444</v>
      </c>
      <c r="J18" s="387"/>
      <c r="K18" s="541"/>
      <c r="L18" s="2491"/>
      <c r="M18" s="2486"/>
      <c r="N18" s="2486"/>
      <c r="O18" s="2486"/>
      <c r="P18" s="3385"/>
      <c r="Q18" s="1263"/>
      <c r="R18" s="667"/>
      <c r="S18" s="668"/>
      <c r="T18" s="667"/>
      <c r="U18" s="668"/>
      <c r="V18" s="667"/>
      <c r="W18" s="668"/>
      <c r="X18" s="1265"/>
      <c r="Y18" s="3378"/>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1"/>
      <c r="M19" s="2486"/>
      <c r="N19" s="2486"/>
      <c r="O19" s="2486"/>
      <c r="P19" s="3385"/>
      <c r="Q19" s="1263" t="str">
        <f>B19</f>
        <v>公共配套设施</v>
      </c>
      <c r="R19" s="667" t="s">
        <v>14</v>
      </c>
      <c r="S19" s="668">
        <f>F19</f>
        <v>100</v>
      </c>
      <c r="T19" s="667" t="s">
        <v>14</v>
      </c>
      <c r="U19" s="668">
        <f>H19</f>
        <v>100</v>
      </c>
      <c r="V19" s="667" t="s">
        <v>14</v>
      </c>
      <c r="W19" s="668">
        <f>J19</f>
        <v>100</v>
      </c>
      <c r="X19" s="1265"/>
      <c r="Y19" s="3378"/>
      <c r="Z19" s="1264" t="str">
        <f>Q19</f>
        <v>公共配套设施</v>
      </c>
      <c r="AA19" s="1264">
        <f t="shared" si="3"/>
        <v>1</v>
      </c>
      <c r="AB19" s="1264">
        <f t="shared" si="4"/>
        <v>1</v>
      </c>
      <c r="AC19" s="1264">
        <f t="shared" si="5"/>
        <v>1</v>
      </c>
    </row>
    <row r="20" spans="1:29" ht="15">
      <c r="A20" s="367"/>
      <c r="B20" s="395"/>
      <c r="C20" s="386" t="s">
        <v>3444</v>
      </c>
      <c r="D20" s="387"/>
      <c r="E20" s="386" t="s">
        <v>3444</v>
      </c>
      <c r="F20" s="388"/>
      <c r="G20" s="386" t="s">
        <v>3444</v>
      </c>
      <c r="H20" s="387"/>
      <c r="I20" s="386" t="s">
        <v>3444</v>
      </c>
      <c r="J20" s="387"/>
      <c r="K20" s="541"/>
      <c r="L20" s="2491"/>
      <c r="M20" s="2486"/>
      <c r="N20" s="2486"/>
      <c r="O20" s="2486"/>
      <c r="P20" s="3385"/>
      <c r="Q20" s="1263"/>
      <c r="R20" s="667"/>
      <c r="S20" s="668"/>
      <c r="T20" s="667"/>
      <c r="U20" s="668"/>
      <c r="V20" s="667"/>
      <c r="W20" s="668"/>
      <c r="X20" s="1265"/>
      <c r="Y20" s="3378"/>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385"/>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
      <c r="A22" s="367"/>
      <c r="B22" s="586"/>
      <c r="C22" s="1755" t="s">
        <v>3499</v>
      </c>
      <c r="D22" s="387"/>
      <c r="E22" s="1755" t="s">
        <v>3499</v>
      </c>
      <c r="F22" s="388"/>
      <c r="G22" s="1755" t="s">
        <v>3499</v>
      </c>
      <c r="H22" s="387"/>
      <c r="I22" s="1755" t="s">
        <v>3499</v>
      </c>
      <c r="J22" s="387"/>
      <c r="K22" s="1064"/>
      <c r="L22" s="2491"/>
      <c r="M22" s="2486"/>
      <c r="N22" s="2486"/>
      <c r="O22" s="2486"/>
      <c r="P22" s="3385"/>
      <c r="Q22" s="1263"/>
      <c r="R22" s="667"/>
      <c r="S22" s="668"/>
      <c r="T22" s="667"/>
      <c r="U22" s="668"/>
      <c r="V22" s="667"/>
      <c r="W22" s="668"/>
      <c r="X22" s="1265"/>
      <c r="Y22" s="3378"/>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1"/>
      <c r="M23" s="2486"/>
      <c r="N23" s="2486"/>
      <c r="O23" s="2486"/>
      <c r="P23" s="3385"/>
      <c r="Q23" s="1263" t="str">
        <f>B23</f>
        <v>自然及人文环境</v>
      </c>
      <c r="R23" s="667" t="s">
        <v>14</v>
      </c>
      <c r="S23" s="668">
        <f>F23</f>
        <v>100</v>
      </c>
      <c r="T23" s="667" t="s">
        <v>14</v>
      </c>
      <c r="U23" s="668">
        <f>H23</f>
        <v>100</v>
      </c>
      <c r="V23" s="667" t="s">
        <v>14</v>
      </c>
      <c r="W23" s="668">
        <f>J23</f>
        <v>100</v>
      </c>
      <c r="X23" s="1265"/>
      <c r="Y23" s="3378"/>
      <c r="Z23" s="1264" t="str">
        <f>Q23</f>
        <v>自然及人文环境</v>
      </c>
      <c r="AA23" s="1264">
        <f t="shared" si="3"/>
        <v>1</v>
      </c>
      <c r="AB23" s="1264">
        <f t="shared" si="4"/>
        <v>1</v>
      </c>
      <c r="AC23" s="1264">
        <f t="shared" si="5"/>
        <v>1</v>
      </c>
    </row>
    <row r="24" spans="1:29" ht="15">
      <c r="A24" s="367"/>
      <c r="B24" s="395"/>
      <c r="C24" s="386" t="s">
        <v>3444</v>
      </c>
      <c r="D24" s="387"/>
      <c r="E24" s="386" t="s">
        <v>3444</v>
      </c>
      <c r="F24" s="388"/>
      <c r="G24" s="386" t="s">
        <v>3444</v>
      </c>
      <c r="H24" s="387"/>
      <c r="I24" s="386" t="s">
        <v>3444</v>
      </c>
      <c r="J24" s="387"/>
      <c r="K24" s="541"/>
      <c r="L24" s="2491"/>
      <c r="M24" s="2486"/>
      <c r="N24" s="2486"/>
      <c r="O24" s="2486"/>
      <c r="P24" s="3385"/>
      <c r="Q24" s="1263"/>
      <c r="R24" s="667"/>
      <c r="S24" s="668"/>
      <c r="T24" s="667"/>
      <c r="U24" s="668"/>
      <c r="V24" s="667"/>
      <c r="W24" s="668"/>
      <c r="X24" s="1265"/>
      <c r="Y24" s="3378"/>
      <c r="Z24" s="1264"/>
      <c r="AA24" s="1264">
        <v>1</v>
      </c>
      <c r="AB24" s="1264">
        <v>1</v>
      </c>
      <c r="AC24" s="1264">
        <v>1</v>
      </c>
    </row>
    <row r="25" spans="1:29" ht="15">
      <c r="A25" s="367"/>
      <c r="B25" s="364" t="s">
        <v>1780</v>
      </c>
      <c r="C25" s="542" t="s">
        <v>3475</v>
      </c>
      <c r="D25" s="374">
        <v>100</v>
      </c>
      <c r="E25" s="542" t="s">
        <v>3475</v>
      </c>
      <c r="F25" s="400">
        <f>SUMIF(86:86,E25,87:87)-SUMIF(86:86,C25,87:87)+100</f>
        <v>100</v>
      </c>
      <c r="G25" s="542" t="s">
        <v>3475</v>
      </c>
      <c r="H25" s="374">
        <f>SUMIF(86:86,G25,87:87)-SUMIF(86:86,C25,87:87)+100</f>
        <v>100</v>
      </c>
      <c r="I25" s="542" t="s">
        <v>3475</v>
      </c>
      <c r="J25" s="374">
        <f>SUMIF(86:86,I25,87:87)-SUMIF(86:86,C25,87:87)+100</f>
        <v>100</v>
      </c>
      <c r="K25" s="538">
        <v>2</v>
      </c>
      <c r="L25" s="2491"/>
      <c r="M25" s="2486"/>
      <c r="N25" s="2486"/>
      <c r="O25" s="2486"/>
      <c r="P25" s="3385"/>
      <c r="Q25" s="1263" t="str">
        <f t="shared" ref="Q25:Q46" si="11">B25</f>
        <v>临街状况</v>
      </c>
      <c r="R25" s="667" t="s">
        <v>14</v>
      </c>
      <c r="S25" s="668">
        <f>F25</f>
        <v>100</v>
      </c>
      <c r="T25" s="667" t="s">
        <v>14</v>
      </c>
      <c r="U25" s="668">
        <f>H25</f>
        <v>100</v>
      </c>
      <c r="V25" s="667" t="s">
        <v>14</v>
      </c>
      <c r="W25" s="668">
        <f>J25</f>
        <v>100</v>
      </c>
      <c r="X25" s="1265"/>
      <c r="Y25" s="3378"/>
      <c r="Z25" s="1264" t="str">
        <f>Q25</f>
        <v>临街状况</v>
      </c>
      <c r="AA25" s="1264">
        <f t="shared" si="3"/>
        <v>1</v>
      </c>
      <c r="AB25" s="1264">
        <f t="shared" si="4"/>
        <v>1</v>
      </c>
      <c r="AC25" s="1264">
        <f t="shared" si="5"/>
        <v>1</v>
      </c>
    </row>
    <row r="26" spans="1:29" ht="15">
      <c r="A26" s="367"/>
      <c r="B26" s="1066" t="s">
        <v>1781</v>
      </c>
      <c r="C26" s="3515" t="s">
        <v>3474</v>
      </c>
      <c r="D26" s="374">
        <v>100</v>
      </c>
      <c r="E26" s="3515" t="s">
        <v>3474</v>
      </c>
      <c r="F26" s="400">
        <f>SUMIF(88:88,E26,89:89)-SUMIF(88:88,C26,89:89)+100</f>
        <v>100</v>
      </c>
      <c r="G26" s="3515" t="s">
        <v>3474</v>
      </c>
      <c r="H26" s="374">
        <f>SUMIF(88:88,G26,89:89)-SUMIF(88:88,C26,89:89)+100</f>
        <v>100</v>
      </c>
      <c r="I26" s="3515" t="s">
        <v>3474</v>
      </c>
      <c r="J26" s="374">
        <f>SUMIF(88:88,I26,89:89)-SUMIF(88:88,C26,89:89)+100</f>
        <v>100</v>
      </c>
      <c r="K26" s="539"/>
      <c r="L26" s="2491"/>
      <c r="M26" s="2486"/>
      <c r="N26" s="2486"/>
      <c r="O26" s="2486"/>
      <c r="P26" s="3385"/>
      <c r="Q26" s="1263" t="str">
        <f t="shared" si="11"/>
        <v>平面位置/可视性</v>
      </c>
      <c r="R26" s="667" t="s">
        <v>14</v>
      </c>
      <c r="S26" s="668">
        <f>F26</f>
        <v>100</v>
      </c>
      <c r="T26" s="667" t="s">
        <v>14</v>
      </c>
      <c r="U26" s="668">
        <f>H26</f>
        <v>100</v>
      </c>
      <c r="V26" s="667" t="s">
        <v>14</v>
      </c>
      <c r="W26" s="668">
        <f>J26</f>
        <v>100</v>
      </c>
      <c r="X26" s="1265"/>
      <c r="Y26" s="3378"/>
      <c r="Z26" s="1264" t="str">
        <f>Q26</f>
        <v>平面位置/可视性</v>
      </c>
      <c r="AA26" s="1264">
        <f t="shared" si="3"/>
        <v>1</v>
      </c>
      <c r="AB26" s="1264">
        <f t="shared" si="4"/>
        <v>1</v>
      </c>
      <c r="AC26" s="1264">
        <f t="shared" si="5"/>
        <v>1</v>
      </c>
    </row>
    <row r="27" spans="1:29" s="102" customFormat="1" ht="15">
      <c r="A27" s="370"/>
      <c r="B27" s="390" t="s">
        <v>1782</v>
      </c>
      <c r="C27" s="1807" t="s">
        <v>3478</v>
      </c>
      <c r="D27" s="401">
        <v>100</v>
      </c>
      <c r="E27" s="1807" t="s">
        <v>3443</v>
      </c>
      <c r="F27" s="395">
        <f>SUMIF(90:90,E27,91:91)-SUMIF(90:90,C27,91:91)+100</f>
        <v>95</v>
      </c>
      <c r="G27" s="1807" t="s">
        <v>3443</v>
      </c>
      <c r="H27" s="401">
        <f>SUMIF(90:90,G27,91:91)-SUMIF(90:90,C27,91:91)+100</f>
        <v>95</v>
      </c>
      <c r="I27" s="1807" t="s">
        <v>3443</v>
      </c>
      <c r="J27" s="401">
        <f>SUMIF(90:90,I27,91:91)-SUMIF(90:90,C27,91:91)+100</f>
        <v>95</v>
      </c>
      <c r="K27" s="538">
        <v>5</v>
      </c>
      <c r="L27" s="3509" t="s">
        <v>3490</v>
      </c>
      <c r="M27" s="2439">
        <v>2004</v>
      </c>
      <c r="N27" s="3510" t="s">
        <v>3491</v>
      </c>
      <c r="O27" s="3510" t="s">
        <v>3492</v>
      </c>
      <c r="P27" s="3385"/>
      <c r="Q27" s="530" t="str">
        <f t="shared" si="11"/>
        <v>人流量</v>
      </c>
      <c r="R27" s="664" t="s">
        <v>14</v>
      </c>
      <c r="S27" s="665">
        <f>F27</f>
        <v>95</v>
      </c>
      <c r="T27" s="664" t="s">
        <v>14</v>
      </c>
      <c r="U27" s="665">
        <f>H27</f>
        <v>95</v>
      </c>
      <c r="V27" s="664" t="s">
        <v>14</v>
      </c>
      <c r="W27" s="665">
        <f>J27</f>
        <v>95</v>
      </c>
      <c r="X27" s="666"/>
      <c r="Y27" s="3378"/>
      <c r="Z27" s="50" t="str">
        <f>Q27</f>
        <v>人流量</v>
      </c>
      <c r="AA27" s="1264">
        <f>D27/F27</f>
        <v>1.0526315789473684</v>
      </c>
      <c r="AB27" s="1264">
        <f>D27/H27</f>
        <v>1.0526315789473684</v>
      </c>
      <c r="AC27" s="1264">
        <f>D27/J27</f>
        <v>1.0526315789473684</v>
      </c>
    </row>
    <row r="28" spans="1:29" ht="15">
      <c r="A28" s="367"/>
      <c r="B28" s="364" t="s">
        <v>1783</v>
      </c>
      <c r="C28" s="542" t="s">
        <v>3501</v>
      </c>
      <c r="D28" s="374">
        <v>100</v>
      </c>
      <c r="E28" s="542" t="s">
        <v>3501</v>
      </c>
      <c r="F28" s="400">
        <f>SUMIF(92:92,E28,93:93)-SUMIF(92:92,C28,93:93)+100</f>
        <v>100</v>
      </c>
      <c r="G28" s="542" t="s">
        <v>3501</v>
      </c>
      <c r="H28" s="374">
        <f>SUMIF(92:92,G28,93:93)-SUMIF(92:92,C28,93:93)+100</f>
        <v>100</v>
      </c>
      <c r="I28" s="542" t="s">
        <v>3501</v>
      </c>
      <c r="J28" s="374">
        <f>SUMIF(92:92,I28,93:93)-SUMIF(92:92,C28,93:93)+100</f>
        <v>100</v>
      </c>
      <c r="K28" s="539"/>
      <c r="L28" s="3511" t="s">
        <v>3494</v>
      </c>
      <c r="M28" s="2486">
        <f>ROUND(1-(1-0)*(2025-M27)/60,2)</f>
        <v>0.65</v>
      </c>
      <c r="N28" s="3512"/>
      <c r="O28" s="3512"/>
      <c r="P28" s="338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8"/>
      <c r="Z28" s="1264" t="str">
        <f t="shared" ref="Z28:Z46" si="15">Q28</f>
        <v>楼层</v>
      </c>
      <c r="AA28" s="1264">
        <f t="shared" si="3"/>
        <v>1</v>
      </c>
      <c r="AB28" s="1264">
        <f t="shared" si="4"/>
        <v>1</v>
      </c>
      <c r="AC28" s="1264">
        <f t="shared" si="5"/>
        <v>1</v>
      </c>
    </row>
    <row r="29" spans="1:29" ht="28.8">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3511" t="s">
        <v>3495</v>
      </c>
      <c r="M29" s="2486">
        <f>M27-2+40-2025</f>
        <v>17</v>
      </c>
      <c r="N29" s="2486"/>
      <c r="O29" s="2486"/>
      <c r="P29" s="3385"/>
      <c r="Q29" s="1263">
        <f t="shared" si="11"/>
        <v>111</v>
      </c>
      <c r="R29" s="667" t="s">
        <v>14</v>
      </c>
      <c r="S29" s="668">
        <f t="shared" si="12"/>
        <v>100</v>
      </c>
      <c r="T29" s="667" t="s">
        <v>14</v>
      </c>
      <c r="U29" s="668">
        <f t="shared" si="13"/>
        <v>100</v>
      </c>
      <c r="V29" s="667" t="s">
        <v>14</v>
      </c>
      <c r="W29" s="668">
        <f t="shared" si="14"/>
        <v>100</v>
      </c>
      <c r="X29" s="1265"/>
      <c r="Y29" s="337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3511" t="s">
        <v>3493</v>
      </c>
      <c r="M30" s="2486">
        <v>2020</v>
      </c>
      <c r="N30" s="3512" t="s">
        <v>3491</v>
      </c>
      <c r="O30" s="3512" t="s">
        <v>3492</v>
      </c>
      <c r="P30" s="3385"/>
      <c r="Q30" s="1263">
        <f t="shared" si="11"/>
        <v>111</v>
      </c>
      <c r="R30" s="667" t="s">
        <v>14</v>
      </c>
      <c r="S30" s="668">
        <f t="shared" si="12"/>
        <v>100</v>
      </c>
      <c r="T30" s="667" t="s">
        <v>14</v>
      </c>
      <c r="U30" s="668">
        <f t="shared" si="13"/>
        <v>100</v>
      </c>
      <c r="V30" s="667" t="s">
        <v>14</v>
      </c>
      <c r="W30" s="668">
        <f t="shared" si="14"/>
        <v>100</v>
      </c>
      <c r="X30" s="1265"/>
      <c r="Y30" s="3378"/>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3511" t="s">
        <v>3494</v>
      </c>
      <c r="M31" s="2486">
        <f>ROUND(1-(1-0)*(2025-M30)/60,2)</f>
        <v>0.92</v>
      </c>
      <c r="N31" s="2486"/>
      <c r="O31" s="2486"/>
      <c r="P31" s="3385"/>
      <c r="Q31" s="1263">
        <f t="shared" si="11"/>
        <v>111</v>
      </c>
      <c r="R31" s="667" t="s">
        <v>14</v>
      </c>
      <c r="S31" s="668">
        <f t="shared" si="12"/>
        <v>100</v>
      </c>
      <c r="T31" s="667" t="s">
        <v>14</v>
      </c>
      <c r="U31" s="668">
        <f t="shared" si="13"/>
        <v>100</v>
      </c>
      <c r="V31" s="667" t="s">
        <v>14</v>
      </c>
      <c r="W31" s="668">
        <f t="shared" si="14"/>
        <v>100</v>
      </c>
      <c r="X31" s="1265"/>
      <c r="Y31" s="3378"/>
      <c r="Z31" s="1264">
        <f t="shared" si="15"/>
        <v>111</v>
      </c>
      <c r="AA31" s="1264">
        <f t="shared" si="3"/>
        <v>1</v>
      </c>
      <c r="AB31" s="1264">
        <f t="shared" si="4"/>
        <v>1</v>
      </c>
      <c r="AC31" s="1264">
        <f t="shared" si="5"/>
        <v>1</v>
      </c>
    </row>
    <row r="32" spans="1:29" ht="28.8">
      <c r="A32" s="379" t="s">
        <v>1694</v>
      </c>
      <c r="B32" s="60" t="s">
        <v>1784</v>
      </c>
      <c r="C32" s="1764" t="s">
        <v>3497</v>
      </c>
      <c r="D32" s="405">
        <v>100</v>
      </c>
      <c r="E32" s="1764" t="s">
        <v>3497</v>
      </c>
      <c r="F32" s="400">
        <f>SUMIF(100:100,E32,101:101)-SUMIF(100:100,C32,101:101)+100</f>
        <v>100</v>
      </c>
      <c r="G32" s="1764" t="s">
        <v>3497</v>
      </c>
      <c r="H32" s="374">
        <f>SUMIF(100:100,G32,101:101)-SUMIF(100:100,C32,101:101)+100</f>
        <v>100</v>
      </c>
      <c r="I32" s="1764" t="s">
        <v>3497</v>
      </c>
      <c r="J32" s="405">
        <f>SUMIF(100:100,I32,101:101)-SUMIF(100:100,C32,101:101)+100</f>
        <v>100</v>
      </c>
      <c r="K32" s="538">
        <v>2</v>
      </c>
      <c r="L32" s="3511" t="s">
        <v>3495</v>
      </c>
      <c r="M32" s="2486">
        <f>M30-2+40-2025</f>
        <v>33</v>
      </c>
      <c r="N32" s="2486"/>
      <c r="O32" s="2486"/>
      <c r="P32" s="3379" t="s">
        <v>1696</v>
      </c>
      <c r="Q32" s="1263" t="str">
        <f t="shared" si="11"/>
        <v>商业类型</v>
      </c>
      <c r="R32" s="667" t="s">
        <v>14</v>
      </c>
      <c r="S32" s="668">
        <f t="shared" si="12"/>
        <v>100</v>
      </c>
      <c r="T32" s="667" t="s">
        <v>14</v>
      </c>
      <c r="U32" s="668">
        <f t="shared" si="13"/>
        <v>100</v>
      </c>
      <c r="V32" s="667" t="s">
        <v>14</v>
      </c>
      <c r="W32" s="668">
        <f t="shared" si="14"/>
        <v>100</v>
      </c>
      <c r="X32" s="1265"/>
      <c r="Y32" s="3382" t="s">
        <v>1696</v>
      </c>
      <c r="Z32" s="1264" t="str">
        <f t="shared" si="15"/>
        <v>商业类型</v>
      </c>
      <c r="AA32" s="1264">
        <f t="shared" si="3"/>
        <v>1</v>
      </c>
      <c r="AB32" s="1264">
        <f t="shared" si="4"/>
        <v>1</v>
      </c>
      <c r="AC32" s="1264">
        <f t="shared" si="5"/>
        <v>1</v>
      </c>
    </row>
    <row r="33" spans="1:29" s="408" customFormat="1" ht="28.8">
      <c r="A33" s="406"/>
      <c r="B33" s="364" t="s">
        <v>1697</v>
      </c>
      <c r="C33" s="407">
        <f>'数据-汇总表'!E19</f>
        <v>576.94000000000005</v>
      </c>
      <c r="D33" s="119">
        <v>100</v>
      </c>
      <c r="E33" s="369">
        <f>案例!O4</f>
        <v>44.24</v>
      </c>
      <c r="F33" s="364">
        <f>LOOKUP(E33,103:103,104:104)-LOOKUP(C33,103:103,104:104)+100</f>
        <v>108</v>
      </c>
      <c r="G33" s="368">
        <f>案例!P40</f>
        <v>111.58</v>
      </c>
      <c r="H33" s="119">
        <f>LOOKUP(G33,103:103,104:104)-LOOKUP(C33,103:103,104:104)+100</f>
        <v>104</v>
      </c>
      <c r="I33" s="368">
        <f>案例!P70</f>
        <v>60.93</v>
      </c>
      <c r="J33" s="119">
        <f>LOOKUP(I33,103:103,104:104)-LOOKUP(C33,103:103,104:104)+100</f>
        <v>106</v>
      </c>
      <c r="K33" s="539"/>
      <c r="L33" s="3513" t="s">
        <v>3457</v>
      </c>
      <c r="M33" s="2492">
        <v>2022</v>
      </c>
      <c r="N33" s="3512" t="s">
        <v>3491</v>
      </c>
      <c r="O33" s="3512" t="s">
        <v>3492</v>
      </c>
      <c r="P33" s="3380"/>
      <c r="Q33" s="531" t="str">
        <f t="shared" si="11"/>
        <v>项目建筑规模</v>
      </c>
      <c r="R33" s="669" t="s">
        <v>14</v>
      </c>
      <c r="S33" s="670">
        <f t="shared" si="12"/>
        <v>108</v>
      </c>
      <c r="T33" s="669" t="s">
        <v>14</v>
      </c>
      <c r="U33" s="670">
        <f t="shared" si="13"/>
        <v>104</v>
      </c>
      <c r="V33" s="669" t="s">
        <v>14</v>
      </c>
      <c r="W33" s="670">
        <f t="shared" si="14"/>
        <v>106</v>
      </c>
      <c r="X33" s="671"/>
      <c r="Y33" s="3382"/>
      <c r="Z33" s="672" t="str">
        <f t="shared" si="15"/>
        <v>项目建筑规模</v>
      </c>
      <c r="AA33" s="1264">
        <f t="shared" si="3"/>
        <v>0.92592592592592593</v>
      </c>
      <c r="AB33" s="1264">
        <f t="shared" si="4"/>
        <v>0.96153846153846156</v>
      </c>
      <c r="AC33" s="1264">
        <f t="shared" si="5"/>
        <v>0.94339622641509435</v>
      </c>
    </row>
    <row r="34" spans="1:29" ht="15">
      <c r="A34" s="409"/>
      <c r="B34" s="364" t="s">
        <v>1698</v>
      </c>
      <c r="C34" s="399" t="s">
        <v>3426</v>
      </c>
      <c r="D34" s="374">
        <v>100</v>
      </c>
      <c r="E34" s="399" t="s">
        <v>3426</v>
      </c>
      <c r="F34" s="400">
        <f>SUMIF(105:105,E34,106:106)-SUMIF(105:105,C34,106:106)+100</f>
        <v>100</v>
      </c>
      <c r="G34" s="399" t="s">
        <v>3426</v>
      </c>
      <c r="H34" s="374">
        <f>SUMIF(105:105,G34,106:106)-SUMIF(105:105,C34,106:106)+100</f>
        <v>100</v>
      </c>
      <c r="I34" s="399" t="s">
        <v>3426</v>
      </c>
      <c r="J34" s="374">
        <f>SUMIF(105:105,I34,106:106)-SUMIF(105:105,C34,106:106)+100</f>
        <v>100</v>
      </c>
      <c r="K34" s="538">
        <v>2</v>
      </c>
      <c r="L34" s="3511" t="s">
        <v>3494</v>
      </c>
      <c r="M34" s="2486">
        <f>ROUND(1-(1-0)*(2025-M33)/60,2)</f>
        <v>0.95</v>
      </c>
      <c r="N34" s="2486"/>
      <c r="O34" s="2486"/>
      <c r="P34" s="3380"/>
      <c r="Q34" s="1263" t="str">
        <f t="shared" si="11"/>
        <v>建筑结构</v>
      </c>
      <c r="R34" s="667" t="s">
        <v>14</v>
      </c>
      <c r="S34" s="668">
        <f t="shared" si="12"/>
        <v>100</v>
      </c>
      <c r="T34" s="667" t="s">
        <v>14</v>
      </c>
      <c r="U34" s="668">
        <f t="shared" si="13"/>
        <v>100</v>
      </c>
      <c r="V34" s="667" t="s">
        <v>14</v>
      </c>
      <c r="W34" s="668">
        <f t="shared" si="14"/>
        <v>100</v>
      </c>
      <c r="X34" s="1265"/>
      <c r="Y34" s="3382"/>
      <c r="Z34" s="1264" t="str">
        <f t="shared" si="15"/>
        <v>建筑结构</v>
      </c>
      <c r="AA34" s="1264">
        <f t="shared" si="3"/>
        <v>1</v>
      </c>
      <c r="AB34" s="1264">
        <f t="shared" si="4"/>
        <v>1</v>
      </c>
      <c r="AC34" s="1264">
        <f t="shared" si="5"/>
        <v>1</v>
      </c>
    </row>
    <row r="35" spans="1:29" ht="28.8">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3511" t="s">
        <v>3495</v>
      </c>
      <c r="M35" s="2486">
        <f>M33-2+40-2025</f>
        <v>35</v>
      </c>
      <c r="N35" s="2486"/>
      <c r="O35" s="2486"/>
      <c r="P35" s="3380"/>
      <c r="Q35" s="1263" t="str">
        <f t="shared" si="11"/>
        <v>公共部分装修</v>
      </c>
      <c r="R35" s="667" t="s">
        <v>14</v>
      </c>
      <c r="S35" s="668">
        <f t="shared" si="12"/>
        <v>100</v>
      </c>
      <c r="T35" s="667" t="s">
        <v>14</v>
      </c>
      <c r="U35" s="668">
        <f t="shared" si="13"/>
        <v>100</v>
      </c>
      <c r="V35" s="667" t="s">
        <v>14</v>
      </c>
      <c r="W35" s="668">
        <f t="shared" si="14"/>
        <v>100</v>
      </c>
      <c r="X35" s="1265"/>
      <c r="Y35" s="3382"/>
      <c r="Z35" s="1264" t="str">
        <f t="shared" si="15"/>
        <v>公共部分装修</v>
      </c>
      <c r="AA35" s="1264">
        <f t="shared" si="3"/>
        <v>1</v>
      </c>
      <c r="AB35" s="1264">
        <f t="shared" si="4"/>
        <v>1</v>
      </c>
      <c r="AC35" s="1264">
        <f t="shared" si="5"/>
        <v>1</v>
      </c>
    </row>
    <row r="36" spans="1:29" ht="15">
      <c r="A36" s="409"/>
      <c r="B36" s="364" t="s">
        <v>1786</v>
      </c>
      <c r="C36" s="411">
        <f>'数据-取费表'!N6</f>
        <v>0.67</v>
      </c>
      <c r="D36" s="374">
        <v>100</v>
      </c>
      <c r="E36" s="411">
        <f>M28</f>
        <v>0.65</v>
      </c>
      <c r="F36" s="400">
        <f>LOOKUP(E36,110:110,111:111)-LOOKUP(C36,110:110,111:111)+100</f>
        <v>100</v>
      </c>
      <c r="G36" s="411">
        <f>M31</f>
        <v>0.92</v>
      </c>
      <c r="H36" s="400">
        <f>LOOKUP(G36,110:110,111:111)-LOOKUP(C36,110:110,111:111)+100</f>
        <v>103</v>
      </c>
      <c r="I36" s="411">
        <f>M34</f>
        <v>0.95</v>
      </c>
      <c r="J36" s="374">
        <f>LOOKUP(I36,110:110,111:111)-LOOKUP(C36,110:110,111:111)+100</f>
        <v>103</v>
      </c>
      <c r="K36" s="538">
        <v>1</v>
      </c>
      <c r="L36" s="2491"/>
      <c r="M36" s="2486"/>
      <c r="N36" s="2486"/>
      <c r="O36" s="2486"/>
      <c r="P36" s="3380"/>
      <c r="Q36" s="1263" t="str">
        <f t="shared" si="11"/>
        <v>成新度</v>
      </c>
      <c r="R36" s="667" t="s">
        <v>14</v>
      </c>
      <c r="S36" s="668">
        <f t="shared" si="12"/>
        <v>100</v>
      </c>
      <c r="T36" s="667" t="s">
        <v>14</v>
      </c>
      <c r="U36" s="668">
        <f t="shared" si="13"/>
        <v>103</v>
      </c>
      <c r="V36" s="667" t="s">
        <v>14</v>
      </c>
      <c r="W36" s="668">
        <f t="shared" si="14"/>
        <v>103</v>
      </c>
      <c r="X36" s="1265"/>
      <c r="Y36" s="3382"/>
      <c r="Z36" s="1264" t="str">
        <f t="shared" si="15"/>
        <v>成新度</v>
      </c>
      <c r="AA36" s="1264">
        <f t="shared" si="3"/>
        <v>1</v>
      </c>
      <c r="AB36" s="1264">
        <f t="shared" si="4"/>
        <v>0.970873786407767</v>
      </c>
      <c r="AC36" s="1264">
        <f t="shared" si="5"/>
        <v>0.970873786407767</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v>1</v>
      </c>
      <c r="L37" s="2487"/>
      <c r="M37" s="2439"/>
      <c r="N37" s="2439"/>
      <c r="O37" s="2439"/>
      <c r="P37" s="3380"/>
      <c r="Q37" s="530" t="str">
        <f t="shared" si="11"/>
        <v>市政基础设施</v>
      </c>
      <c r="R37" s="664" t="s">
        <v>14</v>
      </c>
      <c r="S37" s="665">
        <f t="shared" si="12"/>
        <v>100</v>
      </c>
      <c r="T37" s="664" t="s">
        <v>14</v>
      </c>
      <c r="U37" s="665">
        <f t="shared" si="13"/>
        <v>100</v>
      </c>
      <c r="V37" s="664" t="s">
        <v>14</v>
      </c>
      <c r="W37" s="665">
        <f t="shared" si="14"/>
        <v>100</v>
      </c>
      <c r="X37" s="666"/>
      <c r="Y37" s="3382"/>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v>5</v>
      </c>
      <c r="L38" s="2491"/>
      <c r="M38" s="2486"/>
      <c r="N38" s="2486"/>
      <c r="O38" s="2486"/>
      <c r="P38" s="3380" t="s">
        <v>1696</v>
      </c>
      <c r="Q38" s="1263" t="str">
        <f t="shared" si="11"/>
        <v>业态</v>
      </c>
      <c r="R38" s="667" t="s">
        <v>14</v>
      </c>
      <c r="S38" s="668">
        <f t="shared" si="12"/>
        <v>100</v>
      </c>
      <c r="T38" s="667" t="s">
        <v>14</v>
      </c>
      <c r="U38" s="668">
        <f t="shared" si="13"/>
        <v>100</v>
      </c>
      <c r="V38" s="667" t="s">
        <v>14</v>
      </c>
      <c r="W38" s="668">
        <f t="shared" si="14"/>
        <v>100</v>
      </c>
      <c r="X38" s="1265"/>
      <c r="Y38" s="3382" t="s">
        <v>1696</v>
      </c>
      <c r="Z38" s="1264" t="str">
        <f t="shared" si="15"/>
        <v>业态</v>
      </c>
      <c r="AA38" s="1264">
        <f t="shared" si="3"/>
        <v>1</v>
      </c>
      <c r="AB38" s="1264">
        <f t="shared" si="4"/>
        <v>1</v>
      </c>
      <c r="AC38" s="1264">
        <f t="shared" si="5"/>
        <v>1</v>
      </c>
    </row>
    <row r="39" spans="1:29" ht="15">
      <c r="A39" s="409"/>
      <c r="B39" s="364" t="s">
        <v>1789</v>
      </c>
      <c r="C39" s="1760" t="s">
        <v>3465</v>
      </c>
      <c r="D39" s="374">
        <v>100</v>
      </c>
      <c r="E39" s="1760" t="s">
        <v>3465</v>
      </c>
      <c r="F39" s="400">
        <f>SUMIF(116:116,E39,117:117)-SUMIF(116:116,C39,117:117)+100</f>
        <v>100</v>
      </c>
      <c r="G39" s="1760" t="s">
        <v>3465</v>
      </c>
      <c r="H39" s="374">
        <f>SUMIF(116:116,G39,117:117)-SUMIF(116:116,C39,117:117)+100</f>
        <v>100</v>
      </c>
      <c r="I39" s="1760" t="s">
        <v>3452</v>
      </c>
      <c r="J39" s="374">
        <f>SUMIF(116:116,I39,117:117)-SUMIF(116:116,C39,117:117)+100</f>
        <v>104</v>
      </c>
      <c r="K39" s="538">
        <v>4</v>
      </c>
      <c r="L39" s="2491"/>
      <c r="M39" s="2486"/>
      <c r="N39" s="2486"/>
      <c r="O39" s="2486"/>
      <c r="P39" s="3380"/>
      <c r="Q39" s="1263" t="str">
        <f t="shared" si="11"/>
        <v>层高</v>
      </c>
      <c r="R39" s="667" t="s">
        <v>14</v>
      </c>
      <c r="S39" s="668">
        <f t="shared" si="12"/>
        <v>100</v>
      </c>
      <c r="T39" s="667" t="s">
        <v>14</v>
      </c>
      <c r="U39" s="668">
        <f t="shared" si="13"/>
        <v>100</v>
      </c>
      <c r="V39" s="667" t="s">
        <v>14</v>
      </c>
      <c r="W39" s="668">
        <f t="shared" si="14"/>
        <v>104</v>
      </c>
      <c r="X39" s="1265"/>
      <c r="Y39" s="3382"/>
      <c r="Z39" s="1264" t="str">
        <f t="shared" si="15"/>
        <v>层高</v>
      </c>
      <c r="AA39" s="1264">
        <f t="shared" si="3"/>
        <v>1</v>
      </c>
      <c r="AB39" s="1264">
        <f t="shared" si="4"/>
        <v>1</v>
      </c>
      <c r="AC39" s="1264">
        <f t="shared" si="5"/>
        <v>0.96153846153846156</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80"/>
      <c r="Q40" s="1263" t="str">
        <f t="shared" si="11"/>
        <v>单套建筑面积</v>
      </c>
      <c r="R40" s="667" t="s">
        <v>14</v>
      </c>
      <c r="S40" s="668">
        <f t="shared" si="12"/>
        <v>100</v>
      </c>
      <c r="T40" s="667" t="s">
        <v>14</v>
      </c>
      <c r="U40" s="668">
        <f t="shared" si="13"/>
        <v>100</v>
      </c>
      <c r="V40" s="667" t="s">
        <v>14</v>
      </c>
      <c r="W40" s="668">
        <f t="shared" si="14"/>
        <v>100</v>
      </c>
      <c r="X40" s="1265"/>
      <c r="Y40" s="338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80"/>
      <c r="Q41" s="531" t="str">
        <f t="shared" si="11"/>
        <v>进深比</v>
      </c>
      <c r="R41" s="669" t="s">
        <v>14</v>
      </c>
      <c r="S41" s="670">
        <f t="shared" si="12"/>
        <v>100</v>
      </c>
      <c r="T41" s="669" t="s">
        <v>14</v>
      </c>
      <c r="U41" s="670">
        <f t="shared" si="13"/>
        <v>100</v>
      </c>
      <c r="V41" s="669" t="s">
        <v>14</v>
      </c>
      <c r="W41" s="670">
        <f t="shared" si="14"/>
        <v>100</v>
      </c>
      <c r="X41" s="671"/>
      <c r="Y41" s="3382"/>
      <c r="Z41" s="672" t="str">
        <f t="shared" si="15"/>
        <v>进深比</v>
      </c>
      <c r="AA41" s="1264">
        <f t="shared" si="3"/>
        <v>1</v>
      </c>
      <c r="AB41" s="1264">
        <f t="shared" si="4"/>
        <v>1</v>
      </c>
      <c r="AC41" s="1264">
        <f t="shared" si="5"/>
        <v>1</v>
      </c>
    </row>
    <row r="42" spans="1:29" ht="15">
      <c r="A42" s="409"/>
      <c r="B42" s="364" t="s">
        <v>1792</v>
      </c>
      <c r="C42" s="1760" t="s">
        <v>3469</v>
      </c>
      <c r="D42" s="374">
        <v>100</v>
      </c>
      <c r="E42" s="1760" t="s">
        <v>3471</v>
      </c>
      <c r="F42" s="400">
        <f>SUMIF(122:122,E42,123:123)-SUMIF(122:122,C42,123:123)+100</f>
        <v>99</v>
      </c>
      <c r="G42" s="1760" t="s">
        <v>3467</v>
      </c>
      <c r="H42" s="374">
        <f>SUMIF(122:122,G42,123:123)-SUMIF(122:122,C42,123:123)+100</f>
        <v>101</v>
      </c>
      <c r="I42" s="1760" t="s">
        <v>3467</v>
      </c>
      <c r="J42" s="374">
        <f>SUMIF(122:122,I42,123:123)-SUMIF(122:122,C42,123:123)+100</f>
        <v>101</v>
      </c>
      <c r="K42" s="538">
        <v>1</v>
      </c>
      <c r="L42" s="2491"/>
      <c r="M42" s="2486"/>
      <c r="N42" s="2486"/>
      <c r="O42" s="2486"/>
      <c r="P42" s="3380"/>
      <c r="Q42" s="1263" t="str">
        <f t="shared" si="11"/>
        <v>内部装修</v>
      </c>
      <c r="R42" s="667" t="s">
        <v>14</v>
      </c>
      <c r="S42" s="668">
        <f t="shared" si="12"/>
        <v>99</v>
      </c>
      <c r="T42" s="667" t="s">
        <v>14</v>
      </c>
      <c r="U42" s="668">
        <f t="shared" si="13"/>
        <v>101</v>
      </c>
      <c r="V42" s="667" t="s">
        <v>14</v>
      </c>
      <c r="W42" s="668">
        <f t="shared" si="14"/>
        <v>101</v>
      </c>
      <c r="X42" s="1265"/>
      <c r="Y42" s="3382"/>
      <c r="Z42" s="1264" t="str">
        <f t="shared" si="15"/>
        <v>内部装修</v>
      </c>
      <c r="AA42" s="1264">
        <f t="shared" si="3"/>
        <v>1.0101010101010102</v>
      </c>
      <c r="AB42" s="1264">
        <f t="shared" si="4"/>
        <v>0.99009900990099009</v>
      </c>
      <c r="AC42" s="1264">
        <f t="shared" si="5"/>
        <v>0.99009900990099009</v>
      </c>
    </row>
    <row r="43" spans="1:29" ht="28.8">
      <c r="A43" s="409"/>
      <c r="B43" s="364" t="s">
        <v>1707</v>
      </c>
      <c r="C43" s="1760" t="s">
        <v>3444</v>
      </c>
      <c r="D43" s="374">
        <v>100</v>
      </c>
      <c r="E43" s="1760" t="s">
        <v>3444</v>
      </c>
      <c r="F43" s="400">
        <f>SUMIF(124:124,E43,125:125)-SUMIF(124:124,C43,125:125)+100</f>
        <v>100</v>
      </c>
      <c r="G43" s="1760" t="s">
        <v>3444</v>
      </c>
      <c r="H43" s="374">
        <f>SUMIF(124:124,G43,125:125)-SUMIF(124:124,C43,125:125)+100</f>
        <v>100</v>
      </c>
      <c r="I43" s="1760" t="s">
        <v>3444</v>
      </c>
      <c r="J43" s="374">
        <f>SUMIF(124:124,I43,125:125)-SUMIF(124:124,C43,125:125)+100</f>
        <v>100</v>
      </c>
      <c r="K43" s="538">
        <v>2</v>
      </c>
      <c r="L43" s="2491"/>
      <c r="M43" s="2486"/>
      <c r="N43" s="2486"/>
      <c r="O43" s="2486"/>
      <c r="P43" s="3380"/>
      <c r="Q43" s="1263" t="str">
        <f t="shared" si="11"/>
        <v>内部装修维护情况</v>
      </c>
      <c r="R43" s="667" t="s">
        <v>14</v>
      </c>
      <c r="S43" s="668">
        <f t="shared" si="12"/>
        <v>100</v>
      </c>
      <c r="T43" s="667" t="s">
        <v>14</v>
      </c>
      <c r="U43" s="668">
        <f t="shared" si="13"/>
        <v>100</v>
      </c>
      <c r="V43" s="667" t="s">
        <v>14</v>
      </c>
      <c r="W43" s="668">
        <f t="shared" si="14"/>
        <v>100</v>
      </c>
      <c r="X43" s="1265"/>
      <c r="Y43" s="338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80"/>
      <c r="Q44" s="530">
        <f t="shared" si="11"/>
        <v>111</v>
      </c>
      <c r="R44" s="664" t="s">
        <v>14</v>
      </c>
      <c r="S44" s="665">
        <f t="shared" si="12"/>
        <v>100</v>
      </c>
      <c r="T44" s="664" t="s">
        <v>14</v>
      </c>
      <c r="U44" s="665">
        <f t="shared" si="13"/>
        <v>100</v>
      </c>
      <c r="V44" s="664" t="s">
        <v>14</v>
      </c>
      <c r="W44" s="665">
        <f t="shared" si="14"/>
        <v>100</v>
      </c>
      <c r="X44" s="666"/>
      <c r="Y44" s="338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80"/>
      <c r="Q45" s="1263">
        <f t="shared" si="11"/>
        <v>111</v>
      </c>
      <c r="R45" s="667" t="s">
        <v>14</v>
      </c>
      <c r="S45" s="668">
        <f t="shared" si="12"/>
        <v>100</v>
      </c>
      <c r="T45" s="667" t="s">
        <v>14</v>
      </c>
      <c r="U45" s="668">
        <f t="shared" si="13"/>
        <v>100</v>
      </c>
      <c r="V45" s="667" t="s">
        <v>14</v>
      </c>
      <c r="W45" s="668">
        <f t="shared" si="14"/>
        <v>100</v>
      </c>
      <c r="X45" s="1265"/>
      <c r="Y45" s="3382"/>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81"/>
      <c r="Q46" s="1263">
        <f t="shared" si="11"/>
        <v>111</v>
      </c>
      <c r="R46" s="667" t="s">
        <v>14</v>
      </c>
      <c r="S46" s="668">
        <f t="shared" si="12"/>
        <v>100</v>
      </c>
      <c r="T46" s="667" t="s">
        <v>14</v>
      </c>
      <c r="U46" s="668">
        <f t="shared" si="13"/>
        <v>100</v>
      </c>
      <c r="V46" s="667" t="s">
        <v>14</v>
      </c>
      <c r="W46" s="668">
        <f t="shared" si="14"/>
        <v>100</v>
      </c>
      <c r="X46" s="1265"/>
      <c r="Y46" s="3383"/>
      <c r="Z46" s="1264">
        <f t="shared" si="15"/>
        <v>111</v>
      </c>
      <c r="AA46" s="1264">
        <f t="shared" si="3"/>
        <v>1</v>
      </c>
      <c r="AB46" s="1264">
        <f t="shared" si="4"/>
        <v>1</v>
      </c>
      <c r="AC46" s="1264">
        <f t="shared" si="5"/>
        <v>1</v>
      </c>
    </row>
    <row r="47" spans="1:29" ht="14.4">
      <c r="A47" s="416" t="s">
        <v>1708</v>
      </c>
      <c r="B47" s="417"/>
      <c r="C47" s="1081" t="s">
        <v>0</v>
      </c>
      <c r="D47" s="418"/>
      <c r="E47" s="419">
        <f>案例!O5</f>
        <v>70073</v>
      </c>
      <c r="F47" s="420"/>
      <c r="G47" s="421">
        <f>案例!P41</f>
        <v>69905</v>
      </c>
      <c r="H47" s="422"/>
      <c r="I47" s="419">
        <f>案例!P71</f>
        <v>65485</v>
      </c>
      <c r="J47" s="422"/>
      <c r="K47" s="674"/>
      <c r="L47" s="2493"/>
      <c r="M47" s="2486"/>
      <c r="N47" s="2486"/>
      <c r="O47" s="2486"/>
      <c r="P47" s="3375" t="str">
        <f>A47</f>
        <v>成交单价（元/平方米）</v>
      </c>
      <c r="Q47" s="3375"/>
      <c r="R47" s="3376">
        <f>E47</f>
        <v>70073</v>
      </c>
      <c r="S47" s="3376"/>
      <c r="T47" s="3376">
        <f>G47</f>
        <v>69905</v>
      </c>
      <c r="U47" s="3376"/>
      <c r="V47" s="3376">
        <f>I47</f>
        <v>65485</v>
      </c>
      <c r="W47" s="3376"/>
      <c r="X47" s="385"/>
      <c r="Y47" s="673"/>
      <c r="Z47" s="385"/>
      <c r="AA47" s="385"/>
      <c r="AB47" s="385"/>
      <c r="AC47" s="385"/>
    </row>
    <row r="48" spans="1:29" ht="15" thickBot="1">
      <c r="A48" s="423" t="s">
        <v>1793</v>
      </c>
      <c r="B48" s="424"/>
      <c r="C48" s="1082">
        <f>R49</f>
        <v>62194</v>
      </c>
      <c r="D48" s="2141" t="s">
        <v>2138</v>
      </c>
      <c r="E48" s="1083">
        <f>R48</f>
        <v>66978</v>
      </c>
      <c r="F48" s="2142"/>
      <c r="G48" s="1082">
        <f>T48</f>
        <v>63492</v>
      </c>
      <c r="H48" s="2142"/>
      <c r="I48" s="1083">
        <f>V48</f>
        <v>56111</v>
      </c>
      <c r="J48" s="2142"/>
      <c r="K48" s="2144">
        <f>F48+H48+J48</f>
        <v>0</v>
      </c>
      <c r="L48" s="2493"/>
      <c r="M48" s="2486"/>
      <c r="N48" s="2486"/>
      <c r="O48" s="2486"/>
      <c r="P48" s="3375" t="str">
        <f>A48</f>
        <v>比较价值（元/平方米）</v>
      </c>
      <c r="Q48" s="3375"/>
      <c r="R48" s="3376">
        <f>IF(F1="售价",ROUND(PRODUCT(R47,AA7:AA46),0),ROUND(PRODUCT(R47,AA7:AA46),1))</f>
        <v>66978</v>
      </c>
      <c r="S48" s="3376"/>
      <c r="T48" s="3376">
        <f>IF(F1="售价",ROUND(PRODUCT(T47,AB7:AB46),0),ROUND(PRODUCT(T47,AB7:AB46),1))</f>
        <v>63492</v>
      </c>
      <c r="U48" s="3376"/>
      <c r="V48" s="3376">
        <f>IF(F1="售价",ROUND(PRODUCT(V47,AC7:AC46),0),ROUND(PRODUCT(V47,AC7:AC46),1))</f>
        <v>56111</v>
      </c>
      <c r="W48" s="3376"/>
      <c r="X48" s="385"/>
      <c r="Y48" s="385"/>
      <c r="Z48" s="385"/>
      <c r="AA48" s="385"/>
      <c r="AB48" s="385"/>
      <c r="AC48" s="385"/>
    </row>
    <row r="49" spans="1:29" ht="15" thickBot="1">
      <c r="A49" s="427" t="s">
        <v>1794</v>
      </c>
      <c r="B49" s="428"/>
      <c r="C49" s="351">
        <f>R49</f>
        <v>62194</v>
      </c>
      <c r="D49" s="351"/>
      <c r="E49" s="351"/>
      <c r="F49" s="351"/>
      <c r="G49" s="351"/>
      <c r="H49" s="351"/>
      <c r="I49" s="351"/>
      <c r="J49" s="351"/>
      <c r="K49" s="675"/>
      <c r="L49" s="2493"/>
      <c r="M49" s="2486"/>
      <c r="N49" s="2486"/>
      <c r="O49" s="2486"/>
      <c r="P49" s="3372" t="str">
        <f>A49</f>
        <v>估价对象XX用房的比较价值（楼面单价，元/平方米）</v>
      </c>
      <c r="Q49" s="3373"/>
      <c r="R49" s="3374">
        <f>IF(F1="售价",ROUND(IF(D48="简单平均",AVERAGE(R48:V48),R48*F48+T48*H48+V48*J48),0),ROUND(IF(D48="简单平均",AVERAGE(R48:V48),R48*F48+T48*H48+V48*J48),1))</f>
        <v>62194</v>
      </c>
      <c r="S49" s="3374"/>
      <c r="T49" s="3374"/>
      <c r="U49" s="3374"/>
      <c r="V49" s="3374"/>
      <c r="W49" s="3374"/>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4.620920302188769E-2</v>
      </c>
      <c r="F52" s="435" t="str">
        <f>IF(OR(E52&gt;=0.3,E52&lt;=-0.3),"超过30%","")</f>
        <v/>
      </c>
      <c r="G52" s="434">
        <f>IF(G47&lt;G48,G48/G47-1,G47/G48-1)</f>
        <v>0.1010048510048509</v>
      </c>
      <c r="H52" s="435" t="str">
        <f>IF(OR(G52&gt;=0.3,G52&lt;=-0.3),"超过30%","")</f>
        <v/>
      </c>
      <c r="I52" s="434">
        <f>IF(I47&lt;I48,I48/I47-1,I47/I48-1)</f>
        <v>0.16706171695389505</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5.4904554904554814E-2</v>
      </c>
      <c r="F53" s="435" t="str">
        <f>IF(OR(E53&gt;=0.2,E53&lt;=-0.2),"超过20%","")</f>
        <v/>
      </c>
      <c r="G53" s="434">
        <f>IF(G48&lt;I48,I48/G48-1,G48/I48-1)</f>
        <v>0.13154283473828654</v>
      </c>
      <c r="H53" s="435" t="str">
        <f>IF(OR(G53&gt;=0.2,G53&lt;=-0.2),"超过20%","")</f>
        <v/>
      </c>
      <c r="I53" s="434">
        <f>IF(I48&lt;E48,E48/I48-1,I48/E48-1)</f>
        <v>0.19366969043503057</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2.4032615692726189E-3</v>
      </c>
      <c r="F54" s="435" t="str">
        <f>IF(OR(E54&gt;=0.3,E54&lt;=-0.3),"超过30%","")</f>
        <v/>
      </c>
      <c r="G54" s="434">
        <f>IF(G47&lt;I47,I47/G47-1,G47/I47-1)</f>
        <v>6.7496373215240046E-2</v>
      </c>
      <c r="H54" s="435" t="str">
        <f>IF(OR(G54&gt;=0.3,G54&lt;=-0.3),"超过30%","")</f>
        <v/>
      </c>
      <c r="I54" s="434">
        <f>IF(I47&lt;E47,E47/I47-1,I47/E47-1)</f>
        <v>7.0061846224326096E-2</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508" t="s">
        <v>3489</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v>103</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t="s">
        <v>3483</v>
      </c>
      <c r="D65" s="513" t="s">
        <v>3484</v>
      </c>
      <c r="E65" s="513" t="s">
        <v>3485</v>
      </c>
      <c r="F65" s="513" t="s">
        <v>3486</v>
      </c>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f t="shared" ref="C66:D66" si="17">D66-2</f>
        <v>94</v>
      </c>
      <c r="D66" s="467">
        <f t="shared" si="17"/>
        <v>96</v>
      </c>
      <c r="E66" s="467">
        <f>F66-2</f>
        <v>98</v>
      </c>
      <c r="F66" s="467">
        <v>100</v>
      </c>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0（含）-2</v>
      </c>
      <c r="D67" s="478" t="str">
        <f t="shared" ref="D67:L67" si="18">D68&amp;"（含）"&amp;"-"&amp;E68</f>
        <v>2（含）-</v>
      </c>
      <c r="E67" s="478" t="str">
        <f t="shared" si="18"/>
        <v>（含）-</v>
      </c>
      <c r="F67" s="478" t="str">
        <f t="shared" si="18"/>
        <v>（含）-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2</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97</v>
      </c>
      <c r="E77" s="475">
        <f>D77-$K15</f>
        <v>94</v>
      </c>
      <c r="F77" s="475">
        <f>E77-$K15</f>
        <v>91</v>
      </c>
      <c r="G77" s="475">
        <f>F77-$K15</f>
        <v>88</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99</v>
      </c>
      <c r="E83" s="475">
        <f t="shared" ref="E83:G83" si="20">D83-$K21</f>
        <v>98</v>
      </c>
      <c r="F83" s="475">
        <f t="shared" si="20"/>
        <v>97</v>
      </c>
      <c r="G83" s="475">
        <f t="shared" si="20"/>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3505" t="s">
        <v>3476</v>
      </c>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1">C87-$K25</f>
        <v>98</v>
      </c>
      <c r="E87" s="475">
        <f t="shared" si="21"/>
        <v>96</v>
      </c>
      <c r="F87" s="475">
        <f t="shared" si="21"/>
        <v>94</v>
      </c>
      <c r="G87" s="475">
        <f t="shared" si="21"/>
        <v>92</v>
      </c>
      <c r="H87" s="475">
        <f t="shared" si="21"/>
        <v>90</v>
      </c>
      <c r="I87" s="475">
        <f t="shared" si="21"/>
        <v>88</v>
      </c>
      <c r="J87" s="475">
        <f t="shared" si="21"/>
        <v>86</v>
      </c>
      <c r="K87" s="475">
        <f t="shared" si="21"/>
        <v>84</v>
      </c>
      <c r="L87" s="475">
        <f t="shared" si="21"/>
        <v>82</v>
      </c>
      <c r="M87" s="475">
        <f t="shared" si="21"/>
        <v>80</v>
      </c>
      <c r="N87" s="2521"/>
      <c r="O87" s="2521"/>
      <c r="P87" s="2512"/>
      <c r="Q87" s="2507"/>
      <c r="R87" s="2439"/>
      <c r="S87" s="2439"/>
      <c r="T87" s="2439"/>
      <c r="U87" s="2439"/>
      <c r="V87" s="2439"/>
      <c r="W87" s="2439"/>
      <c r="X87" s="2439"/>
      <c r="Y87" s="2439"/>
      <c r="Z87" s="2439"/>
      <c r="AA87" s="2439"/>
      <c r="AB87" s="2439"/>
      <c r="AC87" s="2439"/>
    </row>
    <row r="88" spans="1:29" s="102" customFormat="1" ht="15" thickTop="1">
      <c r="A88" s="370"/>
      <c r="B88" s="469" t="str">
        <f>B26</f>
        <v>平面位置/可视性</v>
      </c>
      <c r="C88" s="3505" t="s">
        <v>3474</v>
      </c>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5" thickTop="1">
      <c r="A90" s="484"/>
      <c r="B90" s="469" t="str">
        <f>B27</f>
        <v>人流量</v>
      </c>
      <c r="C90" s="3505" t="s">
        <v>3477</v>
      </c>
      <c r="D90" s="3505" t="s">
        <v>3479</v>
      </c>
      <c r="E90" s="3505" t="s">
        <v>3480</v>
      </c>
      <c r="F90" s="3505" t="s">
        <v>3481</v>
      </c>
      <c r="G90" s="3505" t="s">
        <v>3482</v>
      </c>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95</v>
      </c>
      <c r="E91" s="475">
        <f t="shared" ref="E91:M91" si="22">D91-$K27</f>
        <v>90</v>
      </c>
      <c r="F91" s="475">
        <f t="shared" si="22"/>
        <v>85</v>
      </c>
      <c r="G91" s="475">
        <f t="shared" si="22"/>
        <v>80</v>
      </c>
      <c r="H91" s="475">
        <f t="shared" si="22"/>
        <v>75</v>
      </c>
      <c r="I91" s="475">
        <f t="shared" si="22"/>
        <v>70</v>
      </c>
      <c r="J91" s="475">
        <f t="shared" si="22"/>
        <v>65</v>
      </c>
      <c r="K91" s="475">
        <f t="shared" si="22"/>
        <v>60</v>
      </c>
      <c r="L91" s="475">
        <f t="shared" si="22"/>
        <v>55</v>
      </c>
      <c r="M91" s="475">
        <f t="shared" si="22"/>
        <v>50</v>
      </c>
      <c r="N91" s="2522"/>
      <c r="O91" s="2522"/>
      <c r="P91" s="2513"/>
      <c r="Q91" s="2514"/>
      <c r="R91" s="2492"/>
      <c r="S91" s="2492"/>
      <c r="T91" s="2492"/>
      <c r="U91" s="2492"/>
      <c r="V91" s="2492"/>
      <c r="W91" s="2492"/>
      <c r="X91" s="2492"/>
      <c r="Y91" s="2492"/>
      <c r="Z91" s="2492"/>
      <c r="AA91" s="2492"/>
      <c r="AB91" s="2492"/>
      <c r="AC91" s="2492"/>
    </row>
    <row r="92" spans="1:29" ht="15" thickTop="1">
      <c r="A92" s="367"/>
      <c r="B92" s="469" t="str">
        <f>B28</f>
        <v>楼层</v>
      </c>
      <c r="C92" s="485" t="s">
        <v>3500</v>
      </c>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v>100</v>
      </c>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3514" t="s">
        <v>3498</v>
      </c>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0(含)-50</v>
      </c>
      <c r="D102" s="509" t="str">
        <f t="shared" ref="D102:L102" si="24">D103&amp;"(含)"&amp;"-"&amp;E103</f>
        <v>50(含)-100</v>
      </c>
      <c r="E102" s="509" t="str">
        <f t="shared" si="24"/>
        <v>100(含)-200</v>
      </c>
      <c r="F102" s="509" t="str">
        <f t="shared" si="24"/>
        <v>200(含)-400</v>
      </c>
      <c r="G102" s="509" t="str">
        <f t="shared" si="24"/>
        <v>400(含)-600</v>
      </c>
      <c r="H102" s="509" t="str">
        <f t="shared" si="24"/>
        <v>600(含)-</v>
      </c>
      <c r="I102" s="509" t="str">
        <f t="shared" si="24"/>
        <v>(含)-</v>
      </c>
      <c r="J102" s="509" t="str">
        <f t="shared" si="24"/>
        <v>(含)-</v>
      </c>
      <c r="K102" s="509" t="str">
        <f t="shared" si="24"/>
        <v>(含)-</v>
      </c>
      <c r="L102" s="509" t="str">
        <f t="shared" si="24"/>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50</v>
      </c>
      <c r="E103" s="6">
        <v>100</v>
      </c>
      <c r="F103" s="6">
        <v>200</v>
      </c>
      <c r="G103" s="6">
        <v>400</v>
      </c>
      <c r="H103" s="6">
        <v>600</v>
      </c>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v>100</v>
      </c>
      <c r="D104" s="467">
        <f>C104-2</f>
        <v>98</v>
      </c>
      <c r="E104" s="467">
        <f t="shared" ref="E104:H104" si="25">D104-2</f>
        <v>96</v>
      </c>
      <c r="F104" s="467">
        <f t="shared" si="25"/>
        <v>94</v>
      </c>
      <c r="G104" s="467">
        <f t="shared" si="25"/>
        <v>92</v>
      </c>
      <c r="H104" s="467">
        <f t="shared" si="25"/>
        <v>90</v>
      </c>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3505" t="s">
        <v>3509</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6">C106-$K34</f>
        <v>98</v>
      </c>
      <c r="E106" s="475">
        <f t="shared" si="26"/>
        <v>96</v>
      </c>
      <c r="F106" s="475">
        <f t="shared" si="26"/>
        <v>94</v>
      </c>
      <c r="G106" s="475">
        <f t="shared" si="26"/>
        <v>92</v>
      </c>
      <c r="H106" s="475">
        <f t="shared" si="26"/>
        <v>90</v>
      </c>
      <c r="I106" s="475">
        <f t="shared" si="26"/>
        <v>88</v>
      </c>
      <c r="J106" s="475">
        <f t="shared" si="26"/>
        <v>86</v>
      </c>
      <c r="K106" s="475">
        <f t="shared" si="26"/>
        <v>84</v>
      </c>
      <c r="L106" s="475">
        <f t="shared" si="26"/>
        <v>82</v>
      </c>
      <c r="M106" s="476">
        <f t="shared" si="26"/>
        <v>80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3505" t="s">
        <v>3462</v>
      </c>
      <c r="D114" s="3505" t="s">
        <v>3463</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30">C115-$K38</f>
        <v>95</v>
      </c>
      <c r="E115" s="475">
        <f t="shared" si="30"/>
        <v>90</v>
      </c>
      <c r="F115" s="475">
        <f t="shared" si="30"/>
        <v>85</v>
      </c>
      <c r="G115" s="475">
        <f t="shared" si="30"/>
        <v>80</v>
      </c>
      <c r="H115" s="475">
        <f t="shared" si="30"/>
        <v>75</v>
      </c>
      <c r="I115" s="475">
        <f t="shared" si="30"/>
        <v>70</v>
      </c>
      <c r="J115" s="475">
        <f t="shared" si="30"/>
        <v>65</v>
      </c>
      <c r="K115" s="475">
        <f t="shared" si="30"/>
        <v>60</v>
      </c>
      <c r="L115" s="475">
        <f t="shared" si="30"/>
        <v>55</v>
      </c>
      <c r="M115" s="476">
        <f t="shared" si="30"/>
        <v>50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3506" t="s">
        <v>3464</v>
      </c>
      <c r="D116" s="3505" t="s">
        <v>3466</v>
      </c>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96</v>
      </c>
      <c r="E117" s="475">
        <f>D117-$K39</f>
        <v>92</v>
      </c>
      <c r="F117" s="475">
        <f>E117-$K39</f>
        <v>88</v>
      </c>
      <c r="G117" s="475">
        <f>F117-$K39</f>
        <v>84</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3505" t="s">
        <v>3468</v>
      </c>
      <c r="D122" s="3505" t="s">
        <v>3470</v>
      </c>
      <c r="E122" s="3505" t="s">
        <v>3472</v>
      </c>
      <c r="F122" s="3507" t="s">
        <v>3473</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2">C123-$K42</f>
        <v>99</v>
      </c>
      <c r="E123" s="475">
        <f t="shared" si="32"/>
        <v>98</v>
      </c>
      <c r="F123" s="475">
        <f t="shared" si="32"/>
        <v>97</v>
      </c>
      <c r="G123" s="475">
        <f t="shared" si="32"/>
        <v>96</v>
      </c>
      <c r="H123" s="475">
        <f t="shared" si="32"/>
        <v>95</v>
      </c>
      <c r="I123" s="475">
        <f t="shared" si="32"/>
        <v>94</v>
      </c>
      <c r="J123" s="475">
        <f t="shared" si="32"/>
        <v>93</v>
      </c>
      <c r="K123" s="475">
        <f t="shared" si="32"/>
        <v>92</v>
      </c>
      <c r="L123" s="475">
        <f t="shared" si="32"/>
        <v>91</v>
      </c>
      <c r="M123" s="476">
        <f t="shared" si="32"/>
        <v>90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cfRule type="containsText" dxfId="126" priority="17" stopIfTrue="1" operator="containsText" text="超过">
      <formula>NOT(ISERROR(SEARCH("超过",F52)))</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G54">
    <cfRule type="expression" dxfId="123" priority="13"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conditionalFormatting sqref="J52:J54">
    <cfRule type="containsText" dxfId="11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M10" sqref="M10"/>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673</v>
      </c>
      <c r="D1" s="1271" t="s">
        <v>43</v>
      </c>
      <c r="E1" s="1272" t="s">
        <v>678</v>
      </c>
      <c r="F1" s="999">
        <f ca="1">J53</f>
        <v>18</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1967.4022</v>
      </c>
      <c r="C2" s="1289" t="s">
        <v>879</v>
      </c>
      <c r="D2" s="1375">
        <f ca="1">C40+J29+L46</f>
        <v>19674022</v>
      </c>
      <c r="E2" s="1295" t="s">
        <v>880</v>
      </c>
      <c r="F2" s="1296"/>
      <c r="G2" s="2477"/>
      <c r="H2" s="2467"/>
      <c r="I2" s="2467"/>
      <c r="J2" s="2467"/>
      <c r="K2" s="2468"/>
      <c r="L2" s="2467"/>
      <c r="M2" s="2467"/>
    </row>
    <row r="3" spans="1:37" ht="18" customHeight="1" thickBot="1">
      <c r="A3" s="1297" t="s">
        <v>881</v>
      </c>
      <c r="B3" s="1298">
        <f ca="1">IF(ISERROR(D2/F43),0,ROUND(D2/F43,0))</f>
        <v>34101</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1846381</v>
      </c>
      <c r="D5" s="1273" t="s">
        <v>889</v>
      </c>
      <c r="E5" s="1008"/>
      <c r="F5" s="1009"/>
      <c r="G5" s="1292"/>
      <c r="H5" s="291">
        <v>1</v>
      </c>
      <c r="I5" s="292" t="s">
        <v>888</v>
      </c>
      <c r="J5" s="1007">
        <f ca="1">J6+J10+J12</f>
        <v>0</v>
      </c>
      <c r="K5" s="1273" t="s">
        <v>889</v>
      </c>
      <c r="L5" s="1008"/>
      <c r="M5" s="1009"/>
    </row>
    <row r="6" spans="1:37" ht="18" customHeight="1">
      <c r="A6" s="1006" t="s">
        <v>398</v>
      </c>
      <c r="B6" s="3348" t="s">
        <v>694</v>
      </c>
      <c r="C6" s="1011">
        <f ca="1">ROUND(F6*F8*F7*(1-F9),0)</f>
        <v>1844076</v>
      </c>
      <c r="D6" s="147" t="s">
        <v>2106</v>
      </c>
      <c r="E6" s="294" t="s">
        <v>696</v>
      </c>
      <c r="F6" s="295">
        <f ca="1">INDIRECT("'数据-取费表'!u"&amp;$G$1)</f>
        <v>9.73</v>
      </c>
      <c r="G6" s="1292"/>
      <c r="H6" s="1006" t="s">
        <v>398</v>
      </c>
      <c r="I6" s="3348" t="s">
        <v>694</v>
      </c>
      <c r="J6" s="293">
        <f ca="1">ROUND(M6*M8*M7*(1-M9),0)</f>
        <v>0</v>
      </c>
      <c r="K6" s="1284" t="s">
        <v>2107</v>
      </c>
      <c r="L6" s="294" t="s">
        <v>696</v>
      </c>
      <c r="M6" s="295">
        <f ca="1">INDIRECT("'数据-取费表'!z"&amp;$G$1)</f>
        <v>0</v>
      </c>
    </row>
    <row r="7" spans="1:37" ht="18" customHeight="1">
      <c r="A7" s="1010"/>
      <c r="B7" s="3349"/>
      <c r="C7" s="1012"/>
      <c r="D7" s="299"/>
      <c r="E7" s="1013" t="s">
        <v>697</v>
      </c>
      <c r="F7" s="295">
        <f ca="1">IF(INDIRECT("'数据-取费表'!ah"&amp;$G$1)="",INDIRECT("'数据-取费表'!k"&amp;$G$1),INDIRECT("'数据-取费表'!ah"&amp;$G$1))</f>
        <v>576.94000000000005</v>
      </c>
      <c r="G7" s="1292"/>
      <c r="H7" s="296"/>
      <c r="I7" s="3349"/>
      <c r="J7" s="298"/>
      <c r="K7" s="299"/>
      <c r="L7" s="294" t="s">
        <v>697</v>
      </c>
      <c r="M7" s="295">
        <f ca="1">F7</f>
        <v>576.94000000000005</v>
      </c>
    </row>
    <row r="8" spans="1:37" ht="18" customHeight="1">
      <c r="A8" s="296"/>
      <c r="B8" s="3349"/>
      <c r="C8" s="298"/>
      <c r="D8" s="299"/>
      <c r="E8" s="294" t="s">
        <v>698</v>
      </c>
      <c r="F8" s="295">
        <f ca="1">INDIRECT("'数据-取费表'!ai"&amp;$G$1)</f>
        <v>365</v>
      </c>
      <c r="G8" s="1292"/>
      <c r="H8" s="296"/>
      <c r="I8" s="3349"/>
      <c r="J8" s="298"/>
      <c r="K8" s="299"/>
      <c r="L8" s="294" t="s">
        <v>698</v>
      </c>
      <c r="M8" s="295">
        <f ca="1">INDIRECT("'数据-取费表'!ai"&amp;$G$1)</f>
        <v>365</v>
      </c>
    </row>
    <row r="9" spans="1:37" ht="18" customHeight="1">
      <c r="A9" s="296"/>
      <c r="B9" s="3350"/>
      <c r="C9" s="298"/>
      <c r="D9" s="299"/>
      <c r="E9" s="294" t="s">
        <v>699</v>
      </c>
      <c r="F9" s="304">
        <f ca="1">INDIRECT("'数据-取费表'!w"&amp;$G$1)</f>
        <v>0.1</v>
      </c>
      <c r="G9" s="1292"/>
      <c r="H9" s="296"/>
      <c r="I9" s="3350"/>
      <c r="J9" s="298"/>
      <c r="K9" s="299"/>
      <c r="L9" s="305" t="s">
        <v>699</v>
      </c>
      <c r="M9" s="306">
        <f ca="1">INDIRECT("'数据-取费表'!ab"&amp;$G$1)</f>
        <v>0</v>
      </c>
    </row>
    <row r="10" spans="1:37" ht="18" customHeight="1">
      <c r="A10" s="1006" t="s">
        <v>402</v>
      </c>
      <c r="B10" s="1274" t="s">
        <v>700</v>
      </c>
      <c r="C10" s="308">
        <f ca="1">ROUND(IF(F10="押一",C6/12*F11,IF(F10="押二",C6/12*2*F11,IF(F10="押三",C6/12*3*F11,C11*F11))),0)</f>
        <v>2305</v>
      </c>
      <c r="D10" s="150" t="s">
        <v>2116</v>
      </c>
      <c r="E10" s="305" t="s">
        <v>701</v>
      </c>
      <c r="F10" s="1053" t="s">
        <v>3437</v>
      </c>
      <c r="G10" s="1292"/>
      <c r="H10" s="1006" t="s">
        <v>402</v>
      </c>
      <c r="I10" s="1274" t="s">
        <v>700</v>
      </c>
      <c r="J10" s="293">
        <f ca="1">ROUND(IF(M10="押一",J6/12*M11,IF(M10="押二",J6/12*2*M11,IF(M10="押三",J6/12*3*M11,J11*M11))),0)</f>
        <v>0</v>
      </c>
      <c r="K10" s="1285" t="s">
        <v>2118</v>
      </c>
      <c r="L10" s="305" t="s">
        <v>701</v>
      </c>
      <c r="M10" s="1053" t="s">
        <v>3437</v>
      </c>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2257676</v>
      </c>
      <c r="D13" s="1018" t="s">
        <v>705</v>
      </c>
      <c r="E13" s="1018" t="s">
        <v>706</v>
      </c>
      <c r="F13" s="1019">
        <f ca="1">INDIRECT("'数据-取费表'!y"&amp;$G$1)</f>
        <v>0.67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2307760</v>
      </c>
      <c r="D14" s="1257" t="s">
        <v>708</v>
      </c>
      <c r="E14" s="1255"/>
      <c r="F14" s="311"/>
      <c r="G14" s="1292"/>
      <c r="H14" s="928" t="s">
        <v>398</v>
      </c>
      <c r="I14" s="294" t="s">
        <v>709</v>
      </c>
      <c r="J14" s="21">
        <f ca="1">C29</f>
        <v>3369666</v>
      </c>
      <c r="K14" s="12"/>
      <c r="L14" s="759"/>
      <c r="M14" s="760"/>
    </row>
    <row r="15" spans="1:37" s="1304" customFormat="1" ht="18" customHeight="1" thickBot="1">
      <c r="A15" s="928" t="s">
        <v>399</v>
      </c>
      <c r="B15" s="294" t="s">
        <v>710</v>
      </c>
      <c r="C15" s="21">
        <f ca="1">ROUND(C14*F15,0)</f>
        <v>115388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33697</v>
      </c>
      <c r="K16" s="1024" t="s">
        <v>715</v>
      </c>
      <c r="L16" s="1025"/>
      <c r="M16" s="1009"/>
    </row>
    <row r="17" spans="1:37" s="1304" customFormat="1" ht="18" customHeight="1">
      <c r="A17" s="928" t="s">
        <v>681</v>
      </c>
      <c r="B17" s="294" t="s">
        <v>716</v>
      </c>
      <c r="C17" s="21">
        <f ca="1">ROUND(F17*(F43+INDIRECT("'数据-取费表'!S"&amp;$G$1)),0)</f>
        <v>115388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46155</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2584691</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51694</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33697</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81728</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-33697</v>
      </c>
      <c r="K25" s="1032" t="s">
        <v>753</v>
      </c>
      <c r="L25" s="1033"/>
      <c r="M25" s="1034"/>
    </row>
    <row r="26" spans="1:37" ht="18" customHeight="1">
      <c r="A26" s="928" t="s">
        <v>397</v>
      </c>
      <c r="B26" s="294" t="s">
        <v>754</v>
      </c>
      <c r="C26" s="21">
        <f ca="1">ROUND((C19+C20)*F26,0)</f>
        <v>395458</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3369666</v>
      </c>
      <c r="D29" s="1029"/>
      <c r="E29" s="1027"/>
      <c r="F29" s="1030"/>
      <c r="G29" s="1303"/>
      <c r="H29" s="325" t="s">
        <v>396</v>
      </c>
      <c r="I29" s="326" t="s">
        <v>768</v>
      </c>
      <c r="J29" s="327">
        <f ca="1">ROUND(J26/(1+F40)^F41,0)</f>
        <v>0</v>
      </c>
      <c r="K29" s="328" t="s">
        <v>769</v>
      </c>
      <c r="L29" s="329"/>
      <c r="M29" s="330">
        <f ca="1">INDIRECT("'数据-取费表'!k"&amp;$G$1)</f>
        <v>576.94000000000005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361765</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307346</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IF(项目基本情况!B11="自然人","——",ROUND(C6*F32/(1+'数据-取费表'!C42),0))</f>
        <v>96594</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210752</v>
      </c>
      <c r="D33" s="1278" t="s">
        <v>3335</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3</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33697</v>
      </c>
      <c r="D36" s="1256" t="s">
        <v>771</v>
      </c>
      <c r="E36" s="294" t="s">
        <v>712</v>
      </c>
      <c r="F36" s="320">
        <f ca="1">INDIRECT("'数据-取费表'!Ak"&amp;$G$1)</f>
        <v>0.01</v>
      </c>
      <c r="G36" s="1292"/>
      <c r="H36" s="2472"/>
      <c r="I36" s="1305"/>
      <c r="J36" s="1306"/>
      <c r="K36" s="2330"/>
      <c r="L36" s="2472"/>
      <c r="M36" s="2472"/>
    </row>
    <row r="37" spans="1:18" ht="18" customHeight="1">
      <c r="A37" s="928" t="s">
        <v>437</v>
      </c>
      <c r="B37" s="294" t="s">
        <v>742</v>
      </c>
      <c r="C37" s="21">
        <f ca="1">ROUND(C13*F37,0)</f>
        <v>2258</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18464</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1484616</v>
      </c>
      <c r="D39" s="1032" t="s">
        <v>773</v>
      </c>
      <c r="E39" s="1033"/>
      <c r="F39" s="1034"/>
      <c r="G39" s="1292"/>
      <c r="H39" s="2472"/>
      <c r="I39" s="1305"/>
      <c r="J39" s="1306"/>
      <c r="K39" s="2470"/>
      <c r="L39" s="2472"/>
      <c r="M39" s="2472"/>
    </row>
    <row r="40" spans="1:18" ht="18" customHeight="1">
      <c r="A40" s="291" t="s">
        <v>395</v>
      </c>
      <c r="B40" s="292" t="s">
        <v>774</v>
      </c>
      <c r="C40" s="293">
        <f ca="1">ROUND(C39*(1-((1+F42)/(1+F40))^F41)/(F40-F42),0)</f>
        <v>19307336</v>
      </c>
      <c r="D40" s="316" t="s">
        <v>758</v>
      </c>
      <c r="E40" s="294" t="s">
        <v>759</v>
      </c>
      <c r="F40" s="304">
        <f ca="1">INDIRECT("'数据-取费表'!I"&amp;$G$1)</f>
        <v>5.5E-2</v>
      </c>
      <c r="G40" s="1292"/>
      <c r="H40" s="1366">
        <f ca="1">C39/C5</f>
        <v>0.80406806612503057</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18</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33465</v>
      </c>
      <c r="D43" s="328" t="s">
        <v>777</v>
      </c>
      <c r="E43" s="329" t="s">
        <v>778</v>
      </c>
      <c r="F43" s="330">
        <f ca="1">INDIRECT("'数据-取费表'!k"&amp;$G$1)</f>
        <v>576.94000000000005</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3351</v>
      </c>
      <c r="B45" s="1307"/>
      <c r="C45" s="1376">
        <f ca="1">ROUND((C68-C40)/10000,4)</f>
        <v>-1971.1688999999999</v>
      </c>
      <c r="D45" s="3129" t="s">
        <v>3352</v>
      </c>
      <c r="E45" s="1307"/>
      <c r="F45" s="1307"/>
      <c r="O45" s="1310" t="s">
        <v>808</v>
      </c>
      <c r="P45" s="1366"/>
      <c r="Q45" s="1366"/>
      <c r="R45" s="1366"/>
    </row>
    <row r="46" spans="1:18" s="1292" customFormat="1" ht="13.8" thickBot="1">
      <c r="A46" s="1311" t="s">
        <v>809</v>
      </c>
      <c r="C46" s="1312">
        <f ca="1">ROUND(C45,0)</f>
        <v>-1971</v>
      </c>
      <c r="D46" s="1313" t="str">
        <f>C2</f>
        <v>万元</v>
      </c>
      <c r="I46" s="1314" t="s">
        <v>810</v>
      </c>
      <c r="J46" s="1315"/>
      <c r="K46" s="1316"/>
      <c r="L46" s="1317">
        <f ca="1">IF(M47="住宅",0,IF(L48&gt;J51,L60,J60))</f>
        <v>366686</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3426</v>
      </c>
      <c r="K47" s="1323" t="s">
        <v>816</v>
      </c>
      <c r="L47" s="1324">
        <f ca="1">INDIRECT("'数据-取费表'!d"&amp;$G$1)</f>
        <v>0</v>
      </c>
      <c r="M47" s="1288" t="str">
        <f>IF(ISNUMBER(FIND("住宅",C1)),"住宅","非住宅")</f>
        <v>非住宅</v>
      </c>
      <c r="O47" s="1325" t="s">
        <v>403</v>
      </c>
      <c r="P47" s="1326" t="s">
        <v>817</v>
      </c>
      <c r="Q47" s="1327">
        <f ca="1">C40+J29</f>
        <v>19307336</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3438</v>
      </c>
      <c r="K48" s="1330" t="s">
        <v>820</v>
      </c>
      <c r="L48" s="1331">
        <f ca="1">INDIRECT("'数据-取费表'!f"&amp;$G$1)</f>
        <v>18</v>
      </c>
      <c r="O48" s="1325" t="s">
        <v>404</v>
      </c>
      <c r="P48" s="1326" t="s">
        <v>821</v>
      </c>
      <c r="Q48" s="1327">
        <f ca="1">J60</f>
        <v>366686</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2005</v>
      </c>
      <c r="K49" s="1330" t="s">
        <v>824</v>
      </c>
      <c r="L49" s="1333"/>
      <c r="O49" s="1334" t="s">
        <v>405</v>
      </c>
      <c r="P49" s="1326" t="s">
        <v>825</v>
      </c>
      <c r="Q49" s="1327">
        <f ca="1">C29</f>
        <v>3369666</v>
      </c>
      <c r="R49" s="1327" t="s">
        <v>818</v>
      </c>
    </row>
    <row r="50" spans="1:18" s="1292" customFormat="1" ht="13.8" thickBot="1">
      <c r="A50" s="922"/>
      <c r="B50" s="925"/>
      <c r="C50" s="926"/>
      <c r="D50" s="899"/>
      <c r="E50" s="993" t="s">
        <v>697</v>
      </c>
      <c r="F50" s="994">
        <f ca="1">F7</f>
        <v>576.94000000000005</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40</v>
      </c>
      <c r="K51" s="1339" t="s">
        <v>830</v>
      </c>
      <c r="L51" s="1340">
        <f ca="1">ROUND(-PV(INDIRECT("'数据-取费表'!h"&amp;$G$1),J51,(C39-C13*C76),0),0)</f>
        <v>22762878</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18</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18</v>
      </c>
      <c r="K53" s="3346" t="s">
        <v>837</v>
      </c>
      <c r="L53" s="3347"/>
      <c r="O53" s="1325" t="s">
        <v>409</v>
      </c>
      <c r="P53" s="1326" t="s">
        <v>838</v>
      </c>
      <c r="Q53" s="1327">
        <f ca="1">Q47+Q48</f>
        <v>19674022</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0.36699999999999999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2257676</v>
      </c>
      <c r="D56" s="1352"/>
      <c r="E56" s="1353"/>
      <c r="F56" s="1345"/>
      <c r="I56" s="1354" t="s">
        <v>842</v>
      </c>
      <c r="J56" s="1355" t="s">
        <v>3434</v>
      </c>
      <c r="K56" s="1328" t="s">
        <v>843</v>
      </c>
      <c r="L56" s="1331" t="str">
        <f ca="1">IF(L48&lt;J51,"——",L48-J51)</f>
        <v>——</v>
      </c>
      <c r="O56" s="1325" t="s">
        <v>403</v>
      </c>
      <c r="P56" s="1326" t="s">
        <v>817</v>
      </c>
      <c r="Q56" s="1327">
        <f ca="1">C40+J29</f>
        <v>19307336</v>
      </c>
      <c r="R56" s="1327" t="s">
        <v>818</v>
      </c>
    </row>
    <row r="57" spans="1:18" s="1292" customFormat="1" ht="24.6" thickBot="1">
      <c r="A57" s="1356"/>
      <c r="B57" s="896" t="s">
        <v>767</v>
      </c>
      <c r="C57" s="230">
        <f ca="1">C29</f>
        <v>3369666</v>
      </c>
      <c r="D57" s="1357"/>
      <c r="E57" s="1358"/>
      <c r="F57" s="1359"/>
      <c r="I57" s="1360" t="s">
        <v>844</v>
      </c>
      <c r="J57" s="1361">
        <f ca="1">IF(OR(M47="住宅",J51&lt;L48,J56="是"),"——",J51-L48)</f>
        <v>22</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35955</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1347866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f ca="1">IF(OR(M47="住宅",J51&lt;L48,J56="是"),"0",ROUND(J59/(1+J52)^J53,0))</f>
        <v>366686</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3</v>
      </c>
      <c r="I62" s="1367" t="s">
        <v>858</v>
      </c>
      <c r="J62" s="610" t="s">
        <v>859</v>
      </c>
      <c r="K62" s="610" t="s">
        <v>860</v>
      </c>
      <c r="L62" s="610" t="s">
        <v>861</v>
      </c>
      <c r="M62" s="1368" t="s">
        <v>862</v>
      </c>
      <c r="O62" s="1325" t="s">
        <v>409</v>
      </c>
      <c r="P62" s="1326" t="s">
        <v>863</v>
      </c>
      <c r="Q62" s="1327">
        <f ca="1">Q56+Q57</f>
        <v>19307336</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33697</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2258</v>
      </c>
      <c r="D65" s="910" t="s">
        <v>743</v>
      </c>
      <c r="E65" s="896" t="s">
        <v>744</v>
      </c>
      <c r="F65" s="321">
        <f t="shared" ca="1" si="0"/>
        <v>1E-3</v>
      </c>
      <c r="I65" s="1367" t="s">
        <v>867</v>
      </c>
      <c r="J65" s="610">
        <v>40</v>
      </c>
      <c r="K65" s="610">
        <v>30</v>
      </c>
      <c r="L65" s="610">
        <v>50</v>
      </c>
      <c r="M65" s="1369">
        <v>0.02</v>
      </c>
      <c r="O65" s="1325" t="s">
        <v>403</v>
      </c>
      <c r="P65" s="1326" t="s">
        <v>868</v>
      </c>
      <c r="Q65" s="1327">
        <f ca="1">C40+J29</f>
        <v>19307336</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-35955</v>
      </c>
      <c r="D67" s="909" t="s">
        <v>753</v>
      </c>
      <c r="E67" s="914"/>
      <c r="F67" s="915"/>
      <c r="O67" s="1334" t="s">
        <v>405</v>
      </c>
      <c r="P67" s="1326" t="s">
        <v>850</v>
      </c>
      <c r="Q67" s="1370">
        <f ca="1">L51</f>
        <v>22762878</v>
      </c>
      <c r="R67" s="1327" t="s">
        <v>870</v>
      </c>
    </row>
    <row r="68" spans="1:18" s="1292" customFormat="1" ht="16.2" thickBot="1">
      <c r="A68" s="893" t="s">
        <v>395</v>
      </c>
      <c r="B68" s="894" t="s">
        <v>774</v>
      </c>
      <c r="C68" s="293">
        <f ca="1">ROUND(C67*(1-((1+F70)/(1+F68))^F69)/(F68-F70),0)</f>
        <v>-404353</v>
      </c>
      <c r="D68" s="911" t="s">
        <v>758</v>
      </c>
      <c r="E68" s="896" t="s">
        <v>759</v>
      </c>
      <c r="F68" s="304">
        <f ca="1">F40</f>
        <v>5.5E-2</v>
      </c>
      <c r="O68" s="1334" t="s">
        <v>406</v>
      </c>
      <c r="P68" s="1371" t="s">
        <v>871</v>
      </c>
      <c r="Q68" s="1327">
        <f ca="1">ROUND(Q69-Q70*Q71,0)</f>
        <v>1326579</v>
      </c>
      <c r="R68" s="1327" t="s">
        <v>414</v>
      </c>
    </row>
    <row r="69" spans="1:18" s="1292" customFormat="1" ht="13.8" thickBot="1">
      <c r="A69" s="897"/>
      <c r="B69" s="898"/>
      <c r="C69" s="298"/>
      <c r="D69" s="916" t="s">
        <v>762</v>
      </c>
      <c r="E69" s="896" t="s">
        <v>763</v>
      </c>
      <c r="F69" s="324">
        <f ca="1">F41</f>
        <v>18</v>
      </c>
      <c r="O69" s="1334" t="s">
        <v>411</v>
      </c>
      <c r="P69" s="1371" t="s">
        <v>872</v>
      </c>
      <c r="Q69" s="1327">
        <f ca="1">C39</f>
        <v>1484616</v>
      </c>
      <c r="R69" s="1327" t="s">
        <v>818</v>
      </c>
    </row>
    <row r="70" spans="1:18" s="1292" customFormat="1" ht="13.8" thickBot="1">
      <c r="A70" s="900"/>
      <c r="B70" s="901"/>
      <c r="C70" s="302"/>
      <c r="D70" s="912"/>
      <c r="E70" s="896" t="s">
        <v>766</v>
      </c>
      <c r="F70" s="991"/>
      <c r="O70" s="1334" t="s">
        <v>412</v>
      </c>
      <c r="P70" s="1371" t="s">
        <v>873</v>
      </c>
      <c r="Q70" s="1327">
        <f ca="1">C13</f>
        <v>2257676</v>
      </c>
      <c r="R70" s="1327" t="s">
        <v>818</v>
      </c>
    </row>
    <row r="71" spans="1:18" s="1292" customFormat="1" ht="13.8" thickBot="1">
      <c r="A71" s="917" t="s">
        <v>396</v>
      </c>
      <c r="B71" s="918" t="s">
        <v>776</v>
      </c>
      <c r="C71" s="327">
        <f ca="1">ROUND(C68/F71,0)</f>
        <v>-701</v>
      </c>
      <c r="D71" s="919" t="s">
        <v>777</v>
      </c>
      <c r="E71" s="920" t="s">
        <v>778</v>
      </c>
      <c r="F71" s="330">
        <f ca="1">F43</f>
        <v>576.94000000000005</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158037</v>
      </c>
      <c r="D75" s="1292"/>
      <c r="E75" s="1292"/>
      <c r="F75" s="1292"/>
      <c r="K75" s="1309"/>
      <c r="L75" s="1292"/>
      <c r="O75" s="1325" t="s">
        <v>409</v>
      </c>
      <c r="P75" s="1326" t="s">
        <v>838</v>
      </c>
      <c r="Q75" s="1327">
        <f ca="1">Q65+Q66</f>
        <v>19307336</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0.89400000000000002</v>
      </c>
    </row>
    <row r="80" spans="1:18">
      <c r="B80" s="331" t="s">
        <v>800</v>
      </c>
      <c r="C80" s="266">
        <f ca="1">ROUND(C75/C39,3)</f>
        <v>0.106</v>
      </c>
    </row>
    <row r="81" spans="2:3">
      <c r="B81" s="262" t="s">
        <v>801</v>
      </c>
      <c r="C81" s="230"/>
    </row>
    <row r="82" spans="2:3">
      <c r="B82" s="265" t="s">
        <v>802</v>
      </c>
      <c r="C82" s="267">
        <f ca="1">1-C83</f>
        <v>0.88300000000000001</v>
      </c>
    </row>
    <row r="83" spans="2:3">
      <c r="B83" s="265" t="s">
        <v>803</v>
      </c>
      <c r="C83" s="266">
        <f ca="1">ROUND(C13/C40,3)</f>
        <v>0.11700000000000001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
      <formula>$J$51&gt;$L$48</formula>
    </cfRule>
  </conditionalFormatting>
  <conditionalFormatting sqref="J11">
    <cfRule type="expression" dxfId="113" priority="2">
      <formula>$M$10="自定义"</formula>
    </cfRule>
  </conditionalFormatting>
  <conditionalFormatting sqref="K55 K60">
    <cfRule type="expression" dxfId="11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9DA08-F07F-4074-A57D-7D5941A3169E}">
  <sheetPr>
    <tabColor rgb="FF7030A0"/>
  </sheetPr>
  <dimension ref="A1"/>
  <sheetViews>
    <sheetView topLeftCell="A16" zoomScale="145" zoomScaleNormal="145" workbookViewId="0">
      <selection activeCell="A34" sqref="A34"/>
    </sheetView>
  </sheetViews>
  <sheetFormatPr defaultRowHeight="14.4"/>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16A14-6F80-4445-B007-E2F3B014C39C}">
  <sheetPr>
    <tabColor rgb="FF7030A0"/>
  </sheetPr>
  <dimension ref="N1:U75"/>
  <sheetViews>
    <sheetView topLeftCell="B1" workbookViewId="0">
      <selection activeCell="R11" sqref="R11"/>
    </sheetView>
  </sheetViews>
  <sheetFormatPr defaultRowHeight="14.4"/>
  <sheetData>
    <row r="1" spans="14:21">
      <c r="R1" s="3516" t="s">
        <v>3502</v>
      </c>
      <c r="S1" s="3157"/>
      <c r="T1" s="3157"/>
      <c r="U1" s="3157"/>
    </row>
    <row r="2" spans="14:21">
      <c r="R2" s="3516" t="s">
        <v>3503</v>
      </c>
      <c r="S2" s="3516" t="s">
        <v>3504</v>
      </c>
      <c r="T2" s="3516" t="s">
        <v>3505</v>
      </c>
      <c r="U2" s="3157"/>
    </row>
    <row r="3" spans="14:21">
      <c r="O3" s="1405" t="s">
        <v>3455</v>
      </c>
      <c r="R3" s="3157"/>
      <c r="S3" s="3157"/>
      <c r="T3" s="3516" t="s">
        <v>3389</v>
      </c>
      <c r="U3" s="3157">
        <f>400000000/'数据-汇总表'!E19</f>
        <v>693312.99615211284</v>
      </c>
    </row>
    <row r="4" spans="14:21">
      <c r="N4" s="1405" t="s">
        <v>3388</v>
      </c>
      <c r="O4">
        <v>44.24</v>
      </c>
      <c r="R4" s="3157"/>
      <c r="S4" s="3516" t="s">
        <v>654</v>
      </c>
      <c r="T4" s="3516" t="s">
        <v>3506</v>
      </c>
      <c r="U4" s="3157"/>
    </row>
    <row r="5" spans="14:21">
      <c r="N5" s="1405" t="s">
        <v>3389</v>
      </c>
      <c r="O5">
        <v>70073</v>
      </c>
    </row>
    <row r="6" spans="14:21">
      <c r="O6" s="1405" t="s">
        <v>3456</v>
      </c>
    </row>
    <row r="38" spans="15:16">
      <c r="O38" s="1405" t="s">
        <v>3459</v>
      </c>
    </row>
    <row r="40" spans="15:16">
      <c r="O40" s="1405" t="s">
        <v>3388</v>
      </c>
      <c r="P40">
        <v>111.58</v>
      </c>
    </row>
    <row r="41" spans="15:16">
      <c r="O41" s="1405" t="s">
        <v>3389</v>
      </c>
      <c r="P41">
        <v>69905</v>
      </c>
    </row>
    <row r="43" spans="15:16">
      <c r="P43" s="1405" t="s">
        <v>3454</v>
      </c>
    </row>
    <row r="69" spans="15:16">
      <c r="O69" s="1405" t="s">
        <v>3458</v>
      </c>
    </row>
    <row r="70" spans="15:16">
      <c r="O70" s="1405" t="s">
        <v>3388</v>
      </c>
      <c r="P70">
        <v>60.93</v>
      </c>
    </row>
    <row r="71" spans="15:16">
      <c r="O71" s="1405" t="s">
        <v>3389</v>
      </c>
      <c r="P71">
        <v>65485</v>
      </c>
    </row>
    <row r="72" spans="15:16">
      <c r="P72" s="1405" t="s">
        <v>3454</v>
      </c>
    </row>
    <row r="75" spans="15:16">
      <c r="P75" s="1405" t="s">
        <v>3453</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673</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1425.3158000000001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24705</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8963283</v>
      </c>
      <c r="D5" s="203" t="s">
        <v>1469</v>
      </c>
      <c r="E5" s="204" t="s">
        <v>1470</v>
      </c>
      <c r="F5" s="204" t="s">
        <v>1471</v>
      </c>
      <c r="G5" s="205"/>
    </row>
    <row r="6" spans="1:8" s="206" customFormat="1" ht="13.5" customHeight="1">
      <c r="A6" s="732" t="s">
        <v>1472</v>
      </c>
      <c r="B6" s="207" t="s">
        <v>1473</v>
      </c>
      <c r="C6" s="208">
        <f>ROUND(基准地价修正!C33*基准地价修正!D33,0)</f>
        <v>8586021</v>
      </c>
      <c r="D6" s="209"/>
      <c r="E6" s="210"/>
      <c r="F6" s="210"/>
      <c r="G6" s="211"/>
    </row>
    <row r="7" spans="1:8" s="206" customFormat="1" ht="13.5" customHeight="1">
      <c r="A7" s="732" t="s">
        <v>1474</v>
      </c>
      <c r="B7" s="207" t="s">
        <v>1475</v>
      </c>
      <c r="C7" s="212">
        <f>ROUND(C6*F7,0)</f>
        <v>261874</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115388</v>
      </c>
      <c r="D8" s="214"/>
      <c r="E8" s="212"/>
      <c r="F8" s="213"/>
      <c r="G8" s="1714" t="s">
        <v>3446</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115388</v>
      </c>
      <c r="D10" s="795">
        <f ca="1">IF(B1="",'数据-汇总表'!E6,IF(INDIRECT("'数据-取费表'!c"&amp;$G$1)="住宅",INDIRECT("'数据-取费表'!s"&amp;$G$1),INDIRECT("'数据-取费表'!k"&amp;$G$1)+INDIRECT("'数据-取费表'!s"&amp;$G$1)))</f>
        <v>576.94000000000005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576.94000000000005</v>
      </c>
      <c r="E19" s="203">
        <f>'数据-取费表'!B31</f>
        <v>200</v>
      </c>
      <c r="F19" s="223"/>
      <c r="G19" s="1714" t="s">
        <v>3447</v>
      </c>
    </row>
    <row r="20" spans="1:7" s="206" customFormat="1" ht="13.5" customHeight="1">
      <c r="A20" s="247" t="s">
        <v>1574</v>
      </c>
      <c r="B20" s="202" t="s">
        <v>1575</v>
      </c>
      <c r="C20" s="224">
        <f ca="1">ROUND((C5+C19)*F20,0)</f>
        <v>179266</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569894</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564337</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5557</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1371382</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1371382</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11995482</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2584691</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2307760</v>
      </c>
      <c r="D34" s="209"/>
      <c r="E34" s="212"/>
      <c r="F34" s="249"/>
      <c r="G34" s="211"/>
    </row>
    <row r="35" spans="1:7" ht="13.5" customHeight="1">
      <c r="A35" s="734" t="s">
        <v>351</v>
      </c>
      <c r="B35" s="207" t="s">
        <v>1527</v>
      </c>
      <c r="C35" s="212">
        <f ca="1">ROUND(C34*F35,0)</f>
        <v>115388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115388</v>
      </c>
      <c r="D37" s="209">
        <f ca="1">D19</f>
        <v>576.94000000000005</v>
      </c>
      <c r="E37" s="241">
        <f>'数据-取费表'!B35</f>
        <v>200</v>
      </c>
      <c r="F37" s="251"/>
      <c r="G37" s="253"/>
    </row>
    <row r="38" spans="1:7" ht="13.5" customHeight="1">
      <c r="A38" s="734" t="s">
        <v>354</v>
      </c>
      <c r="B38" s="207" t="s">
        <v>1533</v>
      </c>
      <c r="C38" s="212">
        <f ca="1">ROUND(C34*F38,0)</f>
        <v>46155</v>
      </c>
      <c r="D38" s="212"/>
      <c r="E38" s="212"/>
      <c r="F38" s="251">
        <f>'数据-取费表'!B36</f>
        <v>0.02</v>
      </c>
      <c r="G38" s="211" t="s">
        <v>1528</v>
      </c>
    </row>
    <row r="39" spans="1:7" s="206" customFormat="1" ht="13.5" customHeight="1">
      <c r="A39" s="247" t="s">
        <v>1534</v>
      </c>
      <c r="B39" s="202" t="s">
        <v>1535</v>
      </c>
      <c r="C39" s="224">
        <f ca="1">ROUND(C33*F20,0)</f>
        <v>51694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81728</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80125</v>
      </c>
      <c r="D42" s="230"/>
      <c r="E42" s="230"/>
      <c r="F42" s="231"/>
      <c r="G42" s="3343" t="s">
        <v>1591</v>
      </c>
    </row>
    <row r="43" spans="1:7" ht="13.5" customHeight="1">
      <c r="A43" s="734" t="s">
        <v>347</v>
      </c>
      <c r="B43" s="207" t="s">
        <v>1545</v>
      </c>
      <c r="C43" s="230">
        <f ca="1">ROUND(IF('数据-取费表'!B22&lt;=1,C39*F22*'数据-取费表'!B20/2,C39*(POWER((1+F22),'数据-取费表'!B20/2)-1)),0)</f>
        <v>1603</v>
      </c>
      <c r="D43" s="230"/>
      <c r="E43" s="230"/>
      <c r="F43" s="231"/>
      <c r="G43" s="3344"/>
    </row>
    <row r="44" spans="1:7" ht="13.5" customHeight="1">
      <c r="A44" s="734" t="s">
        <v>348</v>
      </c>
      <c r="B44" s="207" t="s">
        <v>1546</v>
      </c>
      <c r="C44" s="230">
        <f ca="1">ROUND(IF('数据-取费表'!B22&lt;=1,C40*F22*'数据-取费表'!B20/2,C40*(POWER((1+F22),'数据-取费表'!B20/2)-1)),4)</f>
        <v>5.9999999999999995E-4</v>
      </c>
      <c r="D44" s="230"/>
      <c r="E44" s="230"/>
      <c r="F44" s="231"/>
      <c r="G44" s="3345"/>
    </row>
    <row r="45" spans="1:7" s="206" customFormat="1" ht="13.5" customHeight="1">
      <c r="A45" s="247" t="s">
        <v>1547</v>
      </c>
      <c r="B45" s="236" t="s">
        <v>1513</v>
      </c>
      <c r="C45" s="237">
        <f ca="1">C46</f>
        <v>395458</v>
      </c>
      <c r="D45" s="227">
        <f ca="1">C47</f>
        <v>3.0000000000000001E-3</v>
      </c>
      <c r="E45" s="228" t="s">
        <v>1539</v>
      </c>
      <c r="F45" s="238">
        <f ca="1">F27</f>
        <v>0.15</v>
      </c>
      <c r="G45" s="239" t="s">
        <v>1548</v>
      </c>
    </row>
    <row r="46" spans="1:7" s="206" customFormat="1" ht="13.5" customHeight="1">
      <c r="A46" s="734" t="s">
        <v>346</v>
      </c>
      <c r="B46" s="240" t="s">
        <v>1549</v>
      </c>
      <c r="C46" s="241">
        <f ca="1">ROUND((C33+C39)*F27,0)</f>
        <v>395458</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3369666</v>
      </c>
      <c r="D49" s="224"/>
      <c r="E49" s="224"/>
      <c r="F49" s="256"/>
      <c r="G49" s="226" t="s">
        <v>1554</v>
      </c>
    </row>
    <row r="50" spans="1:7" s="250" customFormat="1">
      <c r="A50" s="247" t="s">
        <v>1555</v>
      </c>
      <c r="B50" s="202" t="s">
        <v>1556</v>
      </c>
      <c r="C50" s="224"/>
      <c r="D50" s="224"/>
      <c r="E50" s="224"/>
      <c r="F50" s="256">
        <f>IF('数据-取费表'!B24=0,'数据-取费表'!N16,1)</f>
        <v>0.67</v>
      </c>
      <c r="G50" s="239"/>
    </row>
    <row r="51" spans="1:7" ht="16.5" customHeight="1">
      <c r="A51" s="247" t="s">
        <v>1558</v>
      </c>
      <c r="B51" s="202" t="s">
        <v>1593</v>
      </c>
      <c r="C51" s="224">
        <f ca="1">ROUND(C49*F50,0)</f>
        <v>2257676</v>
      </c>
      <c r="D51" s="224"/>
      <c r="E51" s="224"/>
      <c r="F51" s="256"/>
      <c r="G51" s="226" t="s">
        <v>1560</v>
      </c>
    </row>
    <row r="52" spans="1:7" s="200" customFormat="1" ht="16.8" thickBot="1">
      <c r="A52" s="257" t="s">
        <v>1561</v>
      </c>
      <c r="B52" s="258"/>
      <c r="C52" s="259">
        <f ca="1">C31+C51</f>
        <v>14253158</v>
      </c>
      <c r="D52" s="258"/>
      <c r="E52" s="258"/>
      <c r="F52" s="258"/>
      <c r="G52" s="260"/>
    </row>
    <row r="55" spans="1:7" ht="15">
      <c r="B55" s="262" t="s">
        <v>1562</v>
      </c>
      <c r="C55" s="263"/>
    </row>
    <row r="56" spans="1:7">
      <c r="B56" s="265" t="s">
        <v>802</v>
      </c>
      <c r="C56" s="267">
        <f ca="1">1-C57</f>
        <v>0.84199999999999997</v>
      </c>
    </row>
    <row r="57" spans="1:7">
      <c r="B57" s="265" t="s">
        <v>803</v>
      </c>
      <c r="C57" s="266">
        <f ca="1">ROUND(C51/C52,3)</f>
        <v>0.158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0</v>
      </c>
      <c r="C2" s="268" t="s">
        <v>1595</v>
      </c>
      <c r="D2" s="268"/>
      <c r="E2" s="2566"/>
      <c r="F2" s="2566"/>
      <c r="G2" s="2566"/>
      <c r="H2" s="2566"/>
      <c r="I2" s="2566"/>
      <c r="J2" s="2566"/>
      <c r="K2" s="2566"/>
    </row>
    <row r="3" spans="1:33" ht="18" customHeight="1" thickBot="1">
      <c r="A3" s="195" t="s">
        <v>1464</v>
      </c>
      <c r="B3" s="196">
        <f ca="1">ROUND(B2*10000/IF(C1="",'数据-汇总表'!E3,INDIRECT("'数据-取费表'!K"&amp;$K$1)),0)</f>
        <v>0</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576.94000000000005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576.94000000000005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0.46119999999999983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12</v>
      </c>
      <c r="D20" s="796">
        <f ca="1">IF(C1="",'数据-汇总表'!E6,IF(INDIRECT("'数据-取费表'!c"&amp;$K$1)="住宅",INDIRECT("'数据-取费表'!s"&amp;$K$1),INDIRECT("'数据-取费表'!k"&amp;$K$1)+INDIRECT("'数据-取费表'!s"&amp;$K$1)))</f>
        <v>576.94000000000005</v>
      </c>
      <c r="E20" s="21">
        <f>'数据-取费表'!B28</f>
        <v>200</v>
      </c>
      <c r="F20" s="756"/>
      <c r="G20" s="12"/>
      <c r="H20" s="761"/>
      <c r="I20" s="761"/>
      <c r="J20" s="761"/>
      <c r="K20" s="762"/>
    </row>
    <row r="21" spans="1:33" s="755" customFormat="1" ht="13.5" customHeight="1">
      <c r="A21" s="744" t="s">
        <v>357</v>
      </c>
      <c r="B21" s="765" t="s">
        <v>1628</v>
      </c>
      <c r="C21" s="766">
        <f ca="1">C16+C17+C18</f>
        <v>0.46119999999999983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8" t="s">
        <v>694</v>
      </c>
      <c r="C6" s="1011">
        <f ca="1">ROUND(F6*F8*F7*(1-F9)/10000,0)</f>
        <v>0</v>
      </c>
      <c r="D6" s="147" t="s">
        <v>2109</v>
      </c>
      <c r="E6" s="294" t="s">
        <v>696</v>
      </c>
      <c r="F6" s="295">
        <f ca="1">INDIRECT("'数据-取费表'!u"&amp;$G$1)</f>
        <v>0</v>
      </c>
      <c r="G6" s="1292"/>
      <c r="H6" s="1006" t="s">
        <v>398</v>
      </c>
      <c r="I6" s="3348" t="s">
        <v>694</v>
      </c>
      <c r="J6" s="293">
        <f ca="1">ROUND(M6*M8*M7*(1-M9)/10000,0)</f>
        <v>0</v>
      </c>
      <c r="K6" s="147" t="s">
        <v>2108</v>
      </c>
      <c r="L6" s="294" t="s">
        <v>696</v>
      </c>
      <c r="M6" s="295">
        <f ca="1">INDIRECT("'数据-取费表'!z"&amp;$G$1)</f>
        <v>0</v>
      </c>
    </row>
    <row r="7" spans="1:37" ht="18" customHeight="1">
      <c r="A7" s="1010"/>
      <c r="B7" s="3349"/>
      <c r="C7" s="1012"/>
      <c r="D7" s="299"/>
      <c r="E7" s="1013" t="s">
        <v>697</v>
      </c>
      <c r="F7" s="295">
        <f ca="1">IF(INDIRECT("'数据-取费表'!ah"&amp;$G$1)="",INDIRECT("'数据-取费表'!k"&amp;$G$1),INDIRECT("'数据-取费表'!ah"&amp;$G$1))</f>
        <v>0</v>
      </c>
      <c r="G7" s="1292"/>
      <c r="H7" s="296"/>
      <c r="I7" s="3349"/>
      <c r="J7" s="298"/>
      <c r="K7" s="299"/>
      <c r="L7" s="294" t="s">
        <v>697</v>
      </c>
      <c r="M7" s="295">
        <f ca="1">F7</f>
        <v>0</v>
      </c>
    </row>
    <row r="8" spans="1:37" ht="18" customHeight="1">
      <c r="A8" s="296"/>
      <c r="B8" s="3349"/>
      <c r="C8" s="298"/>
      <c r="D8" s="299"/>
      <c r="E8" s="294" t="s">
        <v>698</v>
      </c>
      <c r="F8" s="295">
        <f ca="1">INDIRECT("'数据-取费表'!ai"&amp;$G$1)</f>
        <v>0</v>
      </c>
      <c r="G8" s="1292"/>
      <c r="H8" s="296"/>
      <c r="I8" s="3349"/>
      <c r="J8" s="298"/>
      <c r="K8" s="299"/>
      <c r="L8" s="294" t="s">
        <v>698</v>
      </c>
      <c r="M8" s="295">
        <f ca="1">INDIRECT("'数据-取费表'!ai"&amp;$G$1)</f>
        <v>0</v>
      </c>
    </row>
    <row r="9" spans="1:37" ht="18" customHeight="1">
      <c r="A9" s="296"/>
      <c r="B9" s="3350"/>
      <c r="C9" s="298"/>
      <c r="D9" s="299"/>
      <c r="E9" s="294" t="s">
        <v>699</v>
      </c>
      <c r="F9" s="304">
        <f ca="1">INDIRECT("'数据-取费表'!w"&amp;$G$1)</f>
        <v>0</v>
      </c>
      <c r="G9" s="1292"/>
      <c r="H9" s="296"/>
      <c r="I9" s="335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3335</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3</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46" t="s">
        <v>837</v>
      </c>
      <c r="L53" s="3347"/>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7">
      <formula>$J$51&gt;$L$48</formula>
    </cfRule>
  </conditionalFormatting>
  <conditionalFormatting sqref="J11">
    <cfRule type="expression" dxfId="108" priority="2">
      <formula>$M$10="自定义"</formula>
    </cfRule>
  </conditionalFormatting>
  <conditionalFormatting sqref="K55 K60">
    <cfRule type="expression" dxfId="10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46" zoomScaleNormal="80" zoomScaleSheetLayoutView="100" workbookViewId="0">
      <selection activeCell="E55" sqref="E55"/>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576.94000000000005</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0</v>
      </c>
      <c r="C2" s="1846" t="s">
        <v>1935</v>
      </c>
      <c r="D2" s="162" t="s">
        <v>1936</v>
      </c>
      <c r="E2" s="3119" t="s">
        <v>673</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Ⅴ-26</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14882</v>
      </c>
      <c r="U2" s="1130"/>
      <c r="V2" s="3062">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0</v>
      </c>
      <c r="C3" s="1846" t="s">
        <v>1941</v>
      </c>
      <c r="D3" s="162" t="s">
        <v>1942</v>
      </c>
      <c r="E3" s="3117" t="s">
        <v>2439</v>
      </c>
      <c r="F3" s="1848"/>
      <c r="G3" s="708">
        <f>IF(F3="宗地容积率",'数据-汇总表'!I4,IF(F3="估价对象容积率",'数据-汇总表'!I6,'数据-汇总表'!I7))</f>
        <v>0</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11730</v>
      </c>
      <c r="U3" s="1130"/>
      <c r="V3" s="3062">
        <f t="shared" ref="V3:V16" si="1">ROUND(T3*U3/10000,0)</f>
        <v>0</v>
      </c>
      <c r="W3" s="1133"/>
      <c r="X3" s="1133"/>
      <c r="Y3" s="1133"/>
      <c r="Z3" s="1133"/>
      <c r="AA3" s="1133"/>
      <c r="AB3" s="1133"/>
      <c r="AC3" s="1134"/>
      <c r="AD3" s="1135"/>
      <c r="AE3" s="1135"/>
      <c r="AF3" s="1135"/>
      <c r="AG3" s="1135"/>
      <c r="AH3" s="1135"/>
      <c r="AI3" s="1135"/>
      <c r="AJ3" s="1136"/>
    </row>
    <row r="4" spans="1:36" ht="15.6">
      <c r="A4" s="3454"/>
      <c r="B4" s="3455"/>
      <c r="C4" s="3455"/>
      <c r="D4" s="3456"/>
      <c r="E4" s="3456"/>
      <c r="F4" s="3456"/>
      <c r="G4" s="3456"/>
      <c r="H4" s="3456"/>
      <c r="I4" s="3456"/>
      <c r="J4" s="345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1.0004999999999999</v>
      </c>
      <c r="T4" s="3062">
        <f t="shared" si="0"/>
        <v>9914</v>
      </c>
      <c r="U4" s="1130"/>
      <c r="V4" s="3062">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13260</v>
      </c>
      <c r="D5" s="1252">
        <f>ROUND(C6*C17+C20,0)</f>
        <v>13260</v>
      </c>
      <c r="E5" s="1252"/>
      <c r="F5" s="1851"/>
      <c r="G5" s="1852"/>
      <c r="H5" s="1852"/>
      <c r="I5" s="1852"/>
      <c r="J5" s="1853"/>
      <c r="K5" s="1854"/>
      <c r="L5" s="1847" t="s">
        <v>1948</v>
      </c>
      <c r="M5" s="811">
        <f>SUMPRODUCT((区片价!B87:B126=I2)*(区片价!C3:G3=E2)*(区片价!C87:G126))</f>
        <v>13260</v>
      </c>
      <c r="N5" s="813">
        <f>SUMPRODUCT((因素修正幅度!B87:B126=I2)*(因素修正幅度!C3:G3=E2)*(因素修正幅度!C87:G126))</f>
        <v>9.7000000000000003E-2</v>
      </c>
      <c r="O5" s="1056"/>
      <c r="P5" s="1056"/>
      <c r="Q5" s="1056"/>
      <c r="R5" s="1129">
        <v>4</v>
      </c>
      <c r="S5" s="3062">
        <f>ROUND(SUMPRODUCT((B106:B110=R5)*(C105:N105=G2)*(C106:N110)),4)</f>
        <v>0.88239999999999996</v>
      </c>
      <c r="T5" s="3062">
        <f t="shared" si="0"/>
        <v>8744</v>
      </c>
      <c r="U5" s="1130"/>
      <c r="V5" s="3062">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13260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0.84799999999999998</v>
      </c>
      <c r="T6" s="3062">
        <f t="shared" si="0"/>
        <v>8403</v>
      </c>
      <c r="U6" s="1130"/>
      <c r="V6" s="3062">
        <f t="shared" si="1"/>
        <v>0</v>
      </c>
      <c r="W6" s="1133"/>
      <c r="X6" s="1133"/>
      <c r="Y6" s="1133"/>
      <c r="Z6" s="1133"/>
      <c r="AA6" s="1133"/>
      <c r="AB6" s="1133"/>
      <c r="AC6" s="1855"/>
      <c r="AD6" s="1856"/>
      <c r="AE6" s="1856"/>
      <c r="AF6" s="1856"/>
      <c r="AG6" s="1856"/>
      <c r="AH6" s="1856"/>
      <c r="AI6" s="1856"/>
      <c r="AJ6" s="1857"/>
    </row>
    <row r="7" spans="1:36" ht="24.6" thickBot="1">
      <c r="A7" s="3011"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五级</v>
      </c>
      <c r="Y7" s="1131" t="s">
        <v>1956</v>
      </c>
      <c r="Z7" s="1132">
        <f>G3</f>
        <v>0</v>
      </c>
      <c r="AA7" s="1133"/>
      <c r="AB7" s="1133"/>
      <c r="AC7" s="1134"/>
      <c r="AD7" s="1135"/>
      <c r="AE7" s="1135"/>
      <c r="AF7" s="1135"/>
      <c r="AG7" s="1135"/>
      <c r="AH7" s="1135"/>
      <c r="AI7" s="1135"/>
      <c r="AJ7" s="1136"/>
    </row>
    <row r="8" spans="1:36" ht="26.4">
      <c r="A8" s="3008"/>
      <c r="B8" s="162" t="s">
        <v>1957</v>
      </c>
      <c r="C8" s="1870" t="s">
        <v>3440</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51" t="s">
        <v>1960</v>
      </c>
      <c r="X8" s="345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53"/>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53"/>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3238</v>
      </c>
      <c r="B12" s="3012" t="s">
        <v>3239</v>
      </c>
      <c r="C12" s="3013"/>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3248</v>
      </c>
      <c r="E18" s="2356"/>
      <c r="F18" s="3029" t="s">
        <v>3251</v>
      </c>
      <c r="G18" s="3033">
        <f>ROUND(1-(1/(POWER(1+G24,E18))),4)</f>
        <v>0</v>
      </c>
      <c r="H18" s="3029" t="s">
        <v>3253</v>
      </c>
      <c r="I18" s="3033">
        <f>ROUND(1-(1/(POWER(1+G24,J24))),4)</f>
        <v>0.88249999999999995</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58" t="s">
        <v>3254</v>
      </c>
      <c r="B20" s="159" t="s">
        <v>1994</v>
      </c>
      <c r="C20" s="3030">
        <f>ROUND(IF(F21="与级别开发程度一致",0,(G21-E21)/C21),0)</f>
        <v>0</v>
      </c>
      <c r="D20" s="3045" t="s">
        <v>1998</v>
      </c>
      <c r="E20" s="3046"/>
      <c r="F20" s="3464" t="s">
        <v>1995</v>
      </c>
      <c r="G20" s="3465"/>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459"/>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3441</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96" t="s">
        <v>2002</v>
      </c>
      <c r="E23" s="717">
        <v>44197</v>
      </c>
      <c r="F23" s="1896" t="s">
        <v>2003</v>
      </c>
      <c r="G23" s="718">
        <f>'数据-取费表'!B2</f>
        <v>45786</v>
      </c>
      <c r="H23" s="3047" t="s">
        <v>3256</v>
      </c>
      <c r="I23" s="3048" t="str">
        <f>IF(H23="季度增幅（自定义）",SUMIF(N25:N28,E2,O25:O28),"")</f>
        <v/>
      </c>
      <c r="J23" s="3140" t="s">
        <v>3255</v>
      </c>
      <c r="K23" s="1061"/>
      <c r="L23" s="1897" t="s">
        <v>2004</v>
      </c>
      <c r="M23" s="1241">
        <f>ROUND(SUMIF(地价!B2:G2,E2,地价!B16:G16),0)</f>
        <v>350</v>
      </c>
      <c r="N23" s="1898" t="s">
        <v>2005</v>
      </c>
      <c r="O23" s="719">
        <f>ROUNDDOWN(DATEDIF(E23,G23,"M")/3,0)</f>
        <v>17</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0.70089999999999997</v>
      </c>
      <c r="D24" s="1902" t="s">
        <v>2007</v>
      </c>
      <c r="E24" s="1248">
        <f>存贷款利率!E27/100</f>
        <v>4.3499999999999997E-2</v>
      </c>
      <c r="F24" s="1902" t="s">
        <v>1999</v>
      </c>
      <c r="G24" s="724">
        <f>SUMIF(M30:Q30,E2,M33:Q33)</f>
        <v>5.5E-2</v>
      </c>
      <c r="H24" s="1902" t="s">
        <v>2008</v>
      </c>
      <c r="I24" s="725">
        <f>SUMIF('数据-取费表'!C6:C15,E2,'数据-取费表'!F6:F15)/COUNTIF('数据-取费表'!C6:C15,E2)</f>
        <v>18</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3442</v>
      </c>
      <c r="C25" s="461">
        <f>IF(B25="容积率修正",IF(G3&lt;10,D26,J26),C27)</f>
        <v>1.5019</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1.5019</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1.0311999999999999</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0</v>
      </c>
      <c r="D30" s="1925"/>
      <c r="E30" s="1842"/>
      <c r="F30" s="1926"/>
      <c r="G30" s="1842"/>
      <c r="H30" s="1842"/>
      <c r="I30" s="1842"/>
      <c r="J30" s="1927"/>
      <c r="K30" s="1056"/>
      <c r="L30" s="3054" t="s">
        <v>1936</v>
      </c>
      <c r="M30" s="3055" t="s">
        <v>1990</v>
      </c>
      <c r="N30" s="3055" t="s">
        <v>1991</v>
      </c>
      <c r="O30" s="3055" t="s">
        <v>1992</v>
      </c>
      <c r="P30" s="3055" t="s">
        <v>1993</v>
      </c>
      <c r="Q30" s="3058"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14882</v>
      </c>
      <c r="D33" s="1940">
        <f>'数据-汇总表'!E19</f>
        <v>576.94000000000005</v>
      </c>
      <c r="E33" s="727">
        <f>ROUND(C33*D33/10000,0)</f>
        <v>859</v>
      </c>
      <c r="F33" s="3049" t="s">
        <v>3260</v>
      </c>
      <c r="G33" s="1941"/>
      <c r="H33" s="1941"/>
      <c r="I33" s="1941"/>
      <c r="J33" s="1942"/>
      <c r="K33" s="1056"/>
      <c r="L33" s="3052" t="s">
        <v>3263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2" t="s">
        <v>3264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2"/>
      <c r="B37" s="1955" t="s">
        <v>2036</v>
      </c>
      <c r="C37" s="167">
        <f>ROUND(D5*C22*C23*C24*C28*F37,0)</f>
        <v>5945</v>
      </c>
      <c r="D37" s="1940"/>
      <c r="E37" s="163">
        <f>ROUND(C37*D37/10000,0)</f>
        <v>0</v>
      </c>
      <c r="F37" s="163">
        <f>SUMIF(修正!A57:A68,G2,修正!B57:B68)</f>
        <v>0.6</v>
      </c>
      <c r="G37" s="163">
        <f>ROUND(IF(E2="工业",C37*$M$42,C37*$M$41),0)</f>
        <v>1486</v>
      </c>
      <c r="H37" s="163">
        <f>D37</f>
        <v>0</v>
      </c>
      <c r="I37" s="163">
        <f>ROUND(G37*H37/10000,0)</f>
        <v>0</v>
      </c>
      <c r="J37" s="2753"/>
      <c r="K37" s="3060" t="s">
        <v>3266</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3"/>
      <c r="B38" s="1884" t="s">
        <v>2037</v>
      </c>
      <c r="C38" s="167">
        <f>ROUND(D5*C22*C23*C24*C28*F38,0)</f>
        <v>2973</v>
      </c>
      <c r="D38" s="1940"/>
      <c r="E38" s="163">
        <f t="shared" ref="E38:E42" si="4">ROUND(C38*D38/10000,0)</f>
        <v>0</v>
      </c>
      <c r="F38" s="163">
        <f>SUMIF(修正!A57:A68,G2,修正!C57:C68)</f>
        <v>0.3</v>
      </c>
      <c r="G38" s="163">
        <f>ROUND(IF(E2="工业",C38*$M$42,C38*$M$41),0)</f>
        <v>743</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3"/>
      <c r="B39" s="1884" t="s">
        <v>3259</v>
      </c>
      <c r="C39" s="167">
        <f>ROUND(D5*C22*C23*C24*C28*F39,0)</f>
        <v>2477</v>
      </c>
      <c r="D39" s="1940"/>
      <c r="E39" s="163">
        <f t="shared" si="4"/>
        <v>0</v>
      </c>
      <c r="F39" s="163">
        <f>SUMIF(修正!A57:A68,G2,修正!D57:D68)</f>
        <v>0.25</v>
      </c>
      <c r="G39" s="163">
        <f>ROUND(IF(E2="工业",C39*$M$42,C39*$M$41),0)</f>
        <v>619</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2477</v>
      </c>
      <c r="D40" s="1940"/>
      <c r="E40" s="163">
        <f t="shared" si="4"/>
        <v>0</v>
      </c>
      <c r="F40" s="167">
        <f>SUMIF(修正!A57:A68,G2,修正!E57:E68)</f>
        <v>0.25</v>
      </c>
      <c r="G40" s="163">
        <f>ROUND(IF(E2="工业",C40*$M$42,C40*$M$41),0)</f>
        <v>619</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1"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1.0311999999999999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t="s">
        <v>3443</v>
      </c>
      <c r="D50" s="1002">
        <f t="shared" ref="D50:D58" si="7">SUMIF($J$49:$N$49,C50,J50:N50)</f>
        <v>0</v>
      </c>
      <c r="E50" s="702">
        <f>ROUND(SUM(D50:D58),4)</f>
        <v>3.1199999999999999E-2</v>
      </c>
      <c r="F50" s="1675">
        <f>IF(E2="商业",SUMIF(L1:L12,G2,N1:N12),"——")</f>
        <v>9.7000000000000003E-2</v>
      </c>
      <c r="G50" s="1000">
        <v>1.4500000000000001E-2</v>
      </c>
      <c r="H50" s="1003">
        <f t="shared" ref="H50:H58" si="8">IFERROR(ROUNDDOWN($F$50*I50/2,4),"——")</f>
        <v>1.4500000000000001E-2</v>
      </c>
      <c r="I50" s="3067">
        <v>0.3</v>
      </c>
      <c r="J50" s="1001">
        <f t="shared" ref="J50:J58" si="9">K50+$G50</f>
        <v>2.9000000000000001E-2</v>
      </c>
      <c r="K50" s="1001">
        <f t="shared" ref="K50:K58" si="10">$L50+$G50</f>
        <v>1.4500000000000001E-2</v>
      </c>
      <c r="L50" s="1001">
        <v>0</v>
      </c>
      <c r="M50" s="1001">
        <f t="shared" ref="M50:N58" si="11">L50-$G50</f>
        <v>-1.4500000000000001E-2</v>
      </c>
      <c r="N50" s="1001">
        <f t="shared" si="11"/>
        <v>-2.9000000000000001E-2</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t="s">
        <v>3444</v>
      </c>
      <c r="D51" s="1002">
        <f t="shared" si="7"/>
        <v>1.06E-2</v>
      </c>
      <c r="E51" s="703"/>
      <c r="F51" s="1675"/>
      <c r="G51" s="1000">
        <v>1.06E-2</v>
      </c>
      <c r="H51" s="1003">
        <f t="shared" si="8"/>
        <v>1.06E-2</v>
      </c>
      <c r="I51" s="3067">
        <v>0.22</v>
      </c>
      <c r="J51" s="1001">
        <f t="shared" si="9"/>
        <v>2.12E-2</v>
      </c>
      <c r="K51" s="1001">
        <f t="shared" si="10"/>
        <v>1.06E-2</v>
      </c>
      <c r="L51" s="1001">
        <v>0</v>
      </c>
      <c r="M51" s="1001">
        <f t="shared" si="11"/>
        <v>-1.06E-2</v>
      </c>
      <c r="N51" s="1001">
        <f t="shared" si="11"/>
        <v>-2.12E-2</v>
      </c>
      <c r="AA51" s="1057"/>
      <c r="AB51" s="1057"/>
      <c r="AC51" s="1057"/>
      <c r="AD51" s="1057"/>
      <c r="AE51" s="1057"/>
      <c r="AF51" s="1057"/>
      <c r="AG51" s="1057"/>
      <c r="AH51" s="1057"/>
      <c r="AI51" s="1057"/>
      <c r="AJ51" s="1057"/>
      <c r="AK51" s="1057"/>
    </row>
    <row r="52" spans="1:37" s="1056" customFormat="1" ht="48">
      <c r="A52" s="3069" t="s">
        <v>3269</v>
      </c>
      <c r="B52" s="1262">
        <f>估价对象房地状况!C19</f>
        <v>0</v>
      </c>
      <c r="C52" s="1887" t="s">
        <v>3444</v>
      </c>
      <c r="D52" s="1002">
        <f t="shared" si="7"/>
        <v>5.7999999999999996E-3</v>
      </c>
      <c r="E52" s="703"/>
      <c r="F52" s="1675"/>
      <c r="G52" s="1000">
        <v>5.7999999999999996E-3</v>
      </c>
      <c r="H52" s="1003">
        <f t="shared" si="8"/>
        <v>5.7999999999999996E-3</v>
      </c>
      <c r="I52" s="3067">
        <v>0.12</v>
      </c>
      <c r="J52" s="1001">
        <f t="shared" si="9"/>
        <v>1.1599999999999999E-2</v>
      </c>
      <c r="K52" s="1001">
        <f t="shared" si="10"/>
        <v>5.7999999999999996E-3</v>
      </c>
      <c r="L52" s="1001">
        <v>0</v>
      </c>
      <c r="M52" s="1001">
        <f t="shared" si="11"/>
        <v>-5.7999999999999996E-3</v>
      </c>
      <c r="N52" s="1001">
        <f t="shared" si="11"/>
        <v>-1.1599999999999999E-2</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3444</v>
      </c>
      <c r="D53" s="1002">
        <f t="shared" si="7"/>
        <v>2.3999999999999998E-3</v>
      </c>
      <c r="E53" s="703"/>
      <c r="F53" s="1675"/>
      <c r="G53" s="1000">
        <v>2.3999999999999998E-3</v>
      </c>
      <c r="H53" s="1003">
        <f t="shared" si="8"/>
        <v>2.3999999999999998E-3</v>
      </c>
      <c r="I53" s="3067">
        <v>0.05</v>
      </c>
      <c r="J53" s="1001">
        <f t="shared" si="9"/>
        <v>4.7999999999999996E-3</v>
      </c>
      <c r="K53" s="1001">
        <f t="shared" si="10"/>
        <v>2.3999999999999998E-3</v>
      </c>
      <c r="L53" s="1001">
        <v>0</v>
      </c>
      <c r="M53" s="1001">
        <f t="shared" si="11"/>
        <v>-2.3999999999999998E-3</v>
      </c>
      <c r="N53" s="1001">
        <f t="shared" si="11"/>
        <v>-4.7999999999999996E-3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3443</v>
      </c>
      <c r="D54" s="1002">
        <f t="shared" si="7"/>
        <v>0</v>
      </c>
      <c r="E54" s="703"/>
      <c r="F54" s="1675"/>
      <c r="G54" s="1000">
        <v>3.8E-3</v>
      </c>
      <c r="H54" s="1003">
        <f t="shared" si="8"/>
        <v>3.8E-3</v>
      </c>
      <c r="I54" s="3067">
        <v>0.08</v>
      </c>
      <c r="J54" s="1001">
        <f t="shared" si="9"/>
        <v>7.6E-3</v>
      </c>
      <c r="K54" s="1001">
        <f t="shared" si="10"/>
        <v>3.8E-3</v>
      </c>
      <c r="L54" s="1001">
        <v>0</v>
      </c>
      <c r="M54" s="1001">
        <f t="shared" si="11"/>
        <v>-3.8E-3</v>
      </c>
      <c r="N54" s="1001">
        <f t="shared" si="11"/>
        <v>-7.6E-3</v>
      </c>
      <c r="AA54" s="1057"/>
      <c r="AB54" s="1057"/>
      <c r="AC54" s="1057"/>
      <c r="AD54" s="1057"/>
      <c r="AE54" s="1057"/>
      <c r="AF54" s="1057"/>
      <c r="AG54" s="1057"/>
      <c r="AH54" s="1057"/>
      <c r="AI54" s="1057"/>
      <c r="AJ54" s="1057"/>
      <c r="AK54" s="1057"/>
    </row>
    <row r="55" spans="1:37" s="1056" customFormat="1" ht="36">
      <c r="A55" s="1970" t="s">
        <v>2057</v>
      </c>
      <c r="B55" s="1975" t="s">
        <v>2058</v>
      </c>
      <c r="C55" s="1887" t="s">
        <v>3443</v>
      </c>
      <c r="D55" s="1002">
        <f t="shared" si="7"/>
        <v>0</v>
      </c>
      <c r="E55" s="703"/>
      <c r="F55" s="1675"/>
      <c r="G55" s="1000">
        <v>2.3999999999999998E-3</v>
      </c>
      <c r="H55" s="1003">
        <f t="shared" si="8"/>
        <v>2.3999999999999998E-3</v>
      </c>
      <c r="I55" s="3067">
        <v>0.05</v>
      </c>
      <c r="J55" s="1001">
        <f t="shared" si="9"/>
        <v>4.7999999999999996E-3</v>
      </c>
      <c r="K55" s="1001">
        <f t="shared" si="10"/>
        <v>2.3999999999999998E-3</v>
      </c>
      <c r="L55" s="1001">
        <v>0</v>
      </c>
      <c r="M55" s="1001">
        <f t="shared" si="11"/>
        <v>-2.3999999999999998E-3</v>
      </c>
      <c r="N55" s="1001">
        <f t="shared" si="11"/>
        <v>-4.7999999999999996E-3</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t="s">
        <v>3444</v>
      </c>
      <c r="D56" s="1002">
        <f t="shared" si="7"/>
        <v>2.3999999999999998E-3</v>
      </c>
      <c r="E56" s="703"/>
      <c r="F56" s="1675"/>
      <c r="G56" s="1000">
        <v>2.3999999999999998E-3</v>
      </c>
      <c r="H56" s="1003">
        <f t="shared" si="8"/>
        <v>2.3999999999999998E-3</v>
      </c>
      <c r="I56" s="3067">
        <v>0.05</v>
      </c>
      <c r="J56" s="1001">
        <f t="shared" si="9"/>
        <v>4.7999999999999996E-3</v>
      </c>
      <c r="K56" s="1001">
        <f t="shared" si="10"/>
        <v>2.3999999999999998E-3</v>
      </c>
      <c r="L56" s="1001">
        <v>0</v>
      </c>
      <c r="M56" s="1001">
        <f t="shared" si="11"/>
        <v>-2.3999999999999998E-3</v>
      </c>
      <c r="N56" s="1001">
        <f t="shared" si="11"/>
        <v>-4.7999999999999996E-3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t="s">
        <v>3445</v>
      </c>
      <c r="D57" s="1002">
        <f t="shared" si="7"/>
        <v>7.6E-3</v>
      </c>
      <c r="E57" s="703"/>
      <c r="F57" s="1675"/>
      <c r="G57" s="1000">
        <v>3.8E-3</v>
      </c>
      <c r="H57" s="1003">
        <f t="shared" si="8"/>
        <v>3.8E-3</v>
      </c>
      <c r="I57" s="3067">
        <v>0.08</v>
      </c>
      <c r="J57" s="1001">
        <f t="shared" si="9"/>
        <v>7.6E-3</v>
      </c>
      <c r="K57" s="1001">
        <f t="shared" si="10"/>
        <v>3.8E-3</v>
      </c>
      <c r="L57" s="1001">
        <v>0</v>
      </c>
      <c r="M57" s="1001">
        <f t="shared" si="11"/>
        <v>-3.8E-3</v>
      </c>
      <c r="N57" s="1001">
        <f t="shared" si="11"/>
        <v>-7.6E-3</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t="s">
        <v>3444</v>
      </c>
      <c r="D58" s="1002">
        <f t="shared" si="7"/>
        <v>2.3999999999999998E-3</v>
      </c>
      <c r="E58" s="704"/>
      <c r="F58" s="1675"/>
      <c r="G58" s="1000">
        <v>2.3999999999999998E-3</v>
      </c>
      <c r="H58" s="1003">
        <f t="shared" si="8"/>
        <v>2.3999999999999998E-3</v>
      </c>
      <c r="I58" s="3068">
        <v>0.05</v>
      </c>
      <c r="J58" s="1001">
        <f t="shared" si="9"/>
        <v>4.7999999999999996E-3</v>
      </c>
      <c r="K58" s="1001">
        <f t="shared" si="10"/>
        <v>2.3999999999999998E-3</v>
      </c>
      <c r="L58" s="1001">
        <v>0</v>
      </c>
      <c r="M58" s="1001">
        <f t="shared" si="11"/>
        <v>-2.3999999999999998E-3</v>
      </c>
      <c r="N58" s="1001">
        <f t="shared" si="11"/>
        <v>-4.7999999999999996E-3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3269</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3269</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3270</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2612</v>
      </c>
      <c r="B91" s="3078">
        <f>1+E93</f>
        <v>1</v>
      </c>
      <c r="C91" s="3071"/>
      <c r="D91" s="3072"/>
      <c r="E91" s="1675"/>
      <c r="F91" s="1675"/>
      <c r="G91" s="3073"/>
      <c r="H91" s="3074"/>
      <c r="I91" s="3075"/>
      <c r="J91" s="3076"/>
      <c r="K91" s="3076"/>
      <c r="L91" s="3076"/>
      <c r="M91" s="3076"/>
      <c r="N91" s="3076"/>
    </row>
    <row r="92" spans="1:37" ht="25.2">
      <c r="A92" s="3079" t="s">
        <v>3271</v>
      </c>
      <c r="B92" s="2309"/>
      <c r="C92" s="2309" t="s">
        <v>3280</v>
      </c>
      <c r="D92" s="2309" t="s">
        <v>3281</v>
      </c>
      <c r="E92" s="3051" t="s">
        <v>3282</v>
      </c>
      <c r="F92" s="3081" t="s">
        <v>3283</v>
      </c>
      <c r="G92" s="2309" t="s">
        <v>3284</v>
      </c>
      <c r="H92" s="3088" t="s">
        <v>3287</v>
      </c>
      <c r="I92" s="2309" t="s">
        <v>3288</v>
      </c>
      <c r="J92" s="2150" t="s">
        <v>3289</v>
      </c>
      <c r="K92" s="2150" t="s">
        <v>3290</v>
      </c>
      <c r="L92" s="2150" t="s">
        <v>3291</v>
      </c>
      <c r="M92" s="2150" t="s">
        <v>3292</v>
      </c>
      <c r="N92" s="2150" t="s">
        <v>3293</v>
      </c>
    </row>
    <row r="93" spans="1:37" ht="24">
      <c r="A93" s="3069" t="s">
        <v>3272</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3273</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3269</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3274</v>
      </c>
      <c r="B96" s="3085" t="s">
        <v>3285</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3275</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3276</v>
      </c>
      <c r="B98" s="3086" t="s">
        <v>3286</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3277</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3278</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3279</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60" t="s">
        <v>3294</v>
      </c>
      <c r="B103" s="3460"/>
      <c r="C103" s="3460"/>
      <c r="D103" s="3460"/>
      <c r="E103" s="3460"/>
      <c r="F103" s="3460"/>
      <c r="G103" s="3460"/>
      <c r="H103" s="3460"/>
      <c r="I103" s="3460"/>
      <c r="J103" s="3460"/>
      <c r="K103" s="1667"/>
      <c r="L103" s="1667"/>
      <c r="M103" s="1667"/>
      <c r="N103" s="1667"/>
    </row>
    <row r="104" spans="1:14">
      <c r="A104" s="3461" t="s">
        <v>3295</v>
      </c>
      <c r="B104" s="3461" t="s">
        <v>3296</v>
      </c>
      <c r="C104" s="3089" t="s">
        <v>3297</v>
      </c>
      <c r="D104" s="3090"/>
      <c r="E104" s="3090"/>
      <c r="F104" s="3090"/>
      <c r="G104" s="3090"/>
      <c r="H104" s="3090"/>
      <c r="I104" s="3090"/>
      <c r="J104" s="3091"/>
      <c r="K104" s="3092"/>
      <c r="L104" s="3092"/>
      <c r="M104" s="3092"/>
      <c r="N104" s="3092"/>
    </row>
    <row r="105" spans="1:14">
      <c r="A105" s="3461"/>
      <c r="B105" s="3461"/>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447"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48"/>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48"/>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48"/>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48"/>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48"/>
      <c r="B111" s="3093" t="s">
        <v>3268</v>
      </c>
      <c r="C111" s="3094">
        <f>$I$3</f>
        <v>1</v>
      </c>
      <c r="D111" s="3094">
        <f t="shared" ref="D111:M111" si="32">$I$3</f>
        <v>1</v>
      </c>
      <c r="E111" s="3094">
        <f t="shared" si="32"/>
        <v>1</v>
      </c>
      <c r="F111" s="3094">
        <f t="shared" si="32"/>
        <v>1</v>
      </c>
      <c r="G111" s="3094">
        <f t="shared" si="32"/>
        <v>1</v>
      </c>
      <c r="H111" s="3094">
        <f t="shared" si="32"/>
        <v>1</v>
      </c>
      <c r="I111" s="3094">
        <f t="shared" si="32"/>
        <v>1</v>
      </c>
      <c r="J111" s="3094">
        <f t="shared" si="32"/>
        <v>1</v>
      </c>
      <c r="K111" s="3094">
        <f t="shared" si="32"/>
        <v>1</v>
      </c>
      <c r="L111" s="3094">
        <f t="shared" si="32"/>
        <v>1</v>
      </c>
      <c r="M111" s="3094">
        <f t="shared" si="32"/>
        <v>1</v>
      </c>
      <c r="N111" s="3094">
        <f>$I$3</f>
        <v>1</v>
      </c>
    </row>
    <row r="112" spans="1:14">
      <c r="A112" s="3449"/>
      <c r="B112" s="3093">
        <v>6</v>
      </c>
      <c r="C112" s="3088">
        <f>(-0.5556*(C111^2)-0.2719*C111+8944)*(10^(-4))</f>
        <v>0.89431725000000006</v>
      </c>
      <c r="D112" s="3088">
        <f>(-0.5556*(D111^2)-0.2719*D111+8944)*(10^(-4))</f>
        <v>0.89431725000000006</v>
      </c>
      <c r="E112" s="3088">
        <f>(-0.7912*(E111^2)-11.3794*E111+8482)*(10^(-4))</f>
        <v>0.84698294000000007</v>
      </c>
      <c r="F112" s="3088">
        <f t="shared" ref="F112:I112" si="33">(-0.7912*(F111^2)-11.3794*F111+8482)*(10^(-4))</f>
        <v>0.84698294000000007</v>
      </c>
      <c r="G112" s="3088">
        <f t="shared" si="33"/>
        <v>0.84698294000000007</v>
      </c>
      <c r="H112" s="3088">
        <f t="shared" si="33"/>
        <v>0.84698294000000007</v>
      </c>
      <c r="I112" s="3088">
        <f t="shared" si="33"/>
        <v>0.84698294000000007</v>
      </c>
      <c r="J112" s="3088">
        <f>(-0.989*(J111^2)-63.78*J111+7771)*(10^(-4))</f>
        <v>0.77062310000000001</v>
      </c>
      <c r="K112" s="3088">
        <f t="shared" ref="K112:N112" si="34">(-0.989*(K111^2)-63.78*K111+7771)*(10^(-4))</f>
        <v>0.77062310000000001</v>
      </c>
      <c r="L112" s="3088">
        <f t="shared" si="34"/>
        <v>0.77062310000000001</v>
      </c>
      <c r="M112" s="3088">
        <f t="shared" si="34"/>
        <v>0.77062310000000001</v>
      </c>
      <c r="N112" s="3088">
        <f t="shared" si="34"/>
        <v>0.77062310000000001</v>
      </c>
    </row>
    <row r="113" spans="1:14">
      <c r="A113" s="3450" t="s">
        <v>3311</v>
      </c>
      <c r="B113" s="3450"/>
      <c r="C113" s="3450"/>
      <c r="D113" s="3450"/>
      <c r="E113" s="3450"/>
      <c r="F113" s="3450"/>
      <c r="G113" s="3450"/>
      <c r="H113" s="3450"/>
      <c r="I113" s="3450"/>
      <c r="J113" s="3450"/>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3312</v>
      </c>
      <c r="B116" s="3113">
        <f>G3</f>
        <v>0</v>
      </c>
      <c r="C116" s="3098" t="s">
        <v>3313</v>
      </c>
      <c r="D116" s="3099">
        <f>SUMPRODUCT((A118:A122=F116)*(B117:M117=H116)*B118:M122)</f>
        <v>0.94899999999999995</v>
      </c>
      <c r="E116" s="162" t="s">
        <v>3314</v>
      </c>
      <c r="F116" s="3100" t="str">
        <f>E2</f>
        <v>商业</v>
      </c>
      <c r="G116" s="162" t="s">
        <v>3315</v>
      </c>
      <c r="H116" s="3100" t="str">
        <f>G2</f>
        <v>五级</v>
      </c>
      <c r="I116" s="162"/>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3329</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3330</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3331</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6" priority="6" stopIfTrue="1" operator="notEqual">
      <formula>"——"</formula>
    </cfRule>
  </conditionalFormatting>
  <conditionalFormatting sqref="F61">
    <cfRule type="cellIs" dxfId="105" priority="5" stopIfTrue="1" operator="notEqual">
      <formula>"——"</formula>
    </cfRule>
  </conditionalFormatting>
  <conditionalFormatting sqref="F72">
    <cfRule type="cellIs" dxfId="104" priority="4" stopIfTrue="1" operator="notEqual">
      <formula>"——"</formula>
    </cfRule>
  </conditionalFormatting>
  <conditionalFormatting sqref="F83">
    <cfRule type="cellIs" dxfId="103" priority="3" stopIfTrue="1" operator="notEqual">
      <formula>"——"</formula>
    </cfRule>
  </conditionalFormatting>
  <conditionalFormatting sqref="H50:H58 H61:H69 H72:H80 H83:H91">
    <cfRule type="cellIs" dxfId="102" priority="2" operator="notEqual">
      <formula>"——"</formula>
    </cfRule>
  </conditionalFormatting>
  <conditionalFormatting sqref="H93:H101">
    <cfRule type="cellIs" dxfId="101"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2" customHeight="1">
      <c r="A2" s="1293" t="s">
        <v>2315</v>
      </c>
      <c r="B2" s="2593" t="e">
        <f>IF(D2="——",C40,C40+E2)</f>
        <v>#DIV/0!</v>
      </c>
      <c r="C2" s="2594" t="s">
        <v>2316</v>
      </c>
      <c r="D2" s="3137" t="s">
        <v>3358</v>
      </c>
      <c r="E2" s="3138"/>
      <c r="F2" s="2596"/>
      <c r="G2" s="2597"/>
      <c r="H2" s="2598"/>
      <c r="I2" s="2599"/>
      <c r="J2" s="3357" t="s">
        <v>2317</v>
      </c>
      <c r="K2" s="3358"/>
      <c r="L2" s="2600" t="s">
        <v>2318</v>
      </c>
      <c r="M2" s="2600" t="s">
        <v>2319</v>
      </c>
      <c r="N2" s="2600" t="s">
        <v>2320</v>
      </c>
      <c r="O2" s="2600" t="s">
        <v>2321</v>
      </c>
      <c r="P2" s="2600" t="s">
        <v>2322</v>
      </c>
      <c r="Q2" s="2601" t="s">
        <v>2323</v>
      </c>
      <c r="R2" s="2602" t="s">
        <v>2324</v>
      </c>
      <c r="S2" s="2591"/>
      <c r="T2" s="2591"/>
      <c r="U2" s="2591"/>
      <c r="V2" s="2599"/>
    </row>
    <row r="3" spans="1:22" s="2603" customFormat="1" ht="13.2" customHeight="1">
      <c r="A3" s="2604" t="s">
        <v>2325</v>
      </c>
      <c r="B3" s="2605" t="e">
        <f>ROUND(B2*10000/B4,0)</f>
        <v>#DIV/0!</v>
      </c>
      <c r="C3" s="2594" t="s">
        <v>2326</v>
      </c>
      <c r="D3" s="2594"/>
      <c r="E3" s="2595"/>
      <c r="F3" s="2596"/>
      <c r="G3" s="2597"/>
      <c r="H3" s="2598"/>
      <c r="I3" s="2599"/>
      <c r="J3" s="3359" t="s">
        <v>2327</v>
      </c>
      <c r="K3" s="3360"/>
      <c r="L3" s="2606"/>
      <c r="M3" s="2606"/>
      <c r="N3" s="2606"/>
      <c r="O3" s="2606"/>
      <c r="P3" s="2606"/>
      <c r="Q3" s="2607"/>
      <c r="R3" s="2608">
        <f>SUM(L3:Q3)</f>
        <v>0</v>
      </c>
      <c r="S3" s="2591"/>
      <c r="T3" s="2591"/>
      <c r="U3" s="2591"/>
      <c r="V3" s="2599"/>
    </row>
    <row r="4" spans="1:22" s="2603" customFormat="1" ht="13.2" customHeight="1">
      <c r="A4" s="2609" t="s">
        <v>2328</v>
      </c>
      <c r="B4" s="2610"/>
      <c r="C4" s="2594"/>
      <c r="D4" s="2594"/>
      <c r="E4" s="2595"/>
      <c r="F4" s="2596"/>
      <c r="G4" s="2597"/>
      <c r="H4" s="2598"/>
      <c r="I4" s="2599"/>
      <c r="J4" s="3359" t="s">
        <v>2329</v>
      </c>
      <c r="K4" s="3360"/>
      <c r="L4" s="2611"/>
      <c r="M4" s="2611"/>
      <c r="N4" s="2611"/>
      <c r="O4" s="2611"/>
      <c r="P4" s="2611"/>
      <c r="Q4" s="2612"/>
      <c r="R4" s="2613">
        <f>SUM(L4:Q4)</f>
        <v>0</v>
      </c>
      <c r="S4" s="2591"/>
      <c r="T4" s="2591"/>
      <c r="U4" s="2591"/>
      <c r="V4" s="2599"/>
    </row>
    <row r="5" spans="1:22" s="2603" customFormat="1" ht="13.2"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2" customHeight="1" thickBot="1">
      <c r="A6" s="3365" t="s">
        <v>2333</v>
      </c>
      <c r="B6" s="3366"/>
      <c r="C6" s="3367"/>
      <c r="D6" s="2620"/>
      <c r="E6" s="2621"/>
      <c r="F6" s="2622"/>
      <c r="G6" s="2623"/>
      <c r="H6" s="2598"/>
      <c r="I6" s="2599"/>
      <c r="J6" s="3351">
        <v>1</v>
      </c>
      <c r="K6" s="3352"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2" customHeight="1">
      <c r="A7" s="2626" t="s">
        <v>2343</v>
      </c>
      <c r="B7" s="2627"/>
      <c r="C7" s="2628"/>
      <c r="D7" s="2629">
        <f>SUM(D9,D10,D11,D17,0)</f>
        <v>0</v>
      </c>
      <c r="E7" s="2630" t="e">
        <f>E9+E10+E11+E17</f>
        <v>#DIV/0!</v>
      </c>
      <c r="F7" s="2631"/>
      <c r="G7" s="2632"/>
      <c r="H7" s="2598"/>
      <c r="I7" s="2599"/>
      <c r="J7" s="3351"/>
      <c r="K7" s="3353"/>
      <c r="L7" s="2633" t="s">
        <v>2344</v>
      </c>
      <c r="M7" s="2634"/>
      <c r="N7" s="2610"/>
      <c r="O7" s="2635"/>
      <c r="P7" s="2635"/>
      <c r="Q7" s="2636">
        <v>365</v>
      </c>
      <c r="R7" s="2637">
        <f>ROUND(M7*N7*O7*P7*Q7/10000,0)</f>
        <v>0</v>
      </c>
      <c r="S7" s="2591"/>
      <c r="T7" s="2591" t="s">
        <v>2345</v>
      </c>
      <c r="U7" s="2591"/>
      <c r="V7" s="2599"/>
    </row>
    <row r="8" spans="1:22" s="2603" customFormat="1" ht="13.2" customHeight="1">
      <c r="A8" s="2638" t="s">
        <v>2346</v>
      </c>
      <c r="B8" s="3368" t="s">
        <v>2347</v>
      </c>
      <c r="C8" s="3369"/>
      <c r="D8" s="2639" t="s">
        <v>2348</v>
      </c>
      <c r="E8" s="2640" t="s">
        <v>2349</v>
      </c>
      <c r="F8" s="2641" t="s">
        <v>2350</v>
      </c>
      <c r="G8" s="2642"/>
      <c r="H8" s="2598"/>
      <c r="I8" s="2599"/>
      <c r="J8" s="3351"/>
      <c r="K8" s="3353"/>
      <c r="L8" s="2633" t="s">
        <v>2351</v>
      </c>
      <c r="M8" s="2634"/>
      <c r="N8" s="2610"/>
      <c r="O8" s="2635"/>
      <c r="P8" s="2635"/>
      <c r="Q8" s="2636">
        <v>365</v>
      </c>
      <c r="R8" s="2637">
        <f t="shared" ref="R8:R13" si="0">ROUND(M8*N8*O8*P8*Q8/10000,0)</f>
        <v>0</v>
      </c>
      <c r="S8" s="2591"/>
      <c r="T8" s="2591" t="s">
        <v>2352</v>
      </c>
      <c r="U8" s="2591"/>
      <c r="V8" s="2599"/>
    </row>
    <row r="9" spans="1:22" s="2603" customFormat="1" ht="13.2" customHeight="1">
      <c r="A9" s="2638">
        <v>1</v>
      </c>
      <c r="B9" s="3368" t="s">
        <v>2353</v>
      </c>
      <c r="C9" s="3369"/>
      <c r="D9" s="2639">
        <f>ROUND(D6*E9,0)</f>
        <v>0</v>
      </c>
      <c r="E9" s="2643"/>
      <c r="F9" s="2644" t="s">
        <v>2354</v>
      </c>
      <c r="G9" s="2623"/>
      <c r="H9" s="2598"/>
      <c r="I9" s="2599"/>
      <c r="J9" s="3351"/>
      <c r="K9" s="3353"/>
      <c r="L9" s="2633" t="s">
        <v>2355</v>
      </c>
      <c r="M9" s="2634"/>
      <c r="N9" s="2610"/>
      <c r="O9" s="2635"/>
      <c r="P9" s="2635"/>
      <c r="Q9" s="2636">
        <v>365</v>
      </c>
      <c r="R9" s="2637">
        <f t="shared" si="0"/>
        <v>0</v>
      </c>
      <c r="S9" s="2591"/>
      <c r="T9" s="2591"/>
      <c r="U9" s="2591"/>
      <c r="V9" s="2599"/>
    </row>
    <row r="10" spans="1:22" s="2603" customFormat="1" ht="13.2" customHeight="1">
      <c r="A10" s="2638">
        <v>2</v>
      </c>
      <c r="B10" s="3368" t="s">
        <v>2356</v>
      </c>
      <c r="C10" s="3369"/>
      <c r="D10" s="2639">
        <f>ROUND(D6*E10,0)</f>
        <v>0</v>
      </c>
      <c r="E10" s="2643"/>
      <c r="F10" s="2644" t="s">
        <v>2357</v>
      </c>
      <c r="G10" s="2623"/>
      <c r="H10" s="2598"/>
      <c r="I10" s="2599"/>
      <c r="J10" s="3351"/>
      <c r="K10" s="3353"/>
      <c r="L10" s="2633" t="s">
        <v>2358</v>
      </c>
      <c r="M10" s="2634"/>
      <c r="N10" s="2610"/>
      <c r="O10" s="2635"/>
      <c r="P10" s="2635"/>
      <c r="Q10" s="2636">
        <v>365</v>
      </c>
      <c r="R10" s="2637">
        <f t="shared" si="0"/>
        <v>0</v>
      </c>
      <c r="S10" s="2591"/>
      <c r="T10" s="2591"/>
      <c r="U10" s="2591"/>
      <c r="V10" s="2599"/>
    </row>
    <row r="11" spans="1:22" s="2603" customFormat="1" ht="13.2" customHeight="1">
      <c r="A11" s="2638">
        <v>3</v>
      </c>
      <c r="B11" s="3368" t="s">
        <v>2359</v>
      </c>
      <c r="C11" s="3369"/>
      <c r="D11" s="2639">
        <f>D12+D14+D15+D16</f>
        <v>0</v>
      </c>
      <c r="E11" s="2645" t="e">
        <f>D11/D6</f>
        <v>#DIV/0!</v>
      </c>
      <c r="F11" s="2641"/>
      <c r="G11" s="2642"/>
      <c r="H11" s="2598"/>
      <c r="I11" s="2599"/>
      <c r="J11" s="3351"/>
      <c r="K11" s="3353"/>
      <c r="L11" s="2633" t="s">
        <v>2360</v>
      </c>
      <c r="M11" s="2634"/>
      <c r="N11" s="2610"/>
      <c r="O11" s="2635"/>
      <c r="P11" s="2635"/>
      <c r="Q11" s="2636">
        <v>365</v>
      </c>
      <c r="R11" s="2637">
        <f t="shared" si="0"/>
        <v>0</v>
      </c>
      <c r="S11" s="2591"/>
      <c r="T11" s="2591"/>
      <c r="U11" s="2591"/>
      <c r="V11" s="2599"/>
    </row>
    <row r="12" spans="1:22" s="2603" customFormat="1" ht="13.2" customHeight="1">
      <c r="A12" s="2646" t="s">
        <v>2361</v>
      </c>
      <c r="B12" s="3361" t="s">
        <v>2362</v>
      </c>
      <c r="C12" s="3362"/>
      <c r="D12" s="2647">
        <f>ROUND(D13*1.2%*(1-30%),0)</f>
        <v>0</v>
      </c>
      <c r="E12" s="2648">
        <v>1.2E-2</v>
      </c>
      <c r="F12" s="2641" t="s">
        <v>2363</v>
      </c>
      <c r="G12" s="2642"/>
      <c r="H12" s="2598"/>
      <c r="I12" s="2599"/>
      <c r="J12" s="3351"/>
      <c r="K12" s="3353"/>
      <c r="L12" s="2633" t="s">
        <v>2364</v>
      </c>
      <c r="M12" s="2634"/>
      <c r="N12" s="2610"/>
      <c r="O12" s="2635"/>
      <c r="P12" s="2635"/>
      <c r="Q12" s="2636">
        <v>365</v>
      </c>
      <c r="R12" s="2637">
        <f t="shared" si="0"/>
        <v>0</v>
      </c>
      <c r="S12" s="2591"/>
      <c r="T12" s="2591"/>
      <c r="U12" s="2591"/>
      <c r="V12" s="2599"/>
    </row>
    <row r="13" spans="1:22" s="2603" customFormat="1" ht="13.2" customHeight="1">
      <c r="A13" s="2646"/>
      <c r="B13" s="2649"/>
      <c r="C13" s="2650" t="s">
        <v>2365</v>
      </c>
      <c r="D13" s="2651"/>
      <c r="E13" s="2652"/>
      <c r="F13" s="2641"/>
      <c r="G13" s="2642"/>
      <c r="H13" s="2598"/>
      <c r="I13" s="2599"/>
      <c r="J13" s="3351"/>
      <c r="K13" s="3353"/>
      <c r="L13" s="2633" t="s">
        <v>2366</v>
      </c>
      <c r="M13" s="2634"/>
      <c r="N13" s="2610"/>
      <c r="O13" s="2635"/>
      <c r="P13" s="2635"/>
      <c r="Q13" s="2636">
        <v>365</v>
      </c>
      <c r="R13" s="2637">
        <f t="shared" si="0"/>
        <v>0</v>
      </c>
      <c r="S13" s="2591"/>
      <c r="T13" s="2591"/>
      <c r="U13" s="2591"/>
      <c r="V13" s="2599"/>
    </row>
    <row r="14" spans="1:22" s="2603" customFormat="1" ht="13.2" customHeight="1">
      <c r="A14" s="2646" t="s">
        <v>2367</v>
      </c>
      <c r="B14" s="3361" t="s">
        <v>2368</v>
      </c>
      <c r="C14" s="3362"/>
      <c r="D14" s="2647">
        <f>ROUND(E14*B5/10000,0)</f>
        <v>0</v>
      </c>
      <c r="E14" s="2636"/>
      <c r="F14" s="2641" t="s">
        <v>2369</v>
      </c>
      <c r="G14" s="2642"/>
      <c r="H14" s="2598"/>
      <c r="I14" s="2599"/>
      <c r="J14" s="3351"/>
      <c r="K14" s="3354"/>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2371</v>
      </c>
      <c r="B15" s="3361" t="s">
        <v>2372</v>
      </c>
      <c r="C15" s="3362"/>
      <c r="D15" s="2647">
        <f>ROUND(D6*E15,0)</f>
        <v>0</v>
      </c>
      <c r="E15" s="2648">
        <v>5.5E-2</v>
      </c>
      <c r="F15" s="2641" t="s">
        <v>2373</v>
      </c>
      <c r="G15" s="2623"/>
      <c r="H15" s="2598"/>
      <c r="I15" s="2599"/>
      <c r="J15" s="3351">
        <v>2</v>
      </c>
      <c r="K15" s="3352"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2" customHeight="1">
      <c r="A16" s="2646" t="s">
        <v>2380</v>
      </c>
      <c r="B16" s="3361" t="s">
        <v>2381</v>
      </c>
      <c r="C16" s="3362"/>
      <c r="D16" s="2658">
        <f>D6*E16</f>
        <v>0</v>
      </c>
      <c r="E16" s="2659"/>
      <c r="F16" s="2644" t="s">
        <v>2382</v>
      </c>
      <c r="G16" s="2623"/>
      <c r="H16" s="2598"/>
      <c r="I16" s="2599"/>
      <c r="J16" s="3351"/>
      <c r="K16" s="3353"/>
      <c r="L16" s="2633" t="s">
        <v>2383</v>
      </c>
      <c r="M16" s="2634"/>
      <c r="N16" s="2634"/>
      <c r="O16" s="2635"/>
      <c r="P16" s="2636">
        <v>365</v>
      </c>
      <c r="Q16" s="2610"/>
      <c r="R16" s="2657">
        <f>ROUND(M16*N16*O16*P16/10000,0)</f>
        <v>0</v>
      </c>
      <c r="S16" s="2591"/>
      <c r="T16" s="2591"/>
      <c r="U16" s="2591"/>
      <c r="V16" s="2599"/>
    </row>
    <row r="17" spans="1:22" s="2603" customFormat="1" ht="13.2" customHeight="1" thickBot="1">
      <c r="A17" s="2660">
        <v>4</v>
      </c>
      <c r="B17" s="3363" t="s">
        <v>2384</v>
      </c>
      <c r="C17" s="3364"/>
      <c r="D17" s="2661">
        <f>ROUND(D6*E17,0)</f>
        <v>0</v>
      </c>
      <c r="E17" s="2662"/>
      <c r="F17" s="2663" t="s">
        <v>2385</v>
      </c>
      <c r="G17" s="2623"/>
      <c r="H17" s="2598"/>
      <c r="I17" s="2599"/>
      <c r="J17" s="3351"/>
      <c r="K17" s="3353"/>
      <c r="L17" s="2633" t="s">
        <v>2386</v>
      </c>
      <c r="M17" s="2634"/>
      <c r="N17" s="2634"/>
      <c r="O17" s="2635"/>
      <c r="P17" s="2636">
        <v>365</v>
      </c>
      <c r="Q17" s="2610"/>
      <c r="R17" s="2657">
        <f>ROUND(M17*N17*O17*P17/10000,0)</f>
        <v>0</v>
      </c>
      <c r="S17" s="2591"/>
      <c r="T17" s="2591"/>
      <c r="U17" s="2591"/>
      <c r="V17" s="2599"/>
    </row>
    <row r="18" spans="1:22" s="2603" customFormat="1" ht="13.2" customHeight="1" thickBot="1">
      <c r="A18" s="2626" t="s">
        <v>2387</v>
      </c>
      <c r="B18" s="2627"/>
      <c r="C18" s="2627"/>
      <c r="D18" s="2664">
        <f>ROUND(D6*E18,0)</f>
        <v>0</v>
      </c>
      <c r="E18" s="2665"/>
      <c r="F18" s="2666" t="s">
        <v>2388</v>
      </c>
      <c r="G18" s="2623"/>
      <c r="H18" s="2598"/>
      <c r="I18" s="2599"/>
      <c r="J18" s="3351"/>
      <c r="K18" s="3353"/>
      <c r="L18" s="2633" t="s">
        <v>2389</v>
      </c>
      <c r="M18" s="2634"/>
      <c r="N18" s="2634"/>
      <c r="O18" s="2635"/>
      <c r="P18" s="2636">
        <v>365</v>
      </c>
      <c r="Q18" s="2610"/>
      <c r="R18" s="2657">
        <f>ROUND(M18*N18*O18*P18/10000,0)</f>
        <v>0</v>
      </c>
      <c r="S18" s="2591"/>
      <c r="T18" s="2591"/>
      <c r="U18" s="2591"/>
      <c r="V18" s="2599"/>
    </row>
    <row r="19" spans="1:22" s="2603" customFormat="1" ht="13.2" customHeight="1" thickBot="1">
      <c r="A19" s="2667" t="s">
        <v>2390</v>
      </c>
      <c r="B19" s="2621"/>
      <c r="C19" s="2621"/>
      <c r="D19" s="2621"/>
      <c r="E19" s="2621"/>
      <c r="F19" s="2622"/>
      <c r="G19" s="2642"/>
      <c r="H19" s="2598"/>
      <c r="I19" s="2599"/>
      <c r="J19" s="3351"/>
      <c r="K19" s="3354"/>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51">
        <v>3</v>
      </c>
      <c r="K20" s="3352"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2" customHeight="1">
      <c r="A21" s="2626"/>
      <c r="B21" s="2627"/>
      <c r="C21" s="2672" t="s">
        <v>2399</v>
      </c>
      <c r="D21" s="2673" t="s">
        <v>2400</v>
      </c>
      <c r="E21" s="2674" t="s">
        <v>2401</v>
      </c>
      <c r="F21" s="2670"/>
      <c r="G21" s="2642"/>
      <c r="H21" s="2598"/>
      <c r="I21" s="2599"/>
      <c r="J21" s="3351"/>
      <c r="K21" s="3353"/>
      <c r="L21" s="2633" t="s">
        <v>2402</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2403</v>
      </c>
      <c r="D22" s="2677" t="s">
        <v>2404</v>
      </c>
      <c r="E22" s="2678" t="s">
        <v>2405</v>
      </c>
      <c r="F22" s="2670"/>
      <c r="G22" s="2591"/>
      <c r="H22" s="2598"/>
      <c r="I22" s="2599"/>
      <c r="J22" s="3351"/>
      <c r="K22" s="3353"/>
      <c r="L22" s="2633" t="s">
        <v>2406</v>
      </c>
      <c r="M22" s="2634"/>
      <c r="N22" s="2634"/>
      <c r="O22" s="2635"/>
      <c r="P22" s="2636">
        <v>365</v>
      </c>
      <c r="Q22" s="2610"/>
      <c r="R22" s="2675">
        <f>ROUND(M22*N22*O22*P22/10000,0)</f>
        <v>0</v>
      </c>
      <c r="S22" s="2591"/>
      <c r="T22" s="2591"/>
      <c r="U22" s="2591"/>
      <c r="V22" s="2599"/>
    </row>
    <row r="23" spans="1:22" s="2603" customFormat="1" ht="13.2" customHeight="1">
      <c r="A23" s="2679">
        <v>1</v>
      </c>
      <c r="B23" s="2680" t="s">
        <v>2407</v>
      </c>
      <c r="C23" s="2681">
        <f>D6</f>
        <v>0</v>
      </c>
      <c r="D23" s="2682">
        <f>C23*(1+D24)</f>
        <v>0</v>
      </c>
      <c r="E23" s="2683">
        <f>D23*(1+E24)</f>
        <v>0</v>
      </c>
      <c r="F23" s="2684"/>
      <c r="G23" s="2685"/>
      <c r="H23" s="2598"/>
      <c r="I23" s="2599"/>
      <c r="J23" s="3351"/>
      <c r="K23" s="3353"/>
      <c r="L23" s="2633" t="s">
        <v>2408</v>
      </c>
      <c r="M23" s="2634"/>
      <c r="N23" s="2634"/>
      <c r="O23" s="2635"/>
      <c r="P23" s="2636">
        <v>365</v>
      </c>
      <c r="Q23" s="2610"/>
      <c r="R23" s="2675">
        <f>ROUND(M23*N23*O23*P23/10000,0)</f>
        <v>0</v>
      </c>
      <c r="S23" s="2591"/>
      <c r="T23" s="2591"/>
      <c r="U23" s="2591"/>
      <c r="V23" s="2599"/>
    </row>
    <row r="24" spans="1:22" s="2603" customFormat="1" ht="13.2" customHeight="1">
      <c r="A24" s="2686"/>
      <c r="B24" s="2687" t="s">
        <v>2409</v>
      </c>
      <c r="C24" s="2688"/>
      <c r="D24" s="2689"/>
      <c r="E24" s="2690"/>
      <c r="F24" s="2691"/>
      <c r="G24" s="2685"/>
      <c r="H24" s="2598"/>
      <c r="I24" s="2599"/>
      <c r="J24" s="3351"/>
      <c r="K24" s="3354"/>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2" customHeight="1">
      <c r="A26" s="2679">
        <v>2</v>
      </c>
      <c r="B26" s="2680" t="s">
        <v>2411</v>
      </c>
      <c r="C26" s="2681">
        <f>D7</f>
        <v>0</v>
      </c>
      <c r="D26" s="2682">
        <f>D23*D27</f>
        <v>0</v>
      </c>
      <c r="E26" s="2683">
        <f>E23*E27</f>
        <v>0</v>
      </c>
      <c r="F26" s="2684"/>
      <c r="G26" s="2685"/>
      <c r="H26" s="2598"/>
      <c r="I26" s="2599"/>
      <c r="J26" s="3355">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2" customHeight="1">
      <c r="A27" s="2686"/>
      <c r="B27" s="2687" t="s">
        <v>2417</v>
      </c>
      <c r="C27" s="2704" t="e">
        <f>E7</f>
        <v>#DIV/0!</v>
      </c>
      <c r="D27" s="2689"/>
      <c r="E27" s="2690"/>
      <c r="F27" s="2691"/>
      <c r="G27" s="2685"/>
      <c r="H27" s="2705"/>
      <c r="I27" s="2697"/>
      <c r="J27" s="3356"/>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2"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2" customHeight="1">
      <c r="A32" s="2679">
        <v>4</v>
      </c>
      <c r="B32" s="2680" t="s">
        <v>2425</v>
      </c>
      <c r="C32" s="2681">
        <f>C23-C26-C29</f>
        <v>0</v>
      </c>
      <c r="D32" s="2682">
        <f>D23-D26-D29</f>
        <v>0</v>
      </c>
      <c r="E32" s="2683">
        <f>E23-E26-E29</f>
        <v>0</v>
      </c>
      <c r="F32" s="2684"/>
      <c r="G32" s="2591"/>
      <c r="H32" s="2598"/>
      <c r="I32" s="2599"/>
      <c r="J32" s="3357" t="s">
        <v>2317</v>
      </c>
      <c r="K32" s="3358"/>
      <c r="L32" s="2600" t="s">
        <v>2318</v>
      </c>
      <c r="M32" s="2600" t="s">
        <v>2319</v>
      </c>
      <c r="N32" s="2600" t="s">
        <v>2320</v>
      </c>
      <c r="O32" s="2600" t="s">
        <v>2321</v>
      </c>
      <c r="P32" s="2600" t="s">
        <v>2322</v>
      </c>
      <c r="Q32" s="2601" t="s">
        <v>2323</v>
      </c>
      <c r="R32" s="2720" t="s">
        <v>2324</v>
      </c>
      <c r="S32" s="2591"/>
      <c r="T32" s="2591"/>
      <c r="U32" s="2591"/>
      <c r="V32" s="2697"/>
    </row>
    <row r="33" spans="1:23" s="2603" customFormat="1" ht="13.2" customHeight="1">
      <c r="A33" s="2679"/>
      <c r="B33" s="2680"/>
      <c r="C33" s="2681"/>
      <c r="D33" s="2721"/>
      <c r="E33" s="2722"/>
      <c r="F33" s="2684"/>
      <c r="G33" s="2591"/>
      <c r="H33" s="2705"/>
      <c r="I33" s="2697"/>
      <c r="J33" s="3359" t="s">
        <v>2327</v>
      </c>
      <c r="K33" s="3360"/>
      <c r="L33" s="2606"/>
      <c r="M33" s="2606"/>
      <c r="N33" s="2606"/>
      <c r="O33" s="2606"/>
      <c r="P33" s="2606"/>
      <c r="Q33" s="2607"/>
      <c r="R33" s="2723">
        <f>SUM(L33:Q33)</f>
        <v>0</v>
      </c>
      <c r="S33" s="2591"/>
      <c r="T33" s="2591"/>
      <c r="U33" s="2591"/>
      <c r="V33" s="2599"/>
    </row>
    <row r="34" spans="1:23" s="2603" customFormat="1" ht="13.2" customHeight="1">
      <c r="A34" s="2679">
        <v>5</v>
      </c>
      <c r="B34" s="2680" t="s">
        <v>2426</v>
      </c>
      <c r="C34" s="2724"/>
      <c r="D34" s="2725"/>
      <c r="E34" s="2726"/>
      <c r="F34" s="2684"/>
      <c r="G34" s="2591"/>
      <c r="H34" s="2705"/>
      <c r="I34" s="2697"/>
      <c r="J34" s="3359" t="s">
        <v>2329</v>
      </c>
      <c r="K34" s="3360"/>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2" customHeight="1" thickBot="1">
      <c r="A36" s="2679">
        <v>7</v>
      </c>
      <c r="B36" s="2733" t="s">
        <v>2428</v>
      </c>
      <c r="C36" s="2734"/>
      <c r="D36" s="2735"/>
      <c r="E36" s="2736"/>
      <c r="F36" s="2737">
        <f>C36+D36+E36</f>
        <v>0</v>
      </c>
      <c r="G36" s="2591"/>
      <c r="H36" s="2598"/>
      <c r="I36" s="2599"/>
      <c r="J36" s="3351">
        <v>1</v>
      </c>
      <c r="K36" s="3352" t="s">
        <v>2429</v>
      </c>
      <c r="L36" s="2624"/>
      <c r="M36" s="2625"/>
      <c r="N36" s="2625"/>
      <c r="O36" s="2625"/>
      <c r="P36" s="2625"/>
      <c r="Q36" s="2625"/>
      <c r="R36" s="2608" t="s">
        <v>2341</v>
      </c>
      <c r="S36" s="2591"/>
      <c r="T36" s="2591" t="s">
        <v>2342</v>
      </c>
      <c r="U36" s="2591"/>
      <c r="V36" s="2599"/>
    </row>
    <row r="37" spans="1:23" s="2603" customFormat="1" ht="13.2" customHeight="1">
      <c r="A37" s="2679"/>
      <c r="B37" s="2680"/>
      <c r="C37" s="2680"/>
      <c r="D37" s="2680"/>
      <c r="E37" s="2680"/>
      <c r="F37" s="2684"/>
      <c r="G37" s="2591"/>
      <c r="H37" s="2598"/>
      <c r="I37" s="2599"/>
      <c r="J37" s="3351"/>
      <c r="K37" s="3353"/>
      <c r="L37" s="2633"/>
      <c r="M37" s="2634"/>
      <c r="N37" s="2610"/>
      <c r="O37" s="2635"/>
      <c r="P37" s="2635"/>
      <c r="Q37" s="2636"/>
      <c r="R37" s="2637"/>
      <c r="S37" s="2591"/>
      <c r="T37" s="2591" t="s">
        <v>2345</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51"/>
      <c r="K38" s="3353"/>
      <c r="L38" s="2633"/>
      <c r="M38" s="2634"/>
      <c r="N38" s="2610"/>
      <c r="O38" s="2635"/>
      <c r="P38" s="2635"/>
      <c r="Q38" s="2636"/>
      <c r="R38" s="2637"/>
      <c r="S38" s="2591"/>
      <c r="T38" s="2591" t="s">
        <v>2352</v>
      </c>
      <c r="U38" s="2591"/>
      <c r="V38" s="2599"/>
    </row>
    <row r="39" spans="1:23" s="2603" customFormat="1" ht="13.2" customHeight="1">
      <c r="A39" s="2679">
        <v>9</v>
      </c>
      <c r="B39" s="2680" t="s">
        <v>2430</v>
      </c>
      <c r="C39" s="2647" t="e">
        <f>C38</f>
        <v>#DIV/0!</v>
      </c>
      <c r="D39" s="2680">
        <f>D38/(1+D34)^C36</f>
        <v>0</v>
      </c>
      <c r="E39" s="2680">
        <f>E38/(1+E34)^(C36+D36)</f>
        <v>0</v>
      </c>
      <c r="F39" s="2684"/>
      <c r="G39" s="2599"/>
      <c r="H39" s="2598"/>
      <c r="I39" s="2599"/>
      <c r="J39" s="3351"/>
      <c r="K39" s="3353"/>
      <c r="L39" s="2633"/>
      <c r="M39" s="2634"/>
      <c r="N39" s="2610"/>
      <c r="O39" s="2635"/>
      <c r="P39" s="2635"/>
      <c r="Q39" s="2636"/>
      <c r="R39" s="2637"/>
      <c r="S39" s="2591"/>
      <c r="T39" s="2591"/>
      <c r="U39" s="2591"/>
      <c r="V39" s="2599"/>
    </row>
    <row r="40" spans="1:23" s="2603" customFormat="1" ht="13.2" customHeight="1">
      <c r="A40" s="2738">
        <v>10</v>
      </c>
      <c r="B40" s="2680" t="s">
        <v>2431</v>
      </c>
      <c r="C40" s="2739" t="e">
        <f>C39+D39+E39</f>
        <v>#DIV/0!</v>
      </c>
      <c r="D40" s="2740"/>
      <c r="E40" s="2740"/>
      <c r="F40" s="2741"/>
      <c r="G40" s="2591"/>
      <c r="H40" s="2598"/>
      <c r="I40" s="2599"/>
      <c r="J40" s="3351"/>
      <c r="K40" s="3354"/>
      <c r="L40" s="2653" t="s">
        <v>2370</v>
      </c>
      <c r="M40" s="2654"/>
      <c r="N40" s="2654"/>
      <c r="O40" s="2655"/>
      <c r="P40" s="2655"/>
      <c r="Q40" s="2656"/>
      <c r="R40" s="2602">
        <f>SUM(R37:R39)</f>
        <v>0</v>
      </c>
      <c r="S40" s="2591"/>
      <c r="T40" s="2591"/>
      <c r="U40" s="2591"/>
      <c r="V40" s="2599"/>
    </row>
    <row r="41" spans="1:23" s="2603" customFormat="1" ht="13.2"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2" customHeight="1">
      <c r="G42" s="2598"/>
      <c r="H42" s="2598"/>
      <c r="I42" s="2599"/>
      <c r="J42" s="3355">
        <v>3</v>
      </c>
      <c r="K42" s="2699" t="s">
        <v>2412</v>
      </c>
      <c r="L42" s="2700"/>
      <c r="M42" s="2701"/>
      <c r="N42" s="2702" t="s">
        <v>2413</v>
      </c>
      <c r="O42" s="2702" t="s">
        <v>2414</v>
      </c>
      <c r="P42" s="2703" t="s">
        <v>2415</v>
      </c>
      <c r="Q42" s="2703" t="s">
        <v>2416</v>
      </c>
      <c r="R42" s="2608" t="s">
        <v>2341</v>
      </c>
      <c r="S42" s="2642"/>
      <c r="T42" s="2642"/>
      <c r="U42" s="2591"/>
      <c r="V42" s="2599"/>
    </row>
    <row r="43" spans="1:23" ht="13.2" customHeight="1">
      <c r="A43" s="2603"/>
      <c r="B43" s="2603"/>
      <c r="C43" s="2603"/>
      <c r="D43" s="2603"/>
      <c r="E43" s="2603"/>
      <c r="F43" s="2603"/>
      <c r="I43" s="2586"/>
      <c r="J43" s="3356"/>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1967.4022</v>
      </c>
      <c r="C2" s="1729" t="s">
        <v>1651</v>
      </c>
      <c r="D2" s="1730" t="s">
        <v>1652</v>
      </c>
      <c r="E2" s="2392">
        <f>SUM(E6:E13)</f>
        <v>576.94000000000005</v>
      </c>
      <c r="F2" s="2478"/>
      <c r="G2" s="459"/>
      <c r="H2" s="459"/>
      <c r="I2" s="459"/>
      <c r="J2" s="459"/>
      <c r="K2" s="459"/>
      <c r="L2" s="459"/>
      <c r="M2" s="459"/>
      <c r="N2" s="459"/>
      <c r="O2" s="459"/>
      <c r="P2" s="459"/>
      <c r="Q2" s="459"/>
      <c r="R2" s="459"/>
      <c r="S2" s="459"/>
    </row>
    <row r="3" spans="1:22" ht="15.6">
      <c r="A3" s="1728" t="s">
        <v>686</v>
      </c>
      <c r="B3" s="2386">
        <f ca="1">ROUND(B2*10000/E2,0)</f>
        <v>34101</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370" t="s">
        <v>1654</v>
      </c>
      <c r="C5" s="3371"/>
      <c r="D5" s="2479"/>
      <c r="E5" s="1731"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1967.4022</v>
      </c>
      <c r="C6" s="1729" t="s">
        <v>1651</v>
      </c>
      <c r="D6" s="2478"/>
      <c r="E6" s="2391">
        <f>IF(OR(A6=0,F6="否"),0,'数据-取费表'!K6+'数据-取费表'!S6)</f>
        <v>576.94000000000005</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受贵公司委托，我公司对北京市朝阳区常营南路50号院12-14商业1层104房地产抵押价值进行了预评估。</v>
      </c>
    </row>
    <row r="5" spans="1:1" ht="17.399999999999999">
      <c r="A5" s="1383" t="s">
        <v>899</v>
      </c>
    </row>
    <row r="6" spans="1:1" ht="17.399999999999999">
      <c r="A6" s="1384" t="s">
        <v>900</v>
      </c>
    </row>
    <row r="7" spans="1:1" ht="17.399999999999999">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估价对象为北京市朝阳区常营南路50号院12-14商业1层104房地产，为北京惠尔三吉绿色化学科技有限公司
所有。根据《国有土地使用证》[]，估价对象（分摊）出让国有建设用地使用权面积为0平方米，建筑面积为576.94平方米。</v>
      </c>
    </row>
    <row r="8" spans="1:1" ht="54.6">
      <c r="A8" s="1385" t="s">
        <v>901</v>
      </c>
    </row>
    <row r="9" spans="1:1" ht="17.399999999999999">
      <c r="A9" s="1384" t="s">
        <v>902</v>
      </c>
    </row>
    <row r="10" spans="1:1" ht="17.399999999999999">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估价对象为北京市朝阳区常营南路50号院12-14商业1层104房地产,属北京惠尔三吉绿色化学科技有限公司
开发建设的商业项目，该项目尚在开发建设中。根据《国有土地使用证》[]，估价对象（分摊）出让国有建设用地使用权面积为0平方米，规划建筑面积为576.94平方米。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朝阳区常营南路50号院12-14商业1层104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2025年5月9日</v>
      </c>
    </row>
    <row r="16" spans="1:1" ht="17.399999999999999">
      <c r="A16" s="1381" t="s">
        <v>906</v>
      </c>
    </row>
    <row r="17" spans="1:1" ht="69.599999999999994">
      <c r="A17" s="1382" t="s">
        <v>907</v>
      </c>
    </row>
    <row r="18" spans="1:1" ht="52.2">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9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576.94000000000005</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390" t="s">
        <v>1667</v>
      </c>
      <c r="D4" s="3391"/>
      <c r="E4" s="3392" t="s">
        <v>1668</v>
      </c>
      <c r="F4" s="3393"/>
      <c r="G4" s="3390" t="s">
        <v>1669</v>
      </c>
      <c r="H4" s="3391"/>
      <c r="I4" s="3390" t="s">
        <v>1670</v>
      </c>
      <c r="J4" s="3391"/>
      <c r="K4" s="1744" t="s">
        <v>1671</v>
      </c>
      <c r="L4" s="2485"/>
      <c r="M4" s="2486"/>
      <c r="N4" s="2486"/>
      <c r="O4" s="2486"/>
      <c r="P4" s="3394" t="s">
        <v>1672</v>
      </c>
      <c r="Q4" s="3395"/>
      <c r="R4" s="3400" t="s">
        <v>1668</v>
      </c>
      <c r="S4" s="3401"/>
      <c r="T4" s="3400" t="s">
        <v>1669</v>
      </c>
      <c r="U4" s="3401"/>
      <c r="V4" s="3376" t="s">
        <v>1670</v>
      </c>
      <c r="W4" s="3376"/>
      <c r="X4" s="1265"/>
      <c r="Y4" s="3400" t="s">
        <v>1672</v>
      </c>
      <c r="Z4" s="3401"/>
      <c r="AA4" s="3387" t="s">
        <v>1668</v>
      </c>
      <c r="AB4" s="3387" t="s">
        <v>1669</v>
      </c>
      <c r="AC4" s="3387" t="s">
        <v>1670</v>
      </c>
    </row>
    <row r="5" spans="1:29">
      <c r="A5" s="348"/>
      <c r="B5" s="349"/>
      <c r="C5" s="3408" t="s">
        <v>1673</v>
      </c>
      <c r="D5" s="3409"/>
      <c r="E5" s="3415" t="s">
        <v>1674</v>
      </c>
      <c r="F5" s="3416"/>
      <c r="G5" s="3408" t="s">
        <v>1675</v>
      </c>
      <c r="H5" s="3409"/>
      <c r="I5" s="3408" t="s">
        <v>1676</v>
      </c>
      <c r="J5" s="3409"/>
      <c r="K5" s="1745"/>
      <c r="L5" s="2485"/>
      <c r="M5" s="2486"/>
      <c r="N5" s="2486"/>
      <c r="O5" s="2486"/>
      <c r="P5" s="3396"/>
      <c r="Q5" s="3397"/>
      <c r="R5" s="3402"/>
      <c r="S5" s="3403"/>
      <c r="T5" s="3402"/>
      <c r="U5" s="3403"/>
      <c r="V5" s="3376"/>
      <c r="W5" s="3376"/>
      <c r="X5" s="1265"/>
      <c r="Y5" s="3402"/>
      <c r="Z5" s="3403"/>
      <c r="AA5" s="3388"/>
      <c r="AB5" s="3388"/>
      <c r="AC5" s="3388"/>
    </row>
    <row r="6" spans="1:29" ht="15" thickBot="1">
      <c r="A6" s="350"/>
      <c r="B6" s="351"/>
      <c r="C6" s="3406" t="s">
        <v>1677</v>
      </c>
      <c r="D6" s="3407"/>
      <c r="E6" s="3413" t="s">
        <v>1677</v>
      </c>
      <c r="F6" s="3414"/>
      <c r="G6" s="3406" t="s">
        <v>1677</v>
      </c>
      <c r="H6" s="3407"/>
      <c r="I6" s="3406" t="s">
        <v>1677</v>
      </c>
      <c r="J6" s="3407"/>
      <c r="K6" s="1745" t="s">
        <v>1678</v>
      </c>
      <c r="L6" s="2485"/>
      <c r="M6" s="2486"/>
      <c r="N6" s="2486"/>
      <c r="O6" s="2486"/>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45786</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10" t="s">
        <v>1680</v>
      </c>
      <c r="Q7" s="3412"/>
      <c r="R7" s="664" t="s">
        <v>20</v>
      </c>
      <c r="S7" s="665">
        <f t="shared" ref="S7:S15" si="0">F7</f>
        <v>0</v>
      </c>
      <c r="T7" s="664" t="s">
        <v>20</v>
      </c>
      <c r="U7" s="665">
        <f t="shared" ref="U7:U15" si="1">H7</f>
        <v>0</v>
      </c>
      <c r="V7" s="664" t="s">
        <v>20</v>
      </c>
      <c r="W7" s="665">
        <f t="shared" ref="W7:W15" si="2">J7</f>
        <v>0</v>
      </c>
      <c r="X7" s="666"/>
      <c r="Y7" s="3410" t="s">
        <v>1680</v>
      </c>
      <c r="Z7" s="3411"/>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10" t="s">
        <v>1683</v>
      </c>
      <c r="Q8" s="3411"/>
      <c r="R8" s="664" t="s">
        <v>20</v>
      </c>
      <c r="S8" s="665">
        <f t="shared" si="0"/>
        <v>100</v>
      </c>
      <c r="T8" s="664" t="s">
        <v>20</v>
      </c>
      <c r="U8" s="665">
        <f t="shared" si="1"/>
        <v>100</v>
      </c>
      <c r="V8" s="664" t="s">
        <v>20</v>
      </c>
      <c r="W8" s="665">
        <f t="shared" si="2"/>
        <v>100</v>
      </c>
      <c r="X8" s="666"/>
      <c r="Y8" s="3410" t="s">
        <v>1683</v>
      </c>
      <c r="Z8" s="3411"/>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86" t="s">
        <v>1686</v>
      </c>
      <c r="Q9" s="530" t="str">
        <f t="shared" ref="Q9:Q15" si="6">B9</f>
        <v>用途</v>
      </c>
      <c r="R9" s="664" t="s">
        <v>14</v>
      </c>
      <c r="S9" s="665">
        <f t="shared" si="0"/>
        <v>100</v>
      </c>
      <c r="T9" s="664" t="s">
        <v>14</v>
      </c>
      <c r="U9" s="665">
        <f t="shared" si="1"/>
        <v>100</v>
      </c>
      <c r="V9" s="664" t="s">
        <v>14</v>
      </c>
      <c r="W9" s="665">
        <f t="shared" si="2"/>
        <v>100</v>
      </c>
      <c r="X9" s="666"/>
      <c r="Y9" s="3250"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86"/>
      <c r="Q10" s="530" t="str">
        <f t="shared" si="6"/>
        <v>土地使用年限（年）</v>
      </c>
      <c r="R10" s="664" t="s">
        <v>14</v>
      </c>
      <c r="S10" s="665">
        <f t="shared" si="0"/>
        <v>100</v>
      </c>
      <c r="T10" s="664" t="s">
        <v>14</v>
      </c>
      <c r="U10" s="665">
        <f t="shared" si="1"/>
        <v>100</v>
      </c>
      <c r="V10" s="664" t="s">
        <v>14</v>
      </c>
      <c r="W10" s="665">
        <f t="shared" si="2"/>
        <v>100</v>
      </c>
      <c r="X10" s="666"/>
      <c r="Y10" s="325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86"/>
      <c r="Q11" s="530" t="str">
        <f t="shared" si="6"/>
        <v>容积率</v>
      </c>
      <c r="R11" s="664" t="s">
        <v>18</v>
      </c>
      <c r="S11" s="665" t="e">
        <f t="shared" si="0"/>
        <v>#N/A</v>
      </c>
      <c r="T11" s="664" t="s">
        <v>18</v>
      </c>
      <c r="U11" s="665" t="e">
        <f t="shared" si="1"/>
        <v>#N/A</v>
      </c>
      <c r="V11" s="664" t="s">
        <v>18</v>
      </c>
      <c r="W11" s="665" t="e">
        <f t="shared" si="2"/>
        <v>#N/A</v>
      </c>
      <c r="X11" s="666"/>
      <c r="Y11" s="325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86"/>
      <c r="Q12" s="530">
        <f t="shared" si="6"/>
        <v>111</v>
      </c>
      <c r="R12" s="664" t="s">
        <v>18</v>
      </c>
      <c r="S12" s="665">
        <f t="shared" si="0"/>
        <v>100</v>
      </c>
      <c r="T12" s="664" t="s">
        <v>18</v>
      </c>
      <c r="U12" s="665">
        <f t="shared" si="1"/>
        <v>100</v>
      </c>
      <c r="V12" s="664" t="s">
        <v>18</v>
      </c>
      <c r="W12" s="665">
        <f t="shared" si="2"/>
        <v>100</v>
      </c>
      <c r="X12" s="666"/>
      <c r="Y12" s="325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86"/>
      <c r="Q13" s="530">
        <f t="shared" si="6"/>
        <v>111</v>
      </c>
      <c r="R13" s="664" t="s">
        <v>18</v>
      </c>
      <c r="S13" s="665">
        <f t="shared" si="0"/>
        <v>100</v>
      </c>
      <c r="T13" s="664" t="s">
        <v>18</v>
      </c>
      <c r="U13" s="665">
        <f t="shared" si="1"/>
        <v>100</v>
      </c>
      <c r="V13" s="664" t="s">
        <v>18</v>
      </c>
      <c r="W13" s="665">
        <f t="shared" si="2"/>
        <v>100</v>
      </c>
      <c r="X13" s="666"/>
      <c r="Y13" s="3250"/>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86"/>
      <c r="Q14" s="530">
        <f t="shared" si="6"/>
        <v>111</v>
      </c>
      <c r="R14" s="664" t="s">
        <v>18</v>
      </c>
      <c r="S14" s="665">
        <f t="shared" si="0"/>
        <v>100</v>
      </c>
      <c r="T14" s="664" t="s">
        <v>18</v>
      </c>
      <c r="U14" s="665">
        <f t="shared" si="1"/>
        <v>100</v>
      </c>
      <c r="V14" s="664" t="s">
        <v>18</v>
      </c>
      <c r="W14" s="665">
        <f t="shared" si="2"/>
        <v>100</v>
      </c>
      <c r="X14" s="666"/>
      <c r="Y14" s="3250"/>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84" t="s">
        <v>1691</v>
      </c>
      <c r="Q15" s="1263" t="str">
        <f t="shared" si="6"/>
        <v>居住社区成熟度</v>
      </c>
      <c r="R15" s="667" t="s">
        <v>18</v>
      </c>
      <c r="S15" s="668">
        <f t="shared" si="0"/>
        <v>100</v>
      </c>
      <c r="T15" s="667" t="s">
        <v>18</v>
      </c>
      <c r="U15" s="668">
        <f t="shared" si="1"/>
        <v>100</v>
      </c>
      <c r="V15" s="667" t="s">
        <v>18</v>
      </c>
      <c r="W15" s="668">
        <f t="shared" si="2"/>
        <v>100</v>
      </c>
      <c r="X15" s="1265"/>
      <c r="Y15" s="337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385"/>
      <c r="Q16" s="1263"/>
      <c r="R16" s="667"/>
      <c r="S16" s="668"/>
      <c r="T16" s="667"/>
      <c r="U16" s="668"/>
      <c r="V16" s="667"/>
      <c r="W16" s="668"/>
      <c r="X16" s="1265"/>
      <c r="Y16" s="3378"/>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85"/>
      <c r="Q17" s="1263" t="str">
        <f>B17</f>
        <v>交通便捷度</v>
      </c>
      <c r="R17" s="667" t="s">
        <v>18</v>
      </c>
      <c r="S17" s="668">
        <f>F17</f>
        <v>100</v>
      </c>
      <c r="T17" s="667" t="s">
        <v>18</v>
      </c>
      <c r="U17" s="668">
        <f>H17</f>
        <v>100</v>
      </c>
      <c r="V17" s="667" t="s">
        <v>18</v>
      </c>
      <c r="W17" s="668">
        <f>J17</f>
        <v>100</v>
      </c>
      <c r="X17" s="1265"/>
      <c r="Y17" s="337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385"/>
      <c r="Q18" s="1263"/>
      <c r="R18" s="667"/>
      <c r="S18" s="668"/>
      <c r="T18" s="667"/>
      <c r="U18" s="668"/>
      <c r="V18" s="667"/>
      <c r="W18" s="668"/>
      <c r="X18" s="1265"/>
      <c r="Y18" s="3378"/>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85"/>
      <c r="Q19" s="1263" t="str">
        <f>B19</f>
        <v>公共配套设施</v>
      </c>
      <c r="R19" s="667" t="s">
        <v>18</v>
      </c>
      <c r="S19" s="668">
        <f>F19</f>
        <v>100</v>
      </c>
      <c r="T19" s="667" t="s">
        <v>18</v>
      </c>
      <c r="U19" s="668">
        <f>H19</f>
        <v>100</v>
      </c>
      <c r="V19" s="667" t="s">
        <v>18</v>
      </c>
      <c r="W19" s="668">
        <f>J19</f>
        <v>100</v>
      </c>
      <c r="X19" s="1265"/>
      <c r="Y19" s="337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385"/>
      <c r="Q20" s="1263"/>
      <c r="R20" s="667"/>
      <c r="S20" s="668"/>
      <c r="T20" s="667"/>
      <c r="U20" s="668"/>
      <c r="V20" s="667"/>
      <c r="W20" s="668"/>
      <c r="X20" s="1265"/>
      <c r="Y20" s="3378"/>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85"/>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385"/>
      <c r="Q22" s="1263"/>
      <c r="R22" s="667"/>
      <c r="S22" s="668"/>
      <c r="T22" s="667"/>
      <c r="U22" s="668"/>
      <c r="V22" s="667"/>
      <c r="W22" s="668"/>
      <c r="X22" s="1265"/>
      <c r="Y22" s="3378"/>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85"/>
      <c r="Q23" s="1263" t="str">
        <f>B23</f>
        <v>自然及人文环境</v>
      </c>
      <c r="R23" s="667" t="s">
        <v>18</v>
      </c>
      <c r="S23" s="668">
        <f>F23</f>
        <v>100</v>
      </c>
      <c r="T23" s="667" t="s">
        <v>18</v>
      </c>
      <c r="U23" s="668">
        <f>H23</f>
        <v>100</v>
      </c>
      <c r="V23" s="667" t="s">
        <v>18</v>
      </c>
      <c r="W23" s="668">
        <f>J23</f>
        <v>100</v>
      </c>
      <c r="X23" s="1265"/>
      <c r="Y23" s="337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385"/>
      <c r="Q24" s="1263"/>
      <c r="R24" s="667"/>
      <c r="S24" s="668"/>
      <c r="T24" s="667"/>
      <c r="U24" s="668"/>
      <c r="V24" s="667"/>
      <c r="W24" s="668"/>
      <c r="X24" s="1265"/>
      <c r="Y24" s="337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8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85"/>
      <c r="Q26" s="1263" t="str">
        <f t="shared" si="11"/>
        <v>朝向</v>
      </c>
      <c r="R26" s="667" t="s">
        <v>18</v>
      </c>
      <c r="S26" s="668">
        <f t="shared" si="12"/>
        <v>100</v>
      </c>
      <c r="T26" s="667" t="s">
        <v>18</v>
      </c>
      <c r="U26" s="668">
        <f t="shared" si="13"/>
        <v>100</v>
      </c>
      <c r="V26" s="667" t="s">
        <v>18</v>
      </c>
      <c r="W26" s="668">
        <f t="shared" si="14"/>
        <v>100</v>
      </c>
      <c r="X26" s="1265"/>
      <c r="Y26" s="337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385"/>
      <c r="Q27" s="530">
        <f t="shared" si="11"/>
        <v>111</v>
      </c>
      <c r="R27" s="664" t="s">
        <v>18</v>
      </c>
      <c r="S27" s="665">
        <f t="shared" si="12"/>
        <v>100</v>
      </c>
      <c r="T27" s="664" t="s">
        <v>18</v>
      </c>
      <c r="U27" s="665">
        <f t="shared" si="13"/>
        <v>100</v>
      </c>
      <c r="V27" s="664" t="s">
        <v>18</v>
      </c>
      <c r="W27" s="665">
        <f t="shared" si="14"/>
        <v>100</v>
      </c>
      <c r="X27" s="666"/>
      <c r="Y27" s="337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85"/>
      <c r="Q28" s="1263">
        <f t="shared" si="11"/>
        <v>111</v>
      </c>
      <c r="R28" s="667" t="s">
        <v>18</v>
      </c>
      <c r="S28" s="668">
        <f t="shared" si="12"/>
        <v>100</v>
      </c>
      <c r="T28" s="667" t="s">
        <v>18</v>
      </c>
      <c r="U28" s="668">
        <f t="shared" si="13"/>
        <v>100</v>
      </c>
      <c r="V28" s="667" t="s">
        <v>18</v>
      </c>
      <c r="W28" s="668">
        <f t="shared" si="14"/>
        <v>100</v>
      </c>
      <c r="X28" s="1265"/>
      <c r="Y28" s="337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85"/>
      <c r="Q29" s="1263">
        <f t="shared" si="11"/>
        <v>111</v>
      </c>
      <c r="R29" s="667" t="s">
        <v>18</v>
      </c>
      <c r="S29" s="668">
        <f t="shared" si="12"/>
        <v>100</v>
      </c>
      <c r="T29" s="667" t="s">
        <v>18</v>
      </c>
      <c r="U29" s="668">
        <f t="shared" si="13"/>
        <v>100</v>
      </c>
      <c r="V29" s="667" t="s">
        <v>18</v>
      </c>
      <c r="W29" s="668">
        <f t="shared" si="14"/>
        <v>100</v>
      </c>
      <c r="X29" s="1265"/>
      <c r="Y29" s="337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85"/>
      <c r="Q30" s="1263">
        <f t="shared" si="11"/>
        <v>111</v>
      </c>
      <c r="R30" s="667" t="s">
        <v>18</v>
      </c>
      <c r="S30" s="668">
        <f t="shared" si="12"/>
        <v>100</v>
      </c>
      <c r="T30" s="667" t="s">
        <v>18</v>
      </c>
      <c r="U30" s="668">
        <f t="shared" si="13"/>
        <v>100</v>
      </c>
      <c r="V30" s="667" t="s">
        <v>18</v>
      </c>
      <c r="W30" s="668">
        <f t="shared" si="14"/>
        <v>100</v>
      </c>
      <c r="X30" s="1265"/>
      <c r="Y30" s="3378"/>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85"/>
      <c r="Q31" s="1263">
        <f t="shared" si="11"/>
        <v>111</v>
      </c>
      <c r="R31" s="667" t="s">
        <v>18</v>
      </c>
      <c r="S31" s="668">
        <f t="shared" si="12"/>
        <v>100</v>
      </c>
      <c r="T31" s="667" t="s">
        <v>18</v>
      </c>
      <c r="U31" s="668">
        <f t="shared" si="13"/>
        <v>100</v>
      </c>
      <c r="V31" s="667" t="s">
        <v>18</v>
      </c>
      <c r="W31" s="668">
        <f t="shared" si="14"/>
        <v>100</v>
      </c>
      <c r="X31" s="1265"/>
      <c r="Y31" s="3378"/>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79" t="s">
        <v>1696</v>
      </c>
      <c r="Q32" s="1263" t="str">
        <f t="shared" si="11"/>
        <v>建筑类型</v>
      </c>
      <c r="R32" s="667" t="s">
        <v>18</v>
      </c>
      <c r="S32" s="668">
        <f t="shared" si="12"/>
        <v>100</v>
      </c>
      <c r="T32" s="667" t="s">
        <v>18</v>
      </c>
      <c r="U32" s="668">
        <f t="shared" si="13"/>
        <v>100</v>
      </c>
      <c r="V32" s="667" t="s">
        <v>18</v>
      </c>
      <c r="W32" s="668">
        <f t="shared" si="14"/>
        <v>100</v>
      </c>
      <c r="X32" s="1265"/>
      <c r="Y32" s="338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80"/>
      <c r="Q33" s="531" t="str">
        <f t="shared" si="11"/>
        <v>项目建筑规模</v>
      </c>
      <c r="R33" s="669" t="s">
        <v>18</v>
      </c>
      <c r="S33" s="670" t="e">
        <f t="shared" si="12"/>
        <v>#N/A</v>
      </c>
      <c r="T33" s="669" t="s">
        <v>18</v>
      </c>
      <c r="U33" s="670" t="e">
        <f t="shared" si="13"/>
        <v>#N/A</v>
      </c>
      <c r="V33" s="669" t="s">
        <v>18</v>
      </c>
      <c r="W33" s="670" t="e">
        <f t="shared" si="14"/>
        <v>#N/A</v>
      </c>
      <c r="X33" s="671"/>
      <c r="Y33" s="3382"/>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80"/>
      <c r="Q34" s="1263" t="str">
        <f t="shared" si="11"/>
        <v>建筑结构</v>
      </c>
      <c r="R34" s="667" t="s">
        <v>18</v>
      </c>
      <c r="S34" s="668">
        <f t="shared" si="12"/>
        <v>100</v>
      </c>
      <c r="T34" s="667" t="s">
        <v>18</v>
      </c>
      <c r="U34" s="668">
        <f t="shared" si="13"/>
        <v>100</v>
      </c>
      <c r="V34" s="667" t="s">
        <v>18</v>
      </c>
      <c r="W34" s="668">
        <f t="shared" si="14"/>
        <v>100</v>
      </c>
      <c r="X34" s="1265"/>
      <c r="Y34" s="3382"/>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80"/>
      <c r="Q35" s="1263" t="str">
        <f t="shared" si="11"/>
        <v>建筑品质</v>
      </c>
      <c r="R35" s="667" t="s">
        <v>18</v>
      </c>
      <c r="S35" s="668">
        <f t="shared" si="12"/>
        <v>100</v>
      </c>
      <c r="T35" s="667" t="s">
        <v>18</v>
      </c>
      <c r="U35" s="668">
        <f t="shared" si="13"/>
        <v>100</v>
      </c>
      <c r="V35" s="667" t="s">
        <v>18</v>
      </c>
      <c r="W35" s="668">
        <f t="shared" si="14"/>
        <v>100</v>
      </c>
      <c r="X35" s="1265"/>
      <c r="Y35" s="3382"/>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80"/>
      <c r="Q36" s="1263" t="str">
        <f t="shared" si="11"/>
        <v>公共部分装修</v>
      </c>
      <c r="R36" s="667" t="s">
        <v>18</v>
      </c>
      <c r="S36" s="668">
        <f t="shared" si="12"/>
        <v>100</v>
      </c>
      <c r="T36" s="667" t="s">
        <v>18</v>
      </c>
      <c r="U36" s="668">
        <f t="shared" si="13"/>
        <v>100</v>
      </c>
      <c r="V36" s="667" t="s">
        <v>18</v>
      </c>
      <c r="W36" s="668">
        <f t="shared" si="14"/>
        <v>100</v>
      </c>
      <c r="X36" s="1265"/>
      <c r="Y36" s="3382"/>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80"/>
      <c r="Q37" s="530" t="str">
        <f t="shared" si="11"/>
        <v>成新度</v>
      </c>
      <c r="R37" s="664" t="s">
        <v>18</v>
      </c>
      <c r="S37" s="665" t="e">
        <f t="shared" si="12"/>
        <v>#N/A</v>
      </c>
      <c r="T37" s="664" t="s">
        <v>18</v>
      </c>
      <c r="U37" s="665" t="e">
        <f t="shared" si="13"/>
        <v>#N/A</v>
      </c>
      <c r="V37" s="664" t="s">
        <v>18</v>
      </c>
      <c r="W37" s="665" t="e">
        <f t="shared" si="14"/>
        <v>#N/A</v>
      </c>
      <c r="X37" s="666"/>
      <c r="Y37" s="3382"/>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80" t="s">
        <v>1696</v>
      </c>
      <c r="Q38" s="1263" t="str">
        <f t="shared" si="11"/>
        <v>物业管理</v>
      </c>
      <c r="R38" s="667" t="s">
        <v>18</v>
      </c>
      <c r="S38" s="668">
        <f t="shared" si="12"/>
        <v>100</v>
      </c>
      <c r="T38" s="667" t="s">
        <v>18</v>
      </c>
      <c r="U38" s="668">
        <f t="shared" si="13"/>
        <v>100</v>
      </c>
      <c r="V38" s="667" t="s">
        <v>18</v>
      </c>
      <c r="W38" s="668">
        <f t="shared" si="14"/>
        <v>100</v>
      </c>
      <c r="X38" s="1265"/>
      <c r="Y38" s="338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80"/>
      <c r="Q39" s="1263" t="str">
        <f t="shared" si="11"/>
        <v>市政基础设施</v>
      </c>
      <c r="R39" s="667" t="s">
        <v>18</v>
      </c>
      <c r="S39" s="668">
        <f t="shared" si="12"/>
        <v>100</v>
      </c>
      <c r="T39" s="667" t="s">
        <v>18</v>
      </c>
      <c r="U39" s="668">
        <f t="shared" si="13"/>
        <v>100</v>
      </c>
      <c r="V39" s="667" t="s">
        <v>18</v>
      </c>
      <c r="W39" s="668">
        <f t="shared" si="14"/>
        <v>100</v>
      </c>
      <c r="X39" s="1265"/>
      <c r="Y39" s="338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80"/>
      <c r="Q40" s="1263" t="str">
        <f t="shared" si="11"/>
        <v>房型</v>
      </c>
      <c r="R40" s="667" t="s">
        <v>18</v>
      </c>
      <c r="S40" s="668">
        <f t="shared" si="12"/>
        <v>100</v>
      </c>
      <c r="T40" s="667" t="s">
        <v>18</v>
      </c>
      <c r="U40" s="668">
        <f t="shared" si="13"/>
        <v>100</v>
      </c>
      <c r="V40" s="667" t="s">
        <v>18</v>
      </c>
      <c r="W40" s="668">
        <f t="shared" si="14"/>
        <v>100</v>
      </c>
      <c r="X40" s="1265"/>
      <c r="Y40" s="3382"/>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80"/>
      <c r="Q41" s="531" t="str">
        <f t="shared" si="11"/>
        <v>单套/主力户型建筑面积</v>
      </c>
      <c r="R41" s="669" t="s">
        <v>18</v>
      </c>
      <c r="S41" s="670">
        <f t="shared" si="12"/>
        <v>100</v>
      </c>
      <c r="T41" s="669" t="s">
        <v>18</v>
      </c>
      <c r="U41" s="670">
        <f t="shared" si="13"/>
        <v>100</v>
      </c>
      <c r="V41" s="669" t="s">
        <v>18</v>
      </c>
      <c r="W41" s="670">
        <f t="shared" si="14"/>
        <v>100</v>
      </c>
      <c r="X41" s="671"/>
      <c r="Y41" s="3382"/>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80"/>
      <c r="Q42" s="1263" t="str">
        <f t="shared" si="11"/>
        <v>内部装修</v>
      </c>
      <c r="R42" s="667" t="s">
        <v>18</v>
      </c>
      <c r="S42" s="668">
        <f t="shared" si="12"/>
        <v>100</v>
      </c>
      <c r="T42" s="667" t="s">
        <v>18</v>
      </c>
      <c r="U42" s="668">
        <f t="shared" si="13"/>
        <v>100</v>
      </c>
      <c r="V42" s="667" t="s">
        <v>18</v>
      </c>
      <c r="W42" s="668">
        <f t="shared" si="14"/>
        <v>100</v>
      </c>
      <c r="X42" s="1265"/>
      <c r="Y42" s="3382"/>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80"/>
      <c r="Q43" s="1263" t="str">
        <f t="shared" si="11"/>
        <v>内部装修维护情况</v>
      </c>
      <c r="R43" s="667" t="s">
        <v>18</v>
      </c>
      <c r="S43" s="668">
        <f t="shared" si="12"/>
        <v>100</v>
      </c>
      <c r="T43" s="667" t="s">
        <v>18</v>
      </c>
      <c r="U43" s="668">
        <f t="shared" si="13"/>
        <v>100</v>
      </c>
      <c r="V43" s="667" t="s">
        <v>18</v>
      </c>
      <c r="W43" s="668">
        <f t="shared" si="14"/>
        <v>100</v>
      </c>
      <c r="X43" s="1265"/>
      <c r="Y43" s="338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380"/>
      <c r="Q44" s="530">
        <f t="shared" si="11"/>
        <v>111</v>
      </c>
      <c r="R44" s="664" t="s">
        <v>18</v>
      </c>
      <c r="S44" s="665">
        <f t="shared" si="12"/>
        <v>100</v>
      </c>
      <c r="T44" s="664" t="s">
        <v>18</v>
      </c>
      <c r="U44" s="665">
        <f t="shared" si="13"/>
        <v>100</v>
      </c>
      <c r="V44" s="664" t="s">
        <v>18</v>
      </c>
      <c r="W44" s="665">
        <f t="shared" si="14"/>
        <v>100</v>
      </c>
      <c r="X44" s="666"/>
      <c r="Y44" s="338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80"/>
      <c r="Q45" s="1263">
        <f t="shared" si="11"/>
        <v>111</v>
      </c>
      <c r="R45" s="667" t="s">
        <v>18</v>
      </c>
      <c r="S45" s="668">
        <f t="shared" si="12"/>
        <v>100</v>
      </c>
      <c r="T45" s="667" t="s">
        <v>18</v>
      </c>
      <c r="U45" s="668">
        <f t="shared" si="13"/>
        <v>100</v>
      </c>
      <c r="V45" s="667" t="s">
        <v>18</v>
      </c>
      <c r="W45" s="668">
        <f t="shared" si="14"/>
        <v>100</v>
      </c>
      <c r="X45" s="1265"/>
      <c r="Y45" s="3382"/>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81"/>
      <c r="Q46" s="1263">
        <f t="shared" si="11"/>
        <v>111</v>
      </c>
      <c r="R46" s="667" t="s">
        <v>17</v>
      </c>
      <c r="S46" s="668">
        <f t="shared" si="12"/>
        <v>100</v>
      </c>
      <c r="T46" s="667" t="s">
        <v>17</v>
      </c>
      <c r="U46" s="668">
        <f t="shared" si="13"/>
        <v>100</v>
      </c>
      <c r="V46" s="667" t="s">
        <v>17</v>
      </c>
      <c r="W46" s="668">
        <f t="shared" si="14"/>
        <v>100</v>
      </c>
      <c r="X46" s="1265"/>
      <c r="Y46" s="3383"/>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375" t="str">
        <f>A47</f>
        <v>成交单价（元/平方米）</v>
      </c>
      <c r="Q47" s="3375"/>
      <c r="R47" s="3376">
        <f>E47</f>
        <v>0</v>
      </c>
      <c r="S47" s="3376"/>
      <c r="T47" s="3376">
        <f>G47</f>
        <v>0</v>
      </c>
      <c r="U47" s="3376"/>
      <c r="V47" s="3376">
        <f>I47</f>
        <v>0</v>
      </c>
      <c r="W47" s="3376"/>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375" t="str">
        <f>A48</f>
        <v>比较价值（元/平方米）</v>
      </c>
      <c r="Q48" s="3375"/>
      <c r="R48" s="3376" t="e">
        <f>IF(F1="售价",ROUND(PRODUCT(R47,AA7:AA46),0),ROUND(PRODUCT(R47,AA7:AA46),1))</f>
        <v>#DIV/0!</v>
      </c>
      <c r="S48" s="3376"/>
      <c r="T48" s="3376" t="e">
        <f>IF(F1="售价",ROUND(PRODUCT(T47,AB7:AB46),0),ROUND(PRODUCT(T47,AB7:AB46),1))</f>
        <v>#DIV/0!</v>
      </c>
      <c r="U48" s="3376"/>
      <c r="V48" s="3376" t="e">
        <f>IF(F1="售价",ROUND(PRODUCT(V47,AC7:AC46),0),ROUND(PRODUCT(V47,AC7:AC46),1))</f>
        <v>#DIV/0!</v>
      </c>
      <c r="W48" s="3376"/>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372" t="str">
        <f>A49</f>
        <v>估价对象XX用房的比较价值（楼面单价，元/平方米）</v>
      </c>
      <c r="Q49" s="3373"/>
      <c r="R49" s="3374" t="e">
        <f>IF(F1="售价",ROUND(IF(D48="简单平均",AVERAGE(R48:V48),R48*F48+T48*H48+V48*J48),0),ROUND(IF(D48="简单平均",AVERAGE(R48:V48),R48*F48+T48*H48+V48*J48),1))</f>
        <v>#DIV/0!</v>
      </c>
      <c r="S49" s="3374"/>
      <c r="T49" s="3374"/>
      <c r="U49" s="3374"/>
      <c r="V49" s="3374"/>
      <c r="W49" s="3374"/>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0" priority="14"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J52:J54">
    <cfRule type="containsText" dxfId="95" priority="15" stopIfTrue="1" operator="containsText" text="超过">
      <formula>NOT(ISERROR(SEARCH("超过",F52)))</formula>
    </cfRule>
  </conditionalFormatting>
  <conditionalFormatting sqref="G52">
    <cfRule type="expression" dxfId="94" priority="9" stopIfTrue="1">
      <formula>$H$52="超过30%"</formula>
    </cfRule>
  </conditionalFormatting>
  <conditionalFormatting sqref="G53">
    <cfRule type="expression" dxfId="93" priority="8" stopIfTrue="1">
      <formula>$H$53="超过20%"</formula>
    </cfRule>
  </conditionalFormatting>
  <conditionalFormatting sqref="G54">
    <cfRule type="expression" dxfId="92" priority="12"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576.94000000000005</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390" t="s">
        <v>1770</v>
      </c>
      <c r="D4" s="3391"/>
      <c r="E4" s="3392" t="s">
        <v>1771</v>
      </c>
      <c r="F4" s="3393"/>
      <c r="G4" s="3390" t="s">
        <v>1772</v>
      </c>
      <c r="H4" s="3391"/>
      <c r="I4" s="3390" t="s">
        <v>1773</v>
      </c>
      <c r="J4" s="3391"/>
      <c r="K4" s="537" t="s">
        <v>1774</v>
      </c>
      <c r="L4" s="2485"/>
      <c r="M4" s="2486"/>
      <c r="N4" s="2486"/>
      <c r="O4" s="2486"/>
      <c r="P4" s="3423" t="s">
        <v>1775</v>
      </c>
      <c r="Q4" s="3424"/>
      <c r="R4" s="3427" t="s">
        <v>1771</v>
      </c>
      <c r="S4" s="3428"/>
      <c r="T4" s="3427" t="s">
        <v>1772</v>
      </c>
      <c r="U4" s="3428"/>
      <c r="V4" s="3429" t="s">
        <v>1773</v>
      </c>
      <c r="W4" s="3429"/>
      <c r="X4" s="1809"/>
      <c r="Y4" s="3427" t="s">
        <v>1775</v>
      </c>
      <c r="Z4" s="3428"/>
      <c r="AA4" s="3431" t="s">
        <v>1771</v>
      </c>
      <c r="AB4" s="3431" t="s">
        <v>1772</v>
      </c>
      <c r="AC4" s="3420" t="s">
        <v>1773</v>
      </c>
    </row>
    <row r="5" spans="1:29">
      <c r="A5" s="348"/>
      <c r="B5" s="349"/>
      <c r="C5" s="3408" t="s">
        <v>1673</v>
      </c>
      <c r="D5" s="3409"/>
      <c r="E5" s="3415" t="s">
        <v>1674</v>
      </c>
      <c r="F5" s="3416"/>
      <c r="G5" s="3408" t="s">
        <v>1675</v>
      </c>
      <c r="H5" s="3409"/>
      <c r="I5" s="3408" t="s">
        <v>1676</v>
      </c>
      <c r="J5" s="3409"/>
      <c r="K5" s="537"/>
      <c r="L5" s="2485"/>
      <c r="M5" s="2486"/>
      <c r="N5" s="2486"/>
      <c r="O5" s="2486"/>
      <c r="P5" s="3425"/>
      <c r="Q5" s="3397"/>
      <c r="R5" s="3402"/>
      <c r="S5" s="3403"/>
      <c r="T5" s="3402"/>
      <c r="U5" s="3403"/>
      <c r="V5" s="3376"/>
      <c r="W5" s="3376"/>
      <c r="X5" s="1265"/>
      <c r="Y5" s="3402"/>
      <c r="Z5" s="3403"/>
      <c r="AA5" s="3388"/>
      <c r="AB5" s="3388"/>
      <c r="AC5" s="3421"/>
    </row>
    <row r="6" spans="1:29" ht="15" thickBot="1">
      <c r="A6" s="350"/>
      <c r="B6" s="351"/>
      <c r="C6" s="3406" t="s">
        <v>1677</v>
      </c>
      <c r="D6" s="3407"/>
      <c r="E6" s="3413" t="s">
        <v>1677</v>
      </c>
      <c r="F6" s="3414"/>
      <c r="G6" s="3406" t="s">
        <v>1677</v>
      </c>
      <c r="H6" s="3407"/>
      <c r="I6" s="3406" t="s">
        <v>1677</v>
      </c>
      <c r="J6" s="3407"/>
      <c r="K6" s="537" t="s">
        <v>1678</v>
      </c>
      <c r="L6" s="2485"/>
      <c r="M6" s="2486"/>
      <c r="N6" s="2486"/>
      <c r="O6" s="2486"/>
      <c r="P6" s="3426"/>
      <c r="Q6" s="3399"/>
      <c r="R6" s="3402"/>
      <c r="S6" s="3403"/>
      <c r="T6" s="3404"/>
      <c r="U6" s="3405"/>
      <c r="V6" s="3376"/>
      <c r="W6" s="3376"/>
      <c r="X6" s="1265"/>
      <c r="Y6" s="3404"/>
      <c r="Z6" s="3405"/>
      <c r="AA6" s="3389"/>
      <c r="AB6" s="3389"/>
      <c r="AC6" s="3422"/>
    </row>
    <row r="7" spans="1:29" s="102" customFormat="1" ht="15" thickBot="1">
      <c r="A7" s="352" t="s">
        <v>1679</v>
      </c>
      <c r="B7" s="353"/>
      <c r="C7" s="354">
        <f>'数据-取费表'!B2</f>
        <v>45786</v>
      </c>
      <c r="D7" s="355">
        <v>100</v>
      </c>
      <c r="E7" s="356"/>
      <c r="F7" s="357">
        <f>SUMIF(59:59,YEAR(E7)&amp;"-"&amp;MONTH(E7),60:60)</f>
        <v>0</v>
      </c>
      <c r="G7" s="356"/>
      <c r="H7" s="355">
        <f>SUMIF(59:59,YEAR(G7)&amp;"-"&amp;MONTH(G7),60:60)</f>
        <v>0</v>
      </c>
      <c r="I7" s="356"/>
      <c r="J7" s="355">
        <f>SUMIF(59:59,YEAR(I7)&amp;"-"&amp;MONTH(I7),60:60)</f>
        <v>0</v>
      </c>
      <c r="K7" s="38"/>
      <c r="L7" s="2487"/>
      <c r="M7" s="2439"/>
      <c r="N7" s="2439"/>
      <c r="O7" s="2439"/>
      <c r="P7" s="3430" t="s">
        <v>1680</v>
      </c>
      <c r="Q7" s="3412"/>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30" t="s">
        <v>1683</v>
      </c>
      <c r="Q8" s="3411"/>
      <c r="R8" s="664" t="s">
        <v>14</v>
      </c>
      <c r="S8" s="665">
        <f t="shared" si="0"/>
        <v>100</v>
      </c>
      <c r="T8" s="664" t="s">
        <v>14</v>
      </c>
      <c r="U8" s="665">
        <f t="shared" si="1"/>
        <v>100</v>
      </c>
      <c r="V8" s="664" t="s">
        <v>14</v>
      </c>
      <c r="W8" s="665">
        <f t="shared" si="2"/>
        <v>100</v>
      </c>
      <c r="X8" s="666"/>
      <c r="Y8" s="3410" t="s">
        <v>1683</v>
      </c>
      <c r="Z8" s="3411"/>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86" t="s">
        <v>1686</v>
      </c>
      <c r="Q9" s="530" t="str">
        <f t="shared" ref="Q9:Q15" si="6">B9</f>
        <v>用途</v>
      </c>
      <c r="R9" s="664" t="s">
        <v>14</v>
      </c>
      <c r="S9" s="665">
        <f t="shared" si="0"/>
        <v>100</v>
      </c>
      <c r="T9" s="664" t="s">
        <v>14</v>
      </c>
      <c r="U9" s="665">
        <f t="shared" si="1"/>
        <v>100</v>
      </c>
      <c r="V9" s="664" t="s">
        <v>14</v>
      </c>
      <c r="W9" s="665">
        <f t="shared" si="2"/>
        <v>100</v>
      </c>
      <c r="X9" s="666"/>
      <c r="Y9" s="3250"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86"/>
      <c r="Q10" s="530" t="str">
        <f t="shared" si="6"/>
        <v>土地使用年限（年）</v>
      </c>
      <c r="R10" s="664" t="s">
        <v>14</v>
      </c>
      <c r="S10" s="665">
        <f t="shared" si="0"/>
        <v>100</v>
      </c>
      <c r="T10" s="664" t="s">
        <v>14</v>
      </c>
      <c r="U10" s="665">
        <f t="shared" si="1"/>
        <v>100</v>
      </c>
      <c r="V10" s="664" t="s">
        <v>14</v>
      </c>
      <c r="W10" s="665">
        <f t="shared" si="2"/>
        <v>100</v>
      </c>
      <c r="X10" s="666"/>
      <c r="Y10" s="325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86"/>
      <c r="Q11" s="530" t="str">
        <f t="shared" si="6"/>
        <v>容积率</v>
      </c>
      <c r="R11" s="664" t="s">
        <v>14</v>
      </c>
      <c r="S11" s="665">
        <f t="shared" si="0"/>
        <v>100</v>
      </c>
      <c r="T11" s="664" t="s">
        <v>14</v>
      </c>
      <c r="U11" s="665">
        <f t="shared" si="1"/>
        <v>100</v>
      </c>
      <c r="V11" s="664" t="s">
        <v>14</v>
      </c>
      <c r="W11" s="665">
        <f t="shared" si="2"/>
        <v>100</v>
      </c>
      <c r="X11" s="666"/>
      <c r="Y11" s="325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86"/>
      <c r="Q12" s="530">
        <f t="shared" si="6"/>
        <v>111</v>
      </c>
      <c r="R12" s="664" t="s">
        <v>14</v>
      </c>
      <c r="S12" s="665">
        <f t="shared" si="0"/>
        <v>100</v>
      </c>
      <c r="T12" s="664" t="s">
        <v>14</v>
      </c>
      <c r="U12" s="665">
        <f t="shared" si="1"/>
        <v>100</v>
      </c>
      <c r="V12" s="664" t="s">
        <v>14</v>
      </c>
      <c r="W12" s="665">
        <f t="shared" si="2"/>
        <v>100</v>
      </c>
      <c r="X12" s="666"/>
      <c r="Y12" s="325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86"/>
      <c r="Q13" s="530">
        <f t="shared" si="6"/>
        <v>111</v>
      </c>
      <c r="R13" s="664" t="s">
        <v>14</v>
      </c>
      <c r="S13" s="665">
        <f t="shared" si="0"/>
        <v>100</v>
      </c>
      <c r="T13" s="664" t="s">
        <v>14</v>
      </c>
      <c r="U13" s="665">
        <f t="shared" si="1"/>
        <v>100</v>
      </c>
      <c r="V13" s="664" t="s">
        <v>14</v>
      </c>
      <c r="W13" s="665">
        <f t="shared" si="2"/>
        <v>100</v>
      </c>
      <c r="X13" s="666"/>
      <c r="Y13" s="3250"/>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86"/>
      <c r="Q14" s="530">
        <f t="shared" si="6"/>
        <v>111</v>
      </c>
      <c r="R14" s="664" t="s">
        <v>14</v>
      </c>
      <c r="S14" s="665">
        <f t="shared" si="0"/>
        <v>100</v>
      </c>
      <c r="T14" s="664" t="s">
        <v>14</v>
      </c>
      <c r="U14" s="665">
        <f t="shared" si="1"/>
        <v>100</v>
      </c>
      <c r="V14" s="664" t="s">
        <v>14</v>
      </c>
      <c r="W14" s="665">
        <f t="shared" si="2"/>
        <v>100</v>
      </c>
      <c r="X14" s="666"/>
      <c r="Y14" s="3250"/>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84" t="s">
        <v>1691</v>
      </c>
      <c r="Q15" s="1263" t="str">
        <f t="shared" si="6"/>
        <v>办公集聚程度</v>
      </c>
      <c r="R15" s="667" t="s">
        <v>14</v>
      </c>
      <c r="S15" s="668">
        <f t="shared" si="0"/>
        <v>100</v>
      </c>
      <c r="T15" s="667" t="s">
        <v>14</v>
      </c>
      <c r="U15" s="668">
        <f t="shared" si="1"/>
        <v>100</v>
      </c>
      <c r="V15" s="667" t="s">
        <v>14</v>
      </c>
      <c r="W15" s="668">
        <f t="shared" si="2"/>
        <v>100</v>
      </c>
      <c r="X15" s="1265"/>
      <c r="Y15" s="3377"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385"/>
      <c r="Q16" s="1263"/>
      <c r="R16" s="667"/>
      <c r="S16" s="668"/>
      <c r="T16" s="667"/>
      <c r="U16" s="668"/>
      <c r="V16" s="667"/>
      <c r="W16" s="668"/>
      <c r="X16" s="1265"/>
      <c r="Y16" s="3378"/>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85"/>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385"/>
      <c r="Q18" s="1263"/>
      <c r="R18" s="667"/>
      <c r="S18" s="668"/>
      <c r="T18" s="667"/>
      <c r="U18" s="668"/>
      <c r="V18" s="667"/>
      <c r="W18" s="668"/>
      <c r="X18" s="1265"/>
      <c r="Y18" s="3378"/>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85"/>
      <c r="Q19" s="1263" t="str">
        <f>B19</f>
        <v>公共配套设施</v>
      </c>
      <c r="R19" s="667" t="s">
        <v>14</v>
      </c>
      <c r="S19" s="668">
        <f>F19</f>
        <v>100</v>
      </c>
      <c r="T19" s="667" t="s">
        <v>14</v>
      </c>
      <c r="U19" s="668">
        <f>H19</f>
        <v>100</v>
      </c>
      <c r="V19" s="667" t="s">
        <v>14</v>
      </c>
      <c r="W19" s="668">
        <f>J19</f>
        <v>100</v>
      </c>
      <c r="X19" s="1265"/>
      <c r="Y19" s="3378"/>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385"/>
      <c r="Q20" s="1263"/>
      <c r="R20" s="667"/>
      <c r="S20" s="668"/>
      <c r="T20" s="667"/>
      <c r="U20" s="668"/>
      <c r="V20" s="667"/>
      <c r="W20" s="668"/>
      <c r="X20" s="1265"/>
      <c r="Y20" s="3378"/>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85"/>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385"/>
      <c r="Q22" s="1263"/>
      <c r="R22" s="667"/>
      <c r="S22" s="668"/>
      <c r="T22" s="667"/>
      <c r="U22" s="668"/>
      <c r="V22" s="667"/>
      <c r="W22" s="668"/>
      <c r="X22" s="1265"/>
      <c r="Y22" s="3378"/>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85"/>
      <c r="Q23" s="1263" t="str">
        <f>B23</f>
        <v>环境质量</v>
      </c>
      <c r="R23" s="667" t="s">
        <v>14</v>
      </c>
      <c r="S23" s="668">
        <f>F23</f>
        <v>100</v>
      </c>
      <c r="T23" s="667" t="s">
        <v>14</v>
      </c>
      <c r="U23" s="668">
        <f>H23</f>
        <v>100</v>
      </c>
      <c r="V23" s="667" t="s">
        <v>14</v>
      </c>
      <c r="W23" s="668">
        <f>J23</f>
        <v>100</v>
      </c>
      <c r="X23" s="1265"/>
      <c r="Y23" s="3378"/>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385"/>
      <c r="Q24" s="1263"/>
      <c r="R24" s="667"/>
      <c r="S24" s="668"/>
      <c r="T24" s="667"/>
      <c r="U24" s="668"/>
      <c r="V24" s="667"/>
      <c r="W24" s="668"/>
      <c r="X24" s="1265"/>
      <c r="Y24" s="3378"/>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385"/>
      <c r="Q25" s="1263" t="str">
        <f>B25</f>
        <v>毗邻道路的类型与等级</v>
      </c>
      <c r="R25" s="667" t="s">
        <v>14</v>
      </c>
      <c r="S25" s="668">
        <f>F25</f>
        <v>100</v>
      </c>
      <c r="T25" s="667" t="s">
        <v>14</v>
      </c>
      <c r="U25" s="668">
        <f>H25</f>
        <v>100</v>
      </c>
      <c r="V25" s="667" t="s">
        <v>14</v>
      </c>
      <c r="W25" s="668">
        <f>J25</f>
        <v>100</v>
      </c>
      <c r="X25" s="1265"/>
      <c r="Y25" s="3378"/>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385"/>
      <c r="Q26" s="1263"/>
      <c r="R26" s="667"/>
      <c r="S26" s="668"/>
      <c r="T26" s="667"/>
      <c r="U26" s="668"/>
      <c r="V26" s="667"/>
      <c r="W26" s="668"/>
      <c r="X26" s="1265"/>
      <c r="Y26" s="3378"/>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85"/>
      <c r="Q27" s="1263" t="str">
        <f t="shared" ref="Q27:Q47" si="11">B27</f>
        <v>楼层</v>
      </c>
      <c r="R27" s="667" t="s">
        <v>14</v>
      </c>
      <c r="S27" s="668">
        <f>F27</f>
        <v>100</v>
      </c>
      <c r="T27" s="667" t="s">
        <v>14</v>
      </c>
      <c r="U27" s="668">
        <f>H27</f>
        <v>100</v>
      </c>
      <c r="V27" s="667" t="s">
        <v>14</v>
      </c>
      <c r="W27" s="668">
        <f>J27</f>
        <v>100</v>
      </c>
      <c r="X27" s="1265"/>
      <c r="Y27" s="3378"/>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385"/>
      <c r="Q28" s="530" t="str">
        <f t="shared" si="11"/>
        <v>朝向</v>
      </c>
      <c r="R28" s="664" t="s">
        <v>14</v>
      </c>
      <c r="S28" s="665">
        <f>F28</f>
        <v>100</v>
      </c>
      <c r="T28" s="664" t="s">
        <v>14</v>
      </c>
      <c r="U28" s="665">
        <f>H28</f>
        <v>100</v>
      </c>
      <c r="V28" s="664" t="s">
        <v>14</v>
      </c>
      <c r="W28" s="665">
        <f>J28</f>
        <v>100</v>
      </c>
      <c r="X28" s="666"/>
      <c r="Y28" s="3378"/>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85"/>
      <c r="Q29" s="1263">
        <f t="shared" si="11"/>
        <v>111</v>
      </c>
      <c r="R29" s="667" t="s">
        <v>14</v>
      </c>
      <c r="S29" s="668">
        <f t="shared" ref="S29:S47" si="12">F29</f>
        <v>100</v>
      </c>
      <c r="T29" s="667" t="s">
        <v>14</v>
      </c>
      <c r="U29" s="668">
        <f t="shared" ref="U29:U47" si="13">H29</f>
        <v>100</v>
      </c>
      <c r="V29" s="667" t="s">
        <v>14</v>
      </c>
      <c r="W29" s="668">
        <f t="shared" ref="W29:W47" si="14">J29</f>
        <v>100</v>
      </c>
      <c r="X29" s="1265"/>
      <c r="Y29" s="3378"/>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85"/>
      <c r="Q30" s="1263">
        <f t="shared" si="11"/>
        <v>111</v>
      </c>
      <c r="R30" s="667" t="s">
        <v>14</v>
      </c>
      <c r="S30" s="668">
        <f t="shared" si="12"/>
        <v>100</v>
      </c>
      <c r="T30" s="667" t="s">
        <v>14</v>
      </c>
      <c r="U30" s="668">
        <f t="shared" si="13"/>
        <v>100</v>
      </c>
      <c r="V30" s="667" t="s">
        <v>14</v>
      </c>
      <c r="W30" s="668">
        <f t="shared" si="14"/>
        <v>100</v>
      </c>
      <c r="X30" s="1265"/>
      <c r="Y30" s="3378"/>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85"/>
      <c r="Q31" s="1263">
        <f t="shared" si="11"/>
        <v>111</v>
      </c>
      <c r="R31" s="667" t="s">
        <v>14</v>
      </c>
      <c r="S31" s="668">
        <f t="shared" si="12"/>
        <v>100</v>
      </c>
      <c r="T31" s="667" t="s">
        <v>14</v>
      </c>
      <c r="U31" s="668">
        <f t="shared" si="13"/>
        <v>100</v>
      </c>
      <c r="V31" s="667" t="s">
        <v>14</v>
      </c>
      <c r="W31" s="668">
        <f t="shared" si="14"/>
        <v>100</v>
      </c>
      <c r="X31" s="1265"/>
      <c r="Y31" s="3378"/>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85"/>
      <c r="Q32" s="1263">
        <f t="shared" si="11"/>
        <v>111</v>
      </c>
      <c r="R32" s="667" t="s">
        <v>14</v>
      </c>
      <c r="S32" s="668">
        <f t="shared" si="12"/>
        <v>100</v>
      </c>
      <c r="T32" s="667" t="s">
        <v>14</v>
      </c>
      <c r="U32" s="668">
        <f t="shared" si="13"/>
        <v>100</v>
      </c>
      <c r="V32" s="667" t="s">
        <v>14</v>
      </c>
      <c r="W32" s="668">
        <f t="shared" si="14"/>
        <v>100</v>
      </c>
      <c r="X32" s="1265"/>
      <c r="Y32" s="3378"/>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379" t="s">
        <v>1696</v>
      </c>
      <c r="Q33" s="1263" t="str">
        <f t="shared" si="11"/>
        <v>建筑类型</v>
      </c>
      <c r="R33" s="667" t="s">
        <v>14</v>
      </c>
      <c r="S33" s="668">
        <f t="shared" si="12"/>
        <v>100</v>
      </c>
      <c r="T33" s="667" t="s">
        <v>14</v>
      </c>
      <c r="U33" s="668">
        <f t="shared" si="13"/>
        <v>100</v>
      </c>
      <c r="V33" s="667" t="s">
        <v>14</v>
      </c>
      <c r="W33" s="668">
        <f t="shared" si="14"/>
        <v>100</v>
      </c>
      <c r="X33" s="1265"/>
      <c r="Y33" s="3382"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80"/>
      <c r="Q34" s="531" t="str">
        <f t="shared" si="11"/>
        <v>项目建筑规模</v>
      </c>
      <c r="R34" s="669" t="s">
        <v>14</v>
      </c>
      <c r="S34" s="670" t="e">
        <f t="shared" si="12"/>
        <v>#N/A</v>
      </c>
      <c r="T34" s="669" t="s">
        <v>14</v>
      </c>
      <c r="U34" s="670" t="e">
        <f t="shared" si="13"/>
        <v>#N/A</v>
      </c>
      <c r="V34" s="669" t="s">
        <v>14</v>
      </c>
      <c r="W34" s="670" t="e">
        <f t="shared" si="14"/>
        <v>#N/A</v>
      </c>
      <c r="X34" s="671"/>
      <c r="Y34" s="3382"/>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80"/>
      <c r="Q35" s="1263" t="str">
        <f t="shared" si="11"/>
        <v>建筑结构</v>
      </c>
      <c r="R35" s="667" t="s">
        <v>14</v>
      </c>
      <c r="S35" s="668">
        <f t="shared" si="12"/>
        <v>100</v>
      </c>
      <c r="T35" s="667" t="s">
        <v>14</v>
      </c>
      <c r="U35" s="668">
        <f t="shared" si="13"/>
        <v>100</v>
      </c>
      <c r="V35" s="667" t="s">
        <v>14</v>
      </c>
      <c r="W35" s="668">
        <f t="shared" si="14"/>
        <v>100</v>
      </c>
      <c r="X35" s="1265"/>
      <c r="Y35" s="3382"/>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80"/>
      <c r="Q36" s="1263" t="str">
        <f t="shared" si="11"/>
        <v>公共部分装修</v>
      </c>
      <c r="R36" s="667" t="s">
        <v>14</v>
      </c>
      <c r="S36" s="668">
        <f t="shared" si="12"/>
        <v>100</v>
      </c>
      <c r="T36" s="667" t="s">
        <v>14</v>
      </c>
      <c r="U36" s="668">
        <f t="shared" si="13"/>
        <v>100</v>
      </c>
      <c r="V36" s="667" t="s">
        <v>14</v>
      </c>
      <c r="W36" s="668">
        <f t="shared" si="14"/>
        <v>100</v>
      </c>
      <c r="X36" s="1265"/>
      <c r="Y36" s="3382"/>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80"/>
      <c r="Q37" s="1263" t="str">
        <f t="shared" si="11"/>
        <v>成新度</v>
      </c>
      <c r="R37" s="667" t="s">
        <v>14</v>
      </c>
      <c r="S37" s="668" t="e">
        <f t="shared" si="12"/>
        <v>#N/A</v>
      </c>
      <c r="T37" s="667" t="s">
        <v>14</v>
      </c>
      <c r="U37" s="668" t="e">
        <f t="shared" si="13"/>
        <v>#N/A</v>
      </c>
      <c r="V37" s="667" t="s">
        <v>14</v>
      </c>
      <c r="W37" s="668" t="e">
        <f t="shared" si="14"/>
        <v>#N/A</v>
      </c>
      <c r="X37" s="1265"/>
      <c r="Y37" s="3382"/>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80"/>
      <c r="Q38" s="530" t="str">
        <f t="shared" si="11"/>
        <v>写字楼等级</v>
      </c>
      <c r="R38" s="664" t="s">
        <v>14</v>
      </c>
      <c r="S38" s="665">
        <f t="shared" si="12"/>
        <v>100</v>
      </c>
      <c r="T38" s="664" t="s">
        <v>14</v>
      </c>
      <c r="U38" s="665">
        <f t="shared" si="13"/>
        <v>100</v>
      </c>
      <c r="V38" s="664" t="s">
        <v>14</v>
      </c>
      <c r="W38" s="665">
        <f t="shared" si="14"/>
        <v>100</v>
      </c>
      <c r="X38" s="666"/>
      <c r="Y38" s="3382"/>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80" t="s">
        <v>1696</v>
      </c>
      <c r="Q39" s="1263" t="str">
        <f t="shared" si="11"/>
        <v>物业管理</v>
      </c>
      <c r="R39" s="667" t="s">
        <v>14</v>
      </c>
      <c r="S39" s="668">
        <f t="shared" si="12"/>
        <v>100</v>
      </c>
      <c r="T39" s="667" t="s">
        <v>14</v>
      </c>
      <c r="U39" s="668">
        <f t="shared" si="13"/>
        <v>100</v>
      </c>
      <c r="V39" s="667" t="s">
        <v>14</v>
      </c>
      <c r="W39" s="668">
        <f t="shared" si="14"/>
        <v>100</v>
      </c>
      <c r="X39" s="1265"/>
      <c r="Y39" s="3382"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80"/>
      <c r="Q40" s="1263" t="str">
        <f t="shared" si="11"/>
        <v>市政基础设施</v>
      </c>
      <c r="R40" s="667" t="s">
        <v>14</v>
      </c>
      <c r="S40" s="668">
        <f t="shared" si="12"/>
        <v>100</v>
      </c>
      <c r="T40" s="667" t="s">
        <v>14</v>
      </c>
      <c r="U40" s="668">
        <f t="shared" si="13"/>
        <v>100</v>
      </c>
      <c r="V40" s="667" t="s">
        <v>14</v>
      </c>
      <c r="W40" s="668">
        <f t="shared" si="14"/>
        <v>100</v>
      </c>
      <c r="X40" s="1265"/>
      <c r="Y40" s="3382"/>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80"/>
      <c r="Q41" s="1263" t="str">
        <f t="shared" si="11"/>
        <v>层高</v>
      </c>
      <c r="R41" s="667" t="s">
        <v>14</v>
      </c>
      <c r="S41" s="668">
        <f t="shared" si="12"/>
        <v>100</v>
      </c>
      <c r="T41" s="667" t="s">
        <v>14</v>
      </c>
      <c r="U41" s="668">
        <f t="shared" si="13"/>
        <v>100</v>
      </c>
      <c r="V41" s="667" t="s">
        <v>14</v>
      </c>
      <c r="W41" s="668">
        <f t="shared" si="14"/>
        <v>100</v>
      </c>
      <c r="X41" s="1265"/>
      <c r="Y41" s="3382"/>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80"/>
      <c r="Q42" s="531" t="str">
        <f t="shared" si="11"/>
        <v>单套建筑面积</v>
      </c>
      <c r="R42" s="669" t="s">
        <v>14</v>
      </c>
      <c r="S42" s="670">
        <f t="shared" si="12"/>
        <v>100</v>
      </c>
      <c r="T42" s="669" t="s">
        <v>14</v>
      </c>
      <c r="U42" s="670">
        <f t="shared" si="13"/>
        <v>100</v>
      </c>
      <c r="V42" s="669" t="s">
        <v>14</v>
      </c>
      <c r="W42" s="670">
        <f t="shared" si="14"/>
        <v>100</v>
      </c>
      <c r="X42" s="671"/>
      <c r="Y42" s="3382"/>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80"/>
      <c r="Q43" s="1263" t="str">
        <f t="shared" si="11"/>
        <v>内部装修</v>
      </c>
      <c r="R43" s="667" t="s">
        <v>14</v>
      </c>
      <c r="S43" s="668">
        <f t="shared" si="12"/>
        <v>100</v>
      </c>
      <c r="T43" s="667" t="s">
        <v>14</v>
      </c>
      <c r="U43" s="668">
        <f t="shared" si="13"/>
        <v>100</v>
      </c>
      <c r="V43" s="667" t="s">
        <v>14</v>
      </c>
      <c r="W43" s="668">
        <f t="shared" si="14"/>
        <v>100</v>
      </c>
      <c r="X43" s="1265"/>
      <c r="Y43" s="3382"/>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380"/>
      <c r="Q44" s="1263" t="str">
        <f t="shared" si="11"/>
        <v>内部装修维护情况</v>
      </c>
      <c r="R44" s="667" t="s">
        <v>14</v>
      </c>
      <c r="S44" s="668">
        <f t="shared" si="12"/>
        <v>100</v>
      </c>
      <c r="T44" s="667" t="s">
        <v>14</v>
      </c>
      <c r="U44" s="668">
        <f t="shared" si="13"/>
        <v>100</v>
      </c>
      <c r="V44" s="667" t="s">
        <v>14</v>
      </c>
      <c r="W44" s="668">
        <f t="shared" si="14"/>
        <v>100</v>
      </c>
      <c r="X44" s="1265"/>
      <c r="Y44" s="3382"/>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80"/>
      <c r="Q45" s="530">
        <f t="shared" si="11"/>
        <v>111</v>
      </c>
      <c r="R45" s="664" t="s">
        <v>14</v>
      </c>
      <c r="S45" s="665">
        <f t="shared" si="12"/>
        <v>100</v>
      </c>
      <c r="T45" s="664" t="s">
        <v>14</v>
      </c>
      <c r="U45" s="665">
        <f t="shared" si="13"/>
        <v>100</v>
      </c>
      <c r="V45" s="664" t="s">
        <v>14</v>
      </c>
      <c r="W45" s="665">
        <f t="shared" si="14"/>
        <v>100</v>
      </c>
      <c r="X45" s="666"/>
      <c r="Y45" s="3382"/>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80"/>
      <c r="Q46" s="1263">
        <f t="shared" si="11"/>
        <v>111</v>
      </c>
      <c r="R46" s="667" t="s">
        <v>14</v>
      </c>
      <c r="S46" s="668">
        <f t="shared" si="12"/>
        <v>100</v>
      </c>
      <c r="T46" s="667" t="s">
        <v>14</v>
      </c>
      <c r="U46" s="668">
        <f t="shared" si="13"/>
        <v>100</v>
      </c>
      <c r="V46" s="667" t="s">
        <v>14</v>
      </c>
      <c r="W46" s="668">
        <f t="shared" si="14"/>
        <v>100</v>
      </c>
      <c r="X46" s="1265"/>
      <c r="Y46" s="3382"/>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81"/>
      <c r="Q47" s="1263">
        <f t="shared" si="11"/>
        <v>111</v>
      </c>
      <c r="R47" s="667" t="s">
        <v>14</v>
      </c>
      <c r="S47" s="668">
        <f t="shared" si="12"/>
        <v>100</v>
      </c>
      <c r="T47" s="667" t="s">
        <v>14</v>
      </c>
      <c r="U47" s="668">
        <f t="shared" si="13"/>
        <v>100</v>
      </c>
      <c r="V47" s="667" t="s">
        <v>14</v>
      </c>
      <c r="W47" s="668">
        <f t="shared" si="14"/>
        <v>100</v>
      </c>
      <c r="X47" s="1265"/>
      <c r="Y47" s="3383"/>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3"/>
      <c r="M48" s="2486"/>
      <c r="N48" s="2486"/>
      <c r="O48" s="2486"/>
      <c r="P48" s="3386" t="str">
        <f>A48</f>
        <v>成交单价（元/平方米）</v>
      </c>
      <c r="Q48" s="3375"/>
      <c r="R48" s="3376">
        <f>E48</f>
        <v>0</v>
      </c>
      <c r="S48" s="3376"/>
      <c r="T48" s="3376">
        <f>G48</f>
        <v>0</v>
      </c>
      <c r="U48" s="3376"/>
      <c r="V48" s="3376">
        <f>I48</f>
        <v>0</v>
      </c>
      <c r="W48" s="3376"/>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3"/>
      <c r="M49" s="2486"/>
      <c r="N49" s="2486"/>
      <c r="O49" s="2486"/>
      <c r="P49" s="3386" t="str">
        <f>A49</f>
        <v>比较价值（元/平方米）</v>
      </c>
      <c r="Q49" s="3375"/>
      <c r="R49" s="3376" t="e">
        <f>IF(F1="售价",ROUND(PRODUCT(R48,AA7:AA47),0),ROUND(PRODUCT(R48,AA7:AA47),1))</f>
        <v>#DIV/0!</v>
      </c>
      <c r="S49" s="3376"/>
      <c r="T49" s="3376" t="e">
        <f>IF(F1="售价",ROUND(PRODUCT(T48,AB7:AB47),0),ROUND(PRODUCT(T48,AB7:AB47),1))</f>
        <v>#DIV/0!</v>
      </c>
      <c r="U49" s="3376"/>
      <c r="V49" s="3376" t="e">
        <f>IF(F1="售价",ROUND(PRODUCT(V48,AC7:AC47),0),ROUND(PRODUCT(V48,AC7:AC47),1))</f>
        <v>#DIV/0!</v>
      </c>
      <c r="W49" s="3376"/>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3"/>
      <c r="M50" s="2486"/>
      <c r="N50" s="2486"/>
      <c r="O50" s="2486"/>
      <c r="P50" s="3417" t="str">
        <f>A50</f>
        <v>估价对象XX用房的比较价值（楼面单价，元/平方米）</v>
      </c>
      <c r="Q50" s="3418"/>
      <c r="R50" s="3419" t="e">
        <f>IF(F1="售价",ROUND(IF(D49="简单平均",AVERAGE(R49:V49),R49*F49+T49*H49+V49*J49),0),ROUND(IF(D49="简单平均",AVERAGE(R49:V49),R49*F49+T49*H49+V49*J49),1))</f>
        <v>#DIV/0!</v>
      </c>
      <c r="S50" s="3419"/>
      <c r="T50" s="3419"/>
      <c r="U50" s="3419"/>
      <c r="V50" s="3419"/>
      <c r="W50" s="3419"/>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576.94000000000005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860"/>
      <c r="M4" s="861"/>
      <c r="N4" s="861"/>
      <c r="O4" s="861"/>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c r="A5" s="348"/>
      <c r="B5" s="349"/>
      <c r="C5" s="3408" t="s">
        <v>1673</v>
      </c>
      <c r="D5" s="3409"/>
      <c r="E5" s="3415" t="s">
        <v>1674</v>
      </c>
      <c r="F5" s="3416"/>
      <c r="G5" s="3408" t="s">
        <v>1675</v>
      </c>
      <c r="H5" s="3409"/>
      <c r="I5" s="3408" t="s">
        <v>1676</v>
      </c>
      <c r="J5" s="3409"/>
      <c r="K5" s="537"/>
      <c r="L5" s="860"/>
      <c r="M5" s="861"/>
      <c r="N5" s="861"/>
      <c r="O5" s="861"/>
      <c r="P5" s="3396"/>
      <c r="Q5" s="3397"/>
      <c r="R5" s="3402"/>
      <c r="S5" s="3403"/>
      <c r="T5" s="3402"/>
      <c r="U5" s="3403"/>
      <c r="V5" s="3376"/>
      <c r="W5" s="3376"/>
      <c r="X5" s="1265"/>
      <c r="Y5" s="3402"/>
      <c r="Z5" s="3403"/>
      <c r="AA5" s="3388"/>
      <c r="AB5" s="3388"/>
      <c r="AC5" s="3388"/>
    </row>
    <row r="6" spans="1:29" ht="15" thickBot="1">
      <c r="A6" s="350"/>
      <c r="B6" s="351"/>
      <c r="C6" s="3406" t="s">
        <v>1677</v>
      </c>
      <c r="D6" s="3407"/>
      <c r="E6" s="3413" t="s">
        <v>1677</v>
      </c>
      <c r="F6" s="3414"/>
      <c r="G6" s="3406" t="s">
        <v>1677</v>
      </c>
      <c r="H6" s="3407"/>
      <c r="I6" s="3406" t="s">
        <v>1677</v>
      </c>
      <c r="J6" s="3407"/>
      <c r="K6" s="537" t="s">
        <v>1678</v>
      </c>
      <c r="L6" s="860"/>
      <c r="M6" s="861"/>
      <c r="N6" s="861"/>
      <c r="O6" s="861"/>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45786</v>
      </c>
      <c r="D7" s="355">
        <v>100</v>
      </c>
      <c r="E7" s="356"/>
      <c r="F7" s="357">
        <f>SUMIF(52:52,YEAR(E7)&amp;"-"&amp;MONTH(E7),53:53)</f>
        <v>0</v>
      </c>
      <c r="G7" s="356"/>
      <c r="H7" s="355">
        <f>SUMIF(52:52,YEAR(G7)&amp;"-"&amp;MONTH(G7),53:53)</f>
        <v>0</v>
      </c>
      <c r="I7" s="356"/>
      <c r="J7" s="355">
        <f>SUMIF(52:52,YEAR(I7)&amp;"-"&amp;MONTH(I7),53:53)</f>
        <v>0</v>
      </c>
      <c r="K7" s="38"/>
      <c r="L7" s="862"/>
      <c r="M7" s="863"/>
      <c r="N7" s="863"/>
      <c r="O7" s="863"/>
      <c r="P7" s="3410" t="s">
        <v>1680</v>
      </c>
      <c r="Q7" s="3412"/>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0" t="s">
        <v>1683</v>
      </c>
      <c r="Q8" s="3411"/>
      <c r="R8" s="664" t="s">
        <v>14</v>
      </c>
      <c r="S8" s="665">
        <f t="shared" si="0"/>
        <v>100</v>
      </c>
      <c r="T8" s="664" t="s">
        <v>14</v>
      </c>
      <c r="U8" s="665">
        <f t="shared" si="1"/>
        <v>100</v>
      </c>
      <c r="V8" s="664" t="s">
        <v>14</v>
      </c>
      <c r="W8" s="665">
        <f t="shared" si="2"/>
        <v>100</v>
      </c>
      <c r="X8" s="666"/>
      <c r="Y8" s="3410" t="s">
        <v>1683</v>
      </c>
      <c r="Z8" s="3411"/>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5" t="s">
        <v>1686</v>
      </c>
      <c r="Q9" s="530" t="str">
        <f t="shared" ref="Q9:Q15" si="6">B9</f>
        <v>用途</v>
      </c>
      <c r="R9" s="664" t="s">
        <v>14</v>
      </c>
      <c r="S9" s="665">
        <f t="shared" si="0"/>
        <v>100</v>
      </c>
      <c r="T9" s="664" t="s">
        <v>14</v>
      </c>
      <c r="U9" s="665">
        <f t="shared" si="1"/>
        <v>100</v>
      </c>
      <c r="V9" s="664" t="s">
        <v>14</v>
      </c>
      <c r="W9" s="665">
        <f t="shared" si="2"/>
        <v>100</v>
      </c>
      <c r="X9" s="666"/>
      <c r="Y9" s="3250"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75"/>
      <c r="Q10" s="530" t="str">
        <f t="shared" si="6"/>
        <v>土地使用年限（年）</v>
      </c>
      <c r="R10" s="664" t="s">
        <v>14</v>
      </c>
      <c r="S10" s="665">
        <f t="shared" si="0"/>
        <v>100</v>
      </c>
      <c r="T10" s="664" t="s">
        <v>14</v>
      </c>
      <c r="U10" s="665">
        <f t="shared" si="1"/>
        <v>100</v>
      </c>
      <c r="V10" s="664" t="s">
        <v>14</v>
      </c>
      <c r="W10" s="665">
        <f t="shared" si="2"/>
        <v>100</v>
      </c>
      <c r="X10" s="666"/>
      <c r="Y10" s="325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5"/>
      <c r="Q11" s="530" t="str">
        <f t="shared" si="6"/>
        <v>容积率</v>
      </c>
      <c r="R11" s="664" t="s">
        <v>14</v>
      </c>
      <c r="S11" s="665">
        <f t="shared" si="0"/>
        <v>100</v>
      </c>
      <c r="T11" s="664" t="s">
        <v>14</v>
      </c>
      <c r="U11" s="665">
        <f t="shared" si="1"/>
        <v>100</v>
      </c>
      <c r="V11" s="664" t="s">
        <v>14</v>
      </c>
      <c r="W11" s="665">
        <f t="shared" si="2"/>
        <v>100</v>
      </c>
      <c r="X11" s="666"/>
      <c r="Y11" s="325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5"/>
      <c r="Q12" s="530">
        <f t="shared" si="6"/>
        <v>111</v>
      </c>
      <c r="R12" s="664" t="s">
        <v>14</v>
      </c>
      <c r="S12" s="665">
        <f t="shared" si="0"/>
        <v>100</v>
      </c>
      <c r="T12" s="664" t="s">
        <v>14</v>
      </c>
      <c r="U12" s="665">
        <f t="shared" si="1"/>
        <v>100</v>
      </c>
      <c r="V12" s="664" t="s">
        <v>14</v>
      </c>
      <c r="W12" s="665">
        <f t="shared" si="2"/>
        <v>100</v>
      </c>
      <c r="X12" s="666"/>
      <c r="Y12" s="325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5"/>
      <c r="Q13" s="530">
        <f t="shared" si="6"/>
        <v>111</v>
      </c>
      <c r="R13" s="664" t="s">
        <v>14</v>
      </c>
      <c r="S13" s="665">
        <f t="shared" si="0"/>
        <v>100</v>
      </c>
      <c r="T13" s="664" t="s">
        <v>14</v>
      </c>
      <c r="U13" s="665">
        <f t="shared" si="1"/>
        <v>100</v>
      </c>
      <c r="V13" s="664" t="s">
        <v>14</v>
      </c>
      <c r="W13" s="665">
        <f t="shared" si="2"/>
        <v>100</v>
      </c>
      <c r="X13" s="666"/>
      <c r="Y13" s="3250"/>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5"/>
      <c r="Q14" s="530">
        <f t="shared" si="6"/>
        <v>111</v>
      </c>
      <c r="R14" s="664" t="s">
        <v>14</v>
      </c>
      <c r="S14" s="665">
        <f t="shared" si="0"/>
        <v>100</v>
      </c>
      <c r="T14" s="664" t="s">
        <v>14</v>
      </c>
      <c r="U14" s="665">
        <f t="shared" si="1"/>
        <v>100</v>
      </c>
      <c r="V14" s="664" t="s">
        <v>14</v>
      </c>
      <c r="W14" s="665">
        <f t="shared" si="2"/>
        <v>100</v>
      </c>
      <c r="X14" s="666"/>
      <c r="Y14" s="3250"/>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7" t="s">
        <v>1691</v>
      </c>
      <c r="Q15" s="1263" t="str">
        <f t="shared" si="6"/>
        <v>产业集聚程度</v>
      </c>
      <c r="R15" s="667" t="s">
        <v>14</v>
      </c>
      <c r="S15" s="668">
        <f t="shared" si="0"/>
        <v>100</v>
      </c>
      <c r="T15" s="667" t="s">
        <v>14</v>
      </c>
      <c r="U15" s="668">
        <f t="shared" si="1"/>
        <v>100</v>
      </c>
      <c r="V15" s="667" t="s">
        <v>14</v>
      </c>
      <c r="W15" s="668">
        <f t="shared" si="2"/>
        <v>100</v>
      </c>
      <c r="X15" s="1265"/>
      <c r="Y15" s="337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8"/>
      <c r="Q16" s="1263"/>
      <c r="R16" s="667"/>
      <c r="S16" s="668"/>
      <c r="T16" s="667"/>
      <c r="U16" s="668"/>
      <c r="V16" s="667"/>
      <c r="W16" s="668"/>
      <c r="X16" s="1265"/>
      <c r="Y16" s="3378"/>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8"/>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8"/>
      <c r="Q18" s="1263"/>
      <c r="R18" s="667"/>
      <c r="S18" s="668"/>
      <c r="T18" s="667"/>
      <c r="U18" s="668"/>
      <c r="V18" s="667"/>
      <c r="W18" s="668"/>
      <c r="X18" s="1265"/>
      <c r="Y18" s="3378"/>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8"/>
      <c r="Q19" s="1263" t="str">
        <f>B19</f>
        <v>公共配套设施</v>
      </c>
      <c r="R19" s="667" t="s">
        <v>14</v>
      </c>
      <c r="S19" s="668">
        <f>F19</f>
        <v>100</v>
      </c>
      <c r="T19" s="667" t="s">
        <v>14</v>
      </c>
      <c r="U19" s="668">
        <f>H19</f>
        <v>100</v>
      </c>
      <c r="V19" s="667" t="s">
        <v>14</v>
      </c>
      <c r="W19" s="668">
        <f>J19</f>
        <v>100</v>
      </c>
      <c r="X19" s="1265"/>
      <c r="Y19" s="337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8"/>
      <c r="Q20" s="1263"/>
      <c r="R20" s="667"/>
      <c r="S20" s="668"/>
      <c r="T20" s="667"/>
      <c r="U20" s="668"/>
      <c r="V20" s="667"/>
      <c r="W20" s="668"/>
      <c r="X20" s="1265"/>
      <c r="Y20" s="3378"/>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8"/>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8"/>
      <c r="Q22" s="1263"/>
      <c r="R22" s="667"/>
      <c r="S22" s="668"/>
      <c r="T22" s="667"/>
      <c r="U22" s="668"/>
      <c r="V22" s="667"/>
      <c r="W22" s="668"/>
      <c r="X22" s="1265"/>
      <c r="Y22" s="3378"/>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8"/>
      <c r="Q23" s="1263" t="str">
        <f>B23</f>
        <v>环境质量</v>
      </c>
      <c r="R23" s="667" t="s">
        <v>14</v>
      </c>
      <c r="S23" s="668">
        <f>F23</f>
        <v>100</v>
      </c>
      <c r="T23" s="667" t="s">
        <v>14</v>
      </c>
      <c r="U23" s="668">
        <f>H23</f>
        <v>100</v>
      </c>
      <c r="V23" s="667" t="s">
        <v>14</v>
      </c>
      <c r="W23" s="668">
        <f>J23</f>
        <v>100</v>
      </c>
      <c r="X23" s="1265"/>
      <c r="Y23" s="337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8"/>
      <c r="Q24" s="1263"/>
      <c r="R24" s="667"/>
      <c r="S24" s="668"/>
      <c r="T24" s="667"/>
      <c r="U24" s="668"/>
      <c r="V24" s="667"/>
      <c r="W24" s="668"/>
      <c r="X24" s="1265"/>
      <c r="Y24" s="337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8"/>
      <c r="Q25" s="1263">
        <f>B25</f>
        <v>111</v>
      </c>
      <c r="R25" s="667" t="s">
        <v>14</v>
      </c>
      <c r="S25" s="668">
        <f>F25</f>
        <v>100</v>
      </c>
      <c r="T25" s="667" t="s">
        <v>14</v>
      </c>
      <c r="U25" s="668">
        <f>H25</f>
        <v>100</v>
      </c>
      <c r="V25" s="667" t="s">
        <v>14</v>
      </c>
      <c r="W25" s="668">
        <f>J25</f>
        <v>100</v>
      </c>
      <c r="X25" s="1265"/>
      <c r="Y25" s="337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8"/>
      <c r="Q26" s="1263">
        <f t="shared" ref="Q26:Q40" si="11">B26</f>
        <v>111</v>
      </c>
      <c r="R26" s="667" t="s">
        <v>14</v>
      </c>
      <c r="S26" s="668">
        <f>F26</f>
        <v>100</v>
      </c>
      <c r="T26" s="667" t="s">
        <v>14</v>
      </c>
      <c r="U26" s="668">
        <f>H26</f>
        <v>100</v>
      </c>
      <c r="V26" s="667" t="s">
        <v>14</v>
      </c>
      <c r="W26" s="668">
        <f>J26</f>
        <v>100</v>
      </c>
      <c r="X26" s="1265"/>
      <c r="Y26" s="337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8"/>
      <c r="Q27" s="530">
        <f t="shared" si="11"/>
        <v>111</v>
      </c>
      <c r="R27" s="664" t="s">
        <v>14</v>
      </c>
      <c r="S27" s="665">
        <f>F27</f>
        <v>100</v>
      </c>
      <c r="T27" s="664" t="s">
        <v>14</v>
      </c>
      <c r="U27" s="665">
        <f>H27</f>
        <v>100</v>
      </c>
      <c r="V27" s="664" t="s">
        <v>14</v>
      </c>
      <c r="W27" s="665">
        <f>J27</f>
        <v>100</v>
      </c>
      <c r="X27" s="666"/>
      <c r="Y27" s="3378"/>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8"/>
      <c r="Q28" s="1263">
        <f t="shared" si="11"/>
        <v>111</v>
      </c>
      <c r="R28" s="667" t="s">
        <v>14</v>
      </c>
      <c r="S28" s="668">
        <f t="shared" ref="S28:S40" si="12">F28</f>
        <v>100</v>
      </c>
      <c r="T28" s="667" t="s">
        <v>14</v>
      </c>
      <c r="U28" s="668">
        <f t="shared" ref="U28:U40" si="13">H28</f>
        <v>100</v>
      </c>
      <c r="V28" s="667" t="s">
        <v>14</v>
      </c>
      <c r="W28" s="668">
        <f t="shared" ref="W28:W40" si="14">J28</f>
        <v>100</v>
      </c>
      <c r="X28" s="1265"/>
      <c r="Y28" s="3378"/>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2" t="s">
        <v>1696</v>
      </c>
      <c r="Q29" s="1263" t="str">
        <f t="shared" si="11"/>
        <v>建筑类型</v>
      </c>
      <c r="R29" s="667" t="s">
        <v>14</v>
      </c>
      <c r="S29" s="668">
        <f t="shared" si="12"/>
        <v>100</v>
      </c>
      <c r="T29" s="667" t="s">
        <v>14</v>
      </c>
      <c r="U29" s="668">
        <f t="shared" si="13"/>
        <v>100</v>
      </c>
      <c r="V29" s="667" t="s">
        <v>14</v>
      </c>
      <c r="W29" s="668">
        <f t="shared" si="14"/>
        <v>100</v>
      </c>
      <c r="X29" s="1265"/>
      <c r="Y29" s="338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2"/>
      <c r="Q30" s="531" t="str">
        <f t="shared" si="11"/>
        <v>项目建筑规模</v>
      </c>
      <c r="R30" s="669" t="s">
        <v>14</v>
      </c>
      <c r="S30" s="670" t="e">
        <f t="shared" si="12"/>
        <v>#N/A</v>
      </c>
      <c r="T30" s="669" t="s">
        <v>14</v>
      </c>
      <c r="U30" s="670" t="e">
        <f t="shared" si="13"/>
        <v>#N/A</v>
      </c>
      <c r="V30" s="669" t="s">
        <v>14</v>
      </c>
      <c r="W30" s="670" t="e">
        <f t="shared" si="14"/>
        <v>#N/A</v>
      </c>
      <c r="X30" s="671"/>
      <c r="Y30" s="338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2"/>
      <c r="Q31" s="1263" t="str">
        <f t="shared" si="11"/>
        <v>建筑结构</v>
      </c>
      <c r="R31" s="667" t="s">
        <v>14</v>
      </c>
      <c r="S31" s="668">
        <f t="shared" si="12"/>
        <v>100</v>
      </c>
      <c r="T31" s="667" t="s">
        <v>14</v>
      </c>
      <c r="U31" s="668">
        <f t="shared" si="13"/>
        <v>100</v>
      </c>
      <c r="V31" s="667" t="s">
        <v>14</v>
      </c>
      <c r="W31" s="668">
        <f t="shared" si="14"/>
        <v>100</v>
      </c>
      <c r="X31" s="1265"/>
      <c r="Y31" s="338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2"/>
      <c r="Q32" s="1263" t="str">
        <f t="shared" si="11"/>
        <v>公共部分装修</v>
      </c>
      <c r="R32" s="667" t="s">
        <v>14</v>
      </c>
      <c r="S32" s="668">
        <f t="shared" si="12"/>
        <v>100</v>
      </c>
      <c r="T32" s="667" t="s">
        <v>14</v>
      </c>
      <c r="U32" s="668">
        <f t="shared" si="13"/>
        <v>100</v>
      </c>
      <c r="V32" s="667" t="s">
        <v>14</v>
      </c>
      <c r="W32" s="668">
        <f t="shared" si="14"/>
        <v>100</v>
      </c>
      <c r="X32" s="1265"/>
      <c r="Y32" s="338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2"/>
      <c r="Q33" s="1263" t="str">
        <f t="shared" si="11"/>
        <v>成新度</v>
      </c>
      <c r="R33" s="667" t="s">
        <v>14</v>
      </c>
      <c r="S33" s="668" t="e">
        <f t="shared" si="12"/>
        <v>#N/A</v>
      </c>
      <c r="T33" s="667" t="s">
        <v>14</v>
      </c>
      <c r="U33" s="668" t="e">
        <f t="shared" si="13"/>
        <v>#N/A</v>
      </c>
      <c r="V33" s="667" t="s">
        <v>14</v>
      </c>
      <c r="W33" s="668" t="e">
        <f t="shared" si="14"/>
        <v>#N/A</v>
      </c>
      <c r="X33" s="1265"/>
      <c r="Y33" s="3382"/>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2"/>
      <c r="Q34" s="530" t="str">
        <f t="shared" si="11"/>
        <v>物业管理</v>
      </c>
      <c r="R34" s="664" t="s">
        <v>14</v>
      </c>
      <c r="S34" s="665">
        <f t="shared" si="12"/>
        <v>100</v>
      </c>
      <c r="T34" s="664" t="s">
        <v>14</v>
      </c>
      <c r="U34" s="665">
        <f t="shared" si="13"/>
        <v>100</v>
      </c>
      <c r="V34" s="664" t="s">
        <v>14</v>
      </c>
      <c r="W34" s="665">
        <f t="shared" si="14"/>
        <v>100</v>
      </c>
      <c r="X34" s="666"/>
      <c r="Y34" s="338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2" t="s">
        <v>1696</v>
      </c>
      <c r="Q35" s="1263" t="str">
        <f t="shared" si="11"/>
        <v>市政基础设施</v>
      </c>
      <c r="R35" s="667" t="s">
        <v>14</v>
      </c>
      <c r="S35" s="668">
        <f t="shared" si="12"/>
        <v>100</v>
      </c>
      <c r="T35" s="667" t="s">
        <v>14</v>
      </c>
      <c r="U35" s="668">
        <f t="shared" si="13"/>
        <v>100</v>
      </c>
      <c r="V35" s="667" t="s">
        <v>14</v>
      </c>
      <c r="W35" s="668">
        <f t="shared" si="14"/>
        <v>100</v>
      </c>
      <c r="X35" s="1265"/>
      <c r="Y35" s="338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2"/>
      <c r="Q36" s="1263" t="str">
        <f t="shared" si="11"/>
        <v>内部装修</v>
      </c>
      <c r="R36" s="667" t="s">
        <v>14</v>
      </c>
      <c r="S36" s="668">
        <f t="shared" si="12"/>
        <v>100</v>
      </c>
      <c r="T36" s="667" t="s">
        <v>14</v>
      </c>
      <c r="U36" s="668">
        <f t="shared" si="13"/>
        <v>100</v>
      </c>
      <c r="V36" s="667" t="s">
        <v>14</v>
      </c>
      <c r="W36" s="668">
        <f t="shared" si="14"/>
        <v>100</v>
      </c>
      <c r="X36" s="1265"/>
      <c r="Y36" s="3382"/>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2"/>
      <c r="Q37" s="1263" t="str">
        <f t="shared" si="11"/>
        <v>内部装修状况</v>
      </c>
      <c r="R37" s="667" t="s">
        <v>14</v>
      </c>
      <c r="S37" s="668">
        <f t="shared" si="12"/>
        <v>100</v>
      </c>
      <c r="T37" s="667" t="s">
        <v>14</v>
      </c>
      <c r="U37" s="668">
        <f t="shared" si="13"/>
        <v>100</v>
      </c>
      <c r="V37" s="667" t="s">
        <v>14</v>
      </c>
      <c r="W37" s="668">
        <f t="shared" si="14"/>
        <v>100</v>
      </c>
      <c r="X37" s="1265"/>
      <c r="Y37" s="338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2"/>
      <c r="Q38" s="531">
        <f t="shared" si="11"/>
        <v>111</v>
      </c>
      <c r="R38" s="669" t="s">
        <v>14</v>
      </c>
      <c r="S38" s="670">
        <f t="shared" si="12"/>
        <v>100</v>
      </c>
      <c r="T38" s="669" t="s">
        <v>14</v>
      </c>
      <c r="U38" s="670">
        <f t="shared" si="13"/>
        <v>100</v>
      </c>
      <c r="V38" s="669" t="s">
        <v>14</v>
      </c>
      <c r="W38" s="670">
        <f t="shared" si="14"/>
        <v>100</v>
      </c>
      <c r="X38" s="671"/>
      <c r="Y38" s="338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2"/>
      <c r="Q39" s="1263">
        <f t="shared" si="11"/>
        <v>111</v>
      </c>
      <c r="R39" s="667" t="s">
        <v>14</v>
      </c>
      <c r="S39" s="668">
        <f t="shared" si="12"/>
        <v>100</v>
      </c>
      <c r="T39" s="667" t="s">
        <v>14</v>
      </c>
      <c r="U39" s="668">
        <f t="shared" si="13"/>
        <v>100</v>
      </c>
      <c r="V39" s="667" t="s">
        <v>14</v>
      </c>
      <c r="W39" s="668">
        <f t="shared" si="14"/>
        <v>100</v>
      </c>
      <c r="X39" s="1265"/>
      <c r="Y39" s="3382"/>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3"/>
      <c r="Q40" s="1263">
        <f t="shared" si="11"/>
        <v>111</v>
      </c>
      <c r="R40" s="667" t="s">
        <v>14</v>
      </c>
      <c r="S40" s="668">
        <f t="shared" si="12"/>
        <v>100</v>
      </c>
      <c r="T40" s="667" t="s">
        <v>14</v>
      </c>
      <c r="U40" s="668">
        <f t="shared" si="13"/>
        <v>100</v>
      </c>
      <c r="V40" s="667" t="s">
        <v>14</v>
      </c>
      <c r="W40" s="668">
        <f t="shared" si="14"/>
        <v>100</v>
      </c>
      <c r="X40" s="1265"/>
      <c r="Y40" s="3383"/>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75" t="str">
        <f>A41</f>
        <v>成交单价（元/平方米）</v>
      </c>
      <c r="Q41" s="3375"/>
      <c r="R41" s="3376">
        <f>E41</f>
        <v>0</v>
      </c>
      <c r="S41" s="3376"/>
      <c r="T41" s="3376">
        <f>G41</f>
        <v>0</v>
      </c>
      <c r="U41" s="3376"/>
      <c r="V41" s="3376">
        <f>I41</f>
        <v>0</v>
      </c>
      <c r="W41" s="3376"/>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75" t="str">
        <f>A42</f>
        <v>比较价值（元/平方米）</v>
      </c>
      <c r="Q42" s="3375"/>
      <c r="R42" s="3376" t="e">
        <f>IF(F1="售价",ROUND(PRODUCT(R41,AA7:AA40),0),ROUND(PRODUCT(R41,AA7:AA40),1))</f>
        <v>#DIV/0!</v>
      </c>
      <c r="S42" s="3376"/>
      <c r="T42" s="3376" t="e">
        <f>IF(F1="售价",ROUND(PRODUCT(T41,AB7:AB40),0),ROUND(PRODUCT(T41,AB7:AB40),1))</f>
        <v>#DIV/0!</v>
      </c>
      <c r="U42" s="3376"/>
      <c r="V42" s="3376" t="e">
        <f>IF(F1="售价",ROUND(PRODUCT(V41,AC7:AC40),0),ROUND(PRODUCT(V41,AC7:AC40),1))</f>
        <v>#DIV/0!</v>
      </c>
      <c r="W42" s="3376"/>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72" t="str">
        <f>A43</f>
        <v>估价对象XX用房的比较价值（楼面单价，元/平方米）</v>
      </c>
      <c r="Q43" s="3373"/>
      <c r="R43" s="3374" t="e">
        <f>IF(F1="售价",ROUND(IF(D42="简单平均",AVERAGE(R42:V42),R42*F42+T42*H42+V42*J42),0),ROUND(IF(D42="简单平均",AVERAGE(R42:V42),R42*F42+T42*H42+V42*J42),1))</f>
        <v>#DIV/0!</v>
      </c>
      <c r="S43" s="3374"/>
      <c r="T43" s="3374"/>
      <c r="U43" s="3374"/>
      <c r="V43" s="3374"/>
      <c r="W43" s="3374"/>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85"/>
      <c r="M4" s="2486"/>
      <c r="N4" s="2486"/>
      <c r="O4" s="2486"/>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c r="A5" s="348"/>
      <c r="B5" s="349"/>
      <c r="C5" s="3408" t="s">
        <v>1673</v>
      </c>
      <c r="D5" s="3409"/>
      <c r="E5" s="3415" t="s">
        <v>1674</v>
      </c>
      <c r="F5" s="3416"/>
      <c r="G5" s="3408" t="s">
        <v>1675</v>
      </c>
      <c r="H5" s="3409"/>
      <c r="I5" s="3408" t="s">
        <v>1676</v>
      </c>
      <c r="J5" s="3409"/>
      <c r="K5" s="537"/>
      <c r="L5" s="2485"/>
      <c r="M5" s="2486"/>
      <c r="N5" s="2486"/>
      <c r="O5" s="2486"/>
      <c r="P5" s="3396"/>
      <c r="Q5" s="3397"/>
      <c r="R5" s="3402"/>
      <c r="S5" s="3403"/>
      <c r="T5" s="3402"/>
      <c r="U5" s="3403"/>
      <c r="V5" s="3376"/>
      <c r="W5" s="3376"/>
      <c r="X5" s="1265"/>
      <c r="Y5" s="3402"/>
      <c r="Z5" s="3403"/>
      <c r="AA5" s="3388"/>
      <c r="AB5" s="3388"/>
      <c r="AC5" s="3388"/>
    </row>
    <row r="6" spans="1:29" ht="15" thickBot="1">
      <c r="A6" s="350"/>
      <c r="B6" s="351"/>
      <c r="C6" s="3406" t="s">
        <v>1677</v>
      </c>
      <c r="D6" s="3407"/>
      <c r="E6" s="3413" t="s">
        <v>1677</v>
      </c>
      <c r="F6" s="3414"/>
      <c r="G6" s="3406" t="s">
        <v>1677</v>
      </c>
      <c r="H6" s="3407"/>
      <c r="I6" s="3406" t="s">
        <v>1677</v>
      </c>
      <c r="J6" s="3407"/>
      <c r="K6" s="537" t="s">
        <v>1678</v>
      </c>
      <c r="L6" s="2485"/>
      <c r="M6" s="2486"/>
      <c r="N6" s="2486"/>
      <c r="O6" s="2486"/>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45786</v>
      </c>
      <c r="D7" s="355">
        <v>100</v>
      </c>
      <c r="E7" s="356"/>
      <c r="F7" s="357">
        <f>SUMIF(48:48,YEAR(E7)&amp;"-"&amp;MONTH(E7),49:49)</f>
        <v>0</v>
      </c>
      <c r="G7" s="356"/>
      <c r="H7" s="355">
        <f>SUMIF(48:48,YEAR(G7)&amp;"-"&amp;MONTH(G7),49:49)</f>
        <v>0</v>
      </c>
      <c r="I7" s="356"/>
      <c r="J7" s="355">
        <f>SUMIF(48:48,YEAR(I7)&amp;"-"&amp;MONTH(I7),49:49)</f>
        <v>0</v>
      </c>
      <c r="K7" s="38"/>
      <c r="L7" s="2487"/>
      <c r="M7" s="2439"/>
      <c r="N7" s="2439"/>
      <c r="O7" s="2439"/>
      <c r="P7" s="3410" t="s">
        <v>1680</v>
      </c>
      <c r="Q7" s="3412"/>
      <c r="R7" s="664" t="s">
        <v>14</v>
      </c>
      <c r="S7" s="665">
        <f t="shared" ref="S7:S14" si="0">F7</f>
        <v>0</v>
      </c>
      <c r="T7" s="664" t="s">
        <v>14</v>
      </c>
      <c r="U7" s="665">
        <f t="shared" ref="U7:U14" si="1">H7</f>
        <v>0</v>
      </c>
      <c r="V7" s="664" t="s">
        <v>14</v>
      </c>
      <c r="W7" s="665">
        <f t="shared" ref="W7:W14" si="2">J7</f>
        <v>0</v>
      </c>
      <c r="X7" s="666"/>
      <c r="Y7" s="3410" t="s">
        <v>1680</v>
      </c>
      <c r="Z7" s="3411"/>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10" t="s">
        <v>1683</v>
      </c>
      <c r="Q8" s="3411"/>
      <c r="R8" s="664" t="s">
        <v>14</v>
      </c>
      <c r="S8" s="665">
        <f t="shared" si="0"/>
        <v>100</v>
      </c>
      <c r="T8" s="664" t="s">
        <v>14</v>
      </c>
      <c r="U8" s="665">
        <f t="shared" si="1"/>
        <v>100</v>
      </c>
      <c r="V8" s="664" t="s">
        <v>14</v>
      </c>
      <c r="W8" s="665">
        <f t="shared" si="2"/>
        <v>100</v>
      </c>
      <c r="X8" s="666"/>
      <c r="Y8" s="3410" t="s">
        <v>1683</v>
      </c>
      <c r="Z8" s="3411"/>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75" t="s">
        <v>1686</v>
      </c>
      <c r="Q9" s="530" t="str">
        <f t="shared" ref="Q9:Q14" si="6">B9</f>
        <v>用途</v>
      </c>
      <c r="R9" s="664" t="s">
        <v>14</v>
      </c>
      <c r="S9" s="665">
        <f t="shared" si="0"/>
        <v>100</v>
      </c>
      <c r="T9" s="664" t="s">
        <v>14</v>
      </c>
      <c r="U9" s="665">
        <f t="shared" si="1"/>
        <v>100</v>
      </c>
      <c r="V9" s="664" t="s">
        <v>14</v>
      </c>
      <c r="W9" s="665">
        <f t="shared" si="2"/>
        <v>100</v>
      </c>
      <c r="X9" s="666"/>
      <c r="Y9" s="3250"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75"/>
      <c r="Q10" s="530" t="str">
        <f t="shared" si="6"/>
        <v>土地使用年限（年）</v>
      </c>
      <c r="R10" s="664" t="s">
        <v>14</v>
      </c>
      <c r="S10" s="665">
        <f t="shared" si="0"/>
        <v>100</v>
      </c>
      <c r="T10" s="664" t="s">
        <v>14</v>
      </c>
      <c r="U10" s="665">
        <f t="shared" si="1"/>
        <v>100</v>
      </c>
      <c r="V10" s="664" t="s">
        <v>14</v>
      </c>
      <c r="W10" s="665">
        <f t="shared" si="2"/>
        <v>100</v>
      </c>
      <c r="X10" s="666"/>
      <c r="Y10" s="325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75"/>
      <c r="Q11" s="530">
        <f t="shared" si="6"/>
        <v>111</v>
      </c>
      <c r="R11" s="664" t="s">
        <v>14</v>
      </c>
      <c r="S11" s="665">
        <f t="shared" si="0"/>
        <v>100</v>
      </c>
      <c r="T11" s="664" t="s">
        <v>14</v>
      </c>
      <c r="U11" s="665">
        <f t="shared" si="1"/>
        <v>100</v>
      </c>
      <c r="V11" s="664" t="s">
        <v>14</v>
      </c>
      <c r="W11" s="665">
        <f t="shared" si="2"/>
        <v>100</v>
      </c>
      <c r="X11" s="666"/>
      <c r="Y11" s="325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75"/>
      <c r="Q12" s="530">
        <f t="shared" si="6"/>
        <v>111</v>
      </c>
      <c r="R12" s="664" t="s">
        <v>14</v>
      </c>
      <c r="S12" s="665">
        <f t="shared" si="0"/>
        <v>100</v>
      </c>
      <c r="T12" s="664" t="s">
        <v>14</v>
      </c>
      <c r="U12" s="665">
        <f t="shared" si="1"/>
        <v>100</v>
      </c>
      <c r="V12" s="664" t="s">
        <v>14</v>
      </c>
      <c r="W12" s="665">
        <f t="shared" si="2"/>
        <v>100</v>
      </c>
      <c r="X12" s="666"/>
      <c r="Y12" s="3250"/>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75"/>
      <c r="Q13" s="530">
        <f t="shared" si="6"/>
        <v>111</v>
      </c>
      <c r="R13" s="664" t="s">
        <v>14</v>
      </c>
      <c r="S13" s="665">
        <f t="shared" si="0"/>
        <v>100</v>
      </c>
      <c r="T13" s="664" t="s">
        <v>14</v>
      </c>
      <c r="U13" s="665">
        <f t="shared" si="1"/>
        <v>100</v>
      </c>
      <c r="V13" s="664" t="s">
        <v>14</v>
      </c>
      <c r="W13" s="665">
        <f t="shared" si="2"/>
        <v>100</v>
      </c>
      <c r="X13" s="666"/>
      <c r="Y13" s="3250"/>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77" t="s">
        <v>1691</v>
      </c>
      <c r="Q14" s="1263" t="str">
        <f t="shared" si="6"/>
        <v>交通便捷度</v>
      </c>
      <c r="R14" s="667" t="s">
        <v>14</v>
      </c>
      <c r="S14" s="668">
        <f t="shared" si="0"/>
        <v>100</v>
      </c>
      <c r="T14" s="667" t="s">
        <v>14</v>
      </c>
      <c r="U14" s="668">
        <f t="shared" si="1"/>
        <v>100</v>
      </c>
      <c r="V14" s="667" t="s">
        <v>14</v>
      </c>
      <c r="W14" s="668">
        <f t="shared" si="2"/>
        <v>100</v>
      </c>
      <c r="X14" s="1265"/>
      <c r="Y14" s="337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78"/>
      <c r="Q15" s="1263"/>
      <c r="R15" s="667"/>
      <c r="S15" s="668"/>
      <c r="T15" s="667"/>
      <c r="U15" s="668"/>
      <c r="V15" s="667"/>
      <c r="W15" s="668"/>
      <c r="X15" s="1265"/>
      <c r="Y15" s="3378"/>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78"/>
      <c r="Q16" s="1263" t="str">
        <f>B16</f>
        <v>公共配套设施</v>
      </c>
      <c r="R16" s="667" t="s">
        <v>14</v>
      </c>
      <c r="S16" s="668">
        <f>F16</f>
        <v>100</v>
      </c>
      <c r="T16" s="667" t="s">
        <v>14</v>
      </c>
      <c r="U16" s="668">
        <f>H16</f>
        <v>100</v>
      </c>
      <c r="V16" s="667" t="s">
        <v>14</v>
      </c>
      <c r="W16" s="668">
        <f>J16</f>
        <v>100</v>
      </c>
      <c r="X16" s="1265"/>
      <c r="Y16" s="337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78"/>
      <c r="Q17" s="1263"/>
      <c r="R17" s="667"/>
      <c r="S17" s="668"/>
      <c r="T17" s="667"/>
      <c r="U17" s="668"/>
      <c r="V17" s="667"/>
      <c r="W17" s="668"/>
      <c r="X17" s="1265"/>
      <c r="Y17" s="3378"/>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78"/>
      <c r="Q18" s="1263" t="str">
        <f>B18</f>
        <v>基础设施水平</v>
      </c>
      <c r="R18" s="667" t="s">
        <v>14</v>
      </c>
      <c r="S18" s="668">
        <f>F18</f>
        <v>100</v>
      </c>
      <c r="T18" s="667" t="s">
        <v>14</v>
      </c>
      <c r="U18" s="668">
        <f>H18</f>
        <v>100</v>
      </c>
      <c r="V18" s="667" t="s">
        <v>14</v>
      </c>
      <c r="W18" s="668">
        <f>J18</f>
        <v>100</v>
      </c>
      <c r="X18" s="1265"/>
      <c r="Y18" s="337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78"/>
      <c r="Q19" s="1263"/>
      <c r="R19" s="667"/>
      <c r="S19" s="668"/>
      <c r="T19" s="667"/>
      <c r="U19" s="668"/>
      <c r="V19" s="667"/>
      <c r="W19" s="668"/>
      <c r="X19" s="1265"/>
      <c r="Y19" s="3378"/>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78"/>
      <c r="Q20" s="1263" t="str">
        <f>B20</f>
        <v>自然及人文环境</v>
      </c>
      <c r="R20" s="667" t="s">
        <v>14</v>
      </c>
      <c r="S20" s="668">
        <f>F20</f>
        <v>100</v>
      </c>
      <c r="T20" s="667" t="s">
        <v>14</v>
      </c>
      <c r="U20" s="668">
        <f>H20</f>
        <v>100</v>
      </c>
      <c r="V20" s="667" t="s">
        <v>14</v>
      </c>
      <c r="W20" s="668">
        <f>J20</f>
        <v>100</v>
      </c>
      <c r="X20" s="1265"/>
      <c r="Y20" s="337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78"/>
      <c r="Q21" s="1263"/>
      <c r="R21" s="667"/>
      <c r="S21" s="668"/>
      <c r="T21" s="667"/>
      <c r="U21" s="668"/>
      <c r="V21" s="667"/>
      <c r="W21" s="668"/>
      <c r="X21" s="1265"/>
      <c r="Y21" s="337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78"/>
      <c r="Q22" s="1263" t="str">
        <f>B22</f>
        <v>楼层</v>
      </c>
      <c r="R22" s="667" t="s">
        <v>14</v>
      </c>
      <c r="S22" s="668">
        <f>F22</f>
        <v>100</v>
      </c>
      <c r="T22" s="667" t="s">
        <v>14</v>
      </c>
      <c r="U22" s="668">
        <f>H22</f>
        <v>100</v>
      </c>
      <c r="V22" s="667" t="s">
        <v>14</v>
      </c>
      <c r="W22" s="668">
        <f>J22</f>
        <v>100</v>
      </c>
      <c r="X22" s="1265"/>
      <c r="Y22" s="337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78"/>
      <c r="Q23" s="1263">
        <f>B23</f>
        <v>111</v>
      </c>
      <c r="R23" s="667" t="s">
        <v>14</v>
      </c>
      <c r="S23" s="668">
        <f>F23</f>
        <v>100</v>
      </c>
      <c r="T23" s="667" t="s">
        <v>14</v>
      </c>
      <c r="U23" s="668">
        <f>H23</f>
        <v>100</v>
      </c>
      <c r="V23" s="667" t="s">
        <v>14</v>
      </c>
      <c r="W23" s="668">
        <f>J23</f>
        <v>100</v>
      </c>
      <c r="X23" s="1265"/>
      <c r="Y23" s="337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78"/>
      <c r="Q24" s="1263">
        <f t="shared" ref="Q24:Q36" si="11">B24</f>
        <v>111</v>
      </c>
      <c r="R24" s="667" t="s">
        <v>14</v>
      </c>
      <c r="S24" s="668">
        <f>F24</f>
        <v>100</v>
      </c>
      <c r="T24" s="667" t="s">
        <v>14</v>
      </c>
      <c r="U24" s="668">
        <f>H24</f>
        <v>100</v>
      </c>
      <c r="V24" s="667" t="s">
        <v>14</v>
      </c>
      <c r="W24" s="668">
        <f>J24</f>
        <v>100</v>
      </c>
      <c r="X24" s="1265"/>
      <c r="Y24" s="3378"/>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78"/>
      <c r="Q25" s="530">
        <f t="shared" si="11"/>
        <v>111</v>
      </c>
      <c r="R25" s="664" t="s">
        <v>14</v>
      </c>
      <c r="S25" s="665">
        <f>F25</f>
        <v>100</v>
      </c>
      <c r="T25" s="664" t="s">
        <v>14</v>
      </c>
      <c r="U25" s="665">
        <f>H25</f>
        <v>100</v>
      </c>
      <c r="V25" s="664" t="s">
        <v>14</v>
      </c>
      <c r="W25" s="665">
        <f>J25</f>
        <v>100</v>
      </c>
      <c r="X25" s="666"/>
      <c r="Y25" s="3378"/>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3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2"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82"/>
      <c r="Q27" s="531" t="str">
        <f t="shared" si="11"/>
        <v>项目停车位配比</v>
      </c>
      <c r="R27" s="669" t="s">
        <v>14</v>
      </c>
      <c r="S27" s="670">
        <f t="shared" si="12"/>
        <v>100</v>
      </c>
      <c r="T27" s="669" t="s">
        <v>14</v>
      </c>
      <c r="U27" s="670">
        <f t="shared" si="13"/>
        <v>100</v>
      </c>
      <c r="V27" s="669" t="s">
        <v>14</v>
      </c>
      <c r="W27" s="670">
        <f t="shared" si="14"/>
        <v>100</v>
      </c>
      <c r="X27" s="671"/>
      <c r="Y27" s="3382"/>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82"/>
      <c r="Q28" s="1263" t="str">
        <f t="shared" si="11"/>
        <v>公共部分装修</v>
      </c>
      <c r="R28" s="667" t="s">
        <v>14</v>
      </c>
      <c r="S28" s="668">
        <f t="shared" si="12"/>
        <v>100</v>
      </c>
      <c r="T28" s="667" t="s">
        <v>14</v>
      </c>
      <c r="U28" s="668">
        <f t="shared" si="13"/>
        <v>100</v>
      </c>
      <c r="V28" s="667" t="s">
        <v>14</v>
      </c>
      <c r="W28" s="668">
        <f t="shared" si="14"/>
        <v>100</v>
      </c>
      <c r="X28" s="1265"/>
      <c r="Y28" s="3382"/>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82"/>
      <c r="Q29" s="1263" t="str">
        <f t="shared" si="11"/>
        <v>成新率</v>
      </c>
      <c r="R29" s="667" t="s">
        <v>14</v>
      </c>
      <c r="S29" s="668" t="e">
        <f t="shared" si="12"/>
        <v>#N/A</v>
      </c>
      <c r="T29" s="667" t="s">
        <v>14</v>
      </c>
      <c r="U29" s="668" t="e">
        <f t="shared" si="13"/>
        <v>#N/A</v>
      </c>
      <c r="V29" s="667" t="s">
        <v>14</v>
      </c>
      <c r="W29" s="668" t="e">
        <f t="shared" si="14"/>
        <v>#N/A</v>
      </c>
      <c r="X29" s="1265"/>
      <c r="Y29" s="3382"/>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82"/>
      <c r="Q30" s="1263" t="str">
        <f t="shared" si="11"/>
        <v>物业等级</v>
      </c>
      <c r="R30" s="667" t="s">
        <v>14</v>
      </c>
      <c r="S30" s="668">
        <f t="shared" si="12"/>
        <v>100</v>
      </c>
      <c r="T30" s="667" t="s">
        <v>14</v>
      </c>
      <c r="U30" s="668">
        <f t="shared" si="13"/>
        <v>100</v>
      </c>
      <c r="V30" s="667" t="s">
        <v>14</v>
      </c>
      <c r="W30" s="668">
        <f t="shared" si="14"/>
        <v>100</v>
      </c>
      <c r="X30" s="1265"/>
      <c r="Y30" s="3382"/>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82"/>
      <c r="Q31" s="530" t="str">
        <f t="shared" si="11"/>
        <v>停车位面积</v>
      </c>
      <c r="R31" s="664" t="s">
        <v>14</v>
      </c>
      <c r="S31" s="665" t="e">
        <f t="shared" si="12"/>
        <v>#N/A</v>
      </c>
      <c r="T31" s="664" t="s">
        <v>14</v>
      </c>
      <c r="U31" s="665" t="e">
        <f t="shared" si="13"/>
        <v>#N/A</v>
      </c>
      <c r="V31" s="664" t="s">
        <v>14</v>
      </c>
      <c r="W31" s="665" t="e">
        <f t="shared" si="14"/>
        <v>#N/A</v>
      </c>
      <c r="X31" s="666"/>
      <c r="Y31" s="338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82" t="s">
        <v>1696</v>
      </c>
      <c r="Q32" s="1263" t="str">
        <f t="shared" si="11"/>
        <v>车位类型</v>
      </c>
      <c r="R32" s="667" t="s">
        <v>14</v>
      </c>
      <c r="S32" s="668">
        <f t="shared" si="12"/>
        <v>100</v>
      </c>
      <c r="T32" s="667" t="s">
        <v>14</v>
      </c>
      <c r="U32" s="668">
        <f t="shared" si="13"/>
        <v>100</v>
      </c>
      <c r="V32" s="667" t="s">
        <v>14</v>
      </c>
      <c r="W32" s="668">
        <f t="shared" si="14"/>
        <v>100</v>
      </c>
      <c r="X32" s="1265"/>
      <c r="Y32" s="3382"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82"/>
      <c r="Q33" s="1263" t="str">
        <f t="shared" si="11"/>
        <v>是否直接入户</v>
      </c>
      <c r="R33" s="667" t="s">
        <v>14</v>
      </c>
      <c r="S33" s="668">
        <f t="shared" si="12"/>
        <v>100</v>
      </c>
      <c r="T33" s="667" t="s">
        <v>14</v>
      </c>
      <c r="U33" s="668">
        <f t="shared" si="13"/>
        <v>100</v>
      </c>
      <c r="V33" s="667" t="s">
        <v>14</v>
      </c>
      <c r="W33" s="668">
        <f t="shared" si="14"/>
        <v>100</v>
      </c>
      <c r="X33" s="1265"/>
      <c r="Y33" s="338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82"/>
      <c r="Q34" s="1263">
        <f t="shared" si="11"/>
        <v>111</v>
      </c>
      <c r="R34" s="667" t="s">
        <v>14</v>
      </c>
      <c r="S34" s="668">
        <f t="shared" si="12"/>
        <v>100</v>
      </c>
      <c r="T34" s="667" t="s">
        <v>14</v>
      </c>
      <c r="U34" s="668">
        <f t="shared" si="13"/>
        <v>100</v>
      </c>
      <c r="V34" s="667" t="s">
        <v>14</v>
      </c>
      <c r="W34" s="668">
        <f t="shared" si="14"/>
        <v>100</v>
      </c>
      <c r="X34" s="1265"/>
      <c r="Y34" s="338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82"/>
      <c r="Q35" s="531">
        <f t="shared" si="11"/>
        <v>111</v>
      </c>
      <c r="R35" s="669" t="s">
        <v>14</v>
      </c>
      <c r="S35" s="670">
        <f t="shared" si="12"/>
        <v>100</v>
      </c>
      <c r="T35" s="669" t="s">
        <v>14</v>
      </c>
      <c r="U35" s="670">
        <f t="shared" si="13"/>
        <v>100</v>
      </c>
      <c r="V35" s="669" t="s">
        <v>14</v>
      </c>
      <c r="W35" s="670">
        <f t="shared" si="14"/>
        <v>100</v>
      </c>
      <c r="X35" s="671"/>
      <c r="Y35" s="3382"/>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82"/>
      <c r="Q36" s="1263">
        <f t="shared" si="11"/>
        <v>111</v>
      </c>
      <c r="R36" s="667" t="s">
        <v>14</v>
      </c>
      <c r="S36" s="668">
        <f t="shared" si="12"/>
        <v>100</v>
      </c>
      <c r="T36" s="667" t="s">
        <v>14</v>
      </c>
      <c r="U36" s="668">
        <f t="shared" si="13"/>
        <v>100</v>
      </c>
      <c r="V36" s="667" t="s">
        <v>14</v>
      </c>
      <c r="W36" s="668">
        <f t="shared" si="14"/>
        <v>100</v>
      </c>
      <c r="X36" s="1265"/>
      <c r="Y36" s="3382"/>
      <c r="Z36" s="1264">
        <f t="shared" si="15"/>
        <v>111</v>
      </c>
      <c r="AA36" s="1264">
        <f t="shared" si="3"/>
        <v>1</v>
      </c>
      <c r="AB36" s="1264">
        <f t="shared" si="4"/>
        <v>1</v>
      </c>
      <c r="AC36" s="1264">
        <f t="shared" si="5"/>
        <v>1</v>
      </c>
    </row>
    <row r="37" spans="1:29" ht="14.4">
      <c r="A37" s="416" t="s">
        <v>1844</v>
      </c>
      <c r="B37" s="1821" t="s">
        <v>3353</v>
      </c>
      <c r="C37" s="1081" t="s">
        <v>0</v>
      </c>
      <c r="D37" s="418"/>
      <c r="E37" s="419"/>
      <c r="F37" s="420"/>
      <c r="G37" s="421"/>
      <c r="H37" s="422"/>
      <c r="I37" s="419"/>
      <c r="J37" s="422"/>
      <c r="K37" s="545"/>
      <c r="L37" s="2493"/>
      <c r="M37" s="2486"/>
      <c r="N37" s="2486"/>
      <c r="O37" s="2486"/>
      <c r="P37" s="3375" t="str">
        <f>A37</f>
        <v>成交单价</v>
      </c>
      <c r="Q37" s="3375"/>
      <c r="R37" s="3376">
        <f>E37</f>
        <v>0</v>
      </c>
      <c r="S37" s="3376"/>
      <c r="T37" s="3376">
        <f>G37</f>
        <v>0</v>
      </c>
      <c r="U37" s="3376"/>
      <c r="V37" s="3376">
        <f>I37</f>
        <v>0</v>
      </c>
      <c r="W37" s="3376"/>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375" t="str">
        <f>A38</f>
        <v>比较价值（元/平方米）</v>
      </c>
      <c r="Q38" s="3375"/>
      <c r="R38" s="3376" t="e">
        <f>IF(F1="售价",ROUND(PRODUCT(R37,AA7:AA36),0),ROUND(PRODUCT(R37,AA7:AA36),1))</f>
        <v>#DIV/0!</v>
      </c>
      <c r="S38" s="3376"/>
      <c r="T38" s="3376" t="e">
        <f>IF(F1="售价",ROUND(PRODUCT(T37,AB7:AB36),0),ROUND(PRODUCT(T37,AB7:AB36),1))</f>
        <v>#DIV/0!</v>
      </c>
      <c r="U38" s="3376"/>
      <c r="V38" s="3376" t="e">
        <f>IF(F1="售价",ROUND(PRODUCT(V37,AC7:AC36),0),ROUND(PRODUCT(V37,AC7:AC36),1))</f>
        <v>#DIV/0!</v>
      </c>
      <c r="W38" s="3376"/>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372" t="str">
        <f>A39</f>
        <v>估价对象XX用房的比较价值（楼面单价，元/平方米）</v>
      </c>
      <c r="Q39" s="3373"/>
      <c r="R39" s="3433" t="e">
        <f>IF(F1="售价",ROUND(IF(D38="简单平均",AVERAGE(R38:W38),R38*F38+T38*H38+V38*J38),0),ROUND(IF(D38="简单平均",AVERAGE(R38:V38),R38*F38+T38*H38+V38*J38),1))</f>
        <v>#DIV/0!</v>
      </c>
      <c r="S39" s="3433"/>
      <c r="T39" s="3433"/>
      <c r="U39" s="3433"/>
      <c r="V39" s="3433"/>
      <c r="W39" s="3433"/>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85"/>
      <c r="M4" s="2486"/>
      <c r="N4" s="2486"/>
      <c r="O4" s="2486"/>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c r="A5" s="348"/>
      <c r="B5" s="349"/>
      <c r="C5" s="3408" t="s">
        <v>1673</v>
      </c>
      <c r="D5" s="3409"/>
      <c r="E5" s="3415" t="s">
        <v>1674</v>
      </c>
      <c r="F5" s="3416"/>
      <c r="G5" s="3408" t="s">
        <v>1675</v>
      </c>
      <c r="H5" s="3409"/>
      <c r="I5" s="3408" t="s">
        <v>1676</v>
      </c>
      <c r="J5" s="3409"/>
      <c r="K5" s="537"/>
      <c r="L5" s="2485"/>
      <c r="M5" s="2486"/>
      <c r="N5" s="2486"/>
      <c r="O5" s="2486"/>
      <c r="P5" s="3396"/>
      <c r="Q5" s="3397"/>
      <c r="R5" s="3402"/>
      <c r="S5" s="3403"/>
      <c r="T5" s="3402"/>
      <c r="U5" s="3403"/>
      <c r="V5" s="3376"/>
      <c r="W5" s="3376"/>
      <c r="X5" s="1265"/>
      <c r="Y5" s="3402"/>
      <c r="Z5" s="3403"/>
      <c r="AA5" s="3388"/>
      <c r="AB5" s="3388"/>
      <c r="AC5" s="3388"/>
    </row>
    <row r="6" spans="1:29" ht="15" thickBot="1">
      <c r="A6" s="350"/>
      <c r="B6" s="351"/>
      <c r="C6" s="3406" t="s">
        <v>1677</v>
      </c>
      <c r="D6" s="3407"/>
      <c r="E6" s="3413" t="s">
        <v>1677</v>
      </c>
      <c r="F6" s="3414"/>
      <c r="G6" s="3406" t="s">
        <v>1677</v>
      </c>
      <c r="H6" s="3407"/>
      <c r="I6" s="3406" t="s">
        <v>1677</v>
      </c>
      <c r="J6" s="3407"/>
      <c r="K6" s="537" t="s">
        <v>1678</v>
      </c>
      <c r="L6" s="2485"/>
      <c r="M6" s="2486"/>
      <c r="N6" s="2486"/>
      <c r="O6" s="2486"/>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45786</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10" t="s">
        <v>1680</v>
      </c>
      <c r="Q7" s="3412"/>
      <c r="R7" s="664" t="s">
        <v>14</v>
      </c>
      <c r="S7" s="665">
        <f t="shared" ref="S7:S14" si="0">F7</f>
        <v>0</v>
      </c>
      <c r="T7" s="664" t="s">
        <v>14</v>
      </c>
      <c r="U7" s="665">
        <f t="shared" ref="U7:U14" si="1">H7</f>
        <v>0</v>
      </c>
      <c r="V7" s="664" t="s">
        <v>14</v>
      </c>
      <c r="W7" s="665">
        <f t="shared" ref="W7:W14" si="2">J7</f>
        <v>0</v>
      </c>
      <c r="X7" s="666"/>
      <c r="Y7" s="3410" t="s">
        <v>1680</v>
      </c>
      <c r="Z7" s="3411"/>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10" t="s">
        <v>1683</v>
      </c>
      <c r="Q8" s="3411"/>
      <c r="R8" s="664" t="s">
        <v>14</v>
      </c>
      <c r="S8" s="665">
        <f t="shared" si="0"/>
        <v>100</v>
      </c>
      <c r="T8" s="664" t="s">
        <v>14</v>
      </c>
      <c r="U8" s="665">
        <f t="shared" si="1"/>
        <v>100</v>
      </c>
      <c r="V8" s="664" t="s">
        <v>14</v>
      </c>
      <c r="W8" s="665">
        <f t="shared" si="2"/>
        <v>100</v>
      </c>
      <c r="X8" s="666"/>
      <c r="Y8" s="3410" t="s">
        <v>1683</v>
      </c>
      <c r="Z8" s="3411"/>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75" t="s">
        <v>1686</v>
      </c>
      <c r="Q9" s="530" t="str">
        <f t="shared" ref="Q9:Q14" si="6">B9</f>
        <v>用途</v>
      </c>
      <c r="R9" s="664" t="s">
        <v>14</v>
      </c>
      <c r="S9" s="665">
        <f t="shared" si="0"/>
        <v>100</v>
      </c>
      <c r="T9" s="664" t="s">
        <v>14</v>
      </c>
      <c r="U9" s="665">
        <f t="shared" si="1"/>
        <v>100</v>
      </c>
      <c r="V9" s="664" t="s">
        <v>14</v>
      </c>
      <c r="W9" s="665">
        <f t="shared" si="2"/>
        <v>100</v>
      </c>
      <c r="X9" s="666"/>
      <c r="Y9" s="3250"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75"/>
      <c r="Q10" s="530" t="str">
        <f t="shared" si="6"/>
        <v>土地使用年限（年）</v>
      </c>
      <c r="R10" s="664" t="s">
        <v>14</v>
      </c>
      <c r="S10" s="665">
        <f t="shared" si="0"/>
        <v>100</v>
      </c>
      <c r="T10" s="664" t="s">
        <v>14</v>
      </c>
      <c r="U10" s="665">
        <f t="shared" si="1"/>
        <v>100</v>
      </c>
      <c r="V10" s="664" t="s">
        <v>14</v>
      </c>
      <c r="W10" s="665">
        <f t="shared" si="2"/>
        <v>100</v>
      </c>
      <c r="X10" s="666"/>
      <c r="Y10" s="325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75"/>
      <c r="Q11" s="530">
        <f t="shared" si="6"/>
        <v>111</v>
      </c>
      <c r="R11" s="664" t="s">
        <v>14</v>
      </c>
      <c r="S11" s="665">
        <f t="shared" si="0"/>
        <v>100</v>
      </c>
      <c r="T11" s="664" t="s">
        <v>14</v>
      </c>
      <c r="U11" s="665">
        <f t="shared" si="1"/>
        <v>100</v>
      </c>
      <c r="V11" s="664" t="s">
        <v>14</v>
      </c>
      <c r="W11" s="665">
        <f t="shared" si="2"/>
        <v>100</v>
      </c>
      <c r="X11" s="666"/>
      <c r="Y11" s="325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75"/>
      <c r="Q12" s="530">
        <f t="shared" si="6"/>
        <v>111</v>
      </c>
      <c r="R12" s="664" t="s">
        <v>14</v>
      </c>
      <c r="S12" s="665">
        <f t="shared" si="0"/>
        <v>100</v>
      </c>
      <c r="T12" s="664" t="s">
        <v>14</v>
      </c>
      <c r="U12" s="665">
        <f t="shared" si="1"/>
        <v>100</v>
      </c>
      <c r="V12" s="664" t="s">
        <v>14</v>
      </c>
      <c r="W12" s="665">
        <f t="shared" si="2"/>
        <v>100</v>
      </c>
      <c r="X12" s="666"/>
      <c r="Y12" s="3250"/>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75"/>
      <c r="Q13" s="530">
        <f t="shared" si="6"/>
        <v>111</v>
      </c>
      <c r="R13" s="664" t="s">
        <v>14</v>
      </c>
      <c r="S13" s="665">
        <f t="shared" si="0"/>
        <v>100</v>
      </c>
      <c r="T13" s="664" t="s">
        <v>14</v>
      </c>
      <c r="U13" s="665">
        <f t="shared" si="1"/>
        <v>100</v>
      </c>
      <c r="V13" s="664" t="s">
        <v>14</v>
      </c>
      <c r="W13" s="665">
        <f t="shared" si="2"/>
        <v>100</v>
      </c>
      <c r="X13" s="666"/>
      <c r="Y13" s="3250"/>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77" t="s">
        <v>1691</v>
      </c>
      <c r="Q14" s="1263" t="str">
        <f t="shared" si="6"/>
        <v>交通便捷度</v>
      </c>
      <c r="R14" s="667" t="s">
        <v>14</v>
      </c>
      <c r="S14" s="668">
        <f t="shared" si="0"/>
        <v>100</v>
      </c>
      <c r="T14" s="667" t="s">
        <v>14</v>
      </c>
      <c r="U14" s="668">
        <f t="shared" si="1"/>
        <v>100</v>
      </c>
      <c r="V14" s="667" t="s">
        <v>14</v>
      </c>
      <c r="W14" s="668">
        <f t="shared" si="2"/>
        <v>100</v>
      </c>
      <c r="X14" s="1265"/>
      <c r="Y14" s="337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78"/>
      <c r="Q15" s="1263"/>
      <c r="R15" s="667"/>
      <c r="S15" s="668"/>
      <c r="T15" s="667"/>
      <c r="U15" s="668"/>
      <c r="V15" s="667"/>
      <c r="W15" s="668"/>
      <c r="X15" s="1265"/>
      <c r="Y15" s="3378"/>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78"/>
      <c r="Q16" s="1263" t="str">
        <f>B16</f>
        <v>公共配套设施</v>
      </c>
      <c r="R16" s="667" t="s">
        <v>14</v>
      </c>
      <c r="S16" s="668">
        <f>F16</f>
        <v>100</v>
      </c>
      <c r="T16" s="667" t="s">
        <v>14</v>
      </c>
      <c r="U16" s="668">
        <f>H16</f>
        <v>100</v>
      </c>
      <c r="V16" s="667" t="s">
        <v>14</v>
      </c>
      <c r="W16" s="668">
        <f>J16</f>
        <v>100</v>
      </c>
      <c r="X16" s="1265"/>
      <c r="Y16" s="337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78"/>
      <c r="Q17" s="1263"/>
      <c r="R17" s="667"/>
      <c r="S17" s="668"/>
      <c r="T17" s="667"/>
      <c r="U17" s="668"/>
      <c r="V17" s="667"/>
      <c r="W17" s="668"/>
      <c r="X17" s="1265"/>
      <c r="Y17" s="3378"/>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78"/>
      <c r="Q18" s="1263" t="str">
        <f>B18</f>
        <v>基础设施水平</v>
      </c>
      <c r="R18" s="667" t="s">
        <v>14</v>
      </c>
      <c r="S18" s="668">
        <f>F18</f>
        <v>100</v>
      </c>
      <c r="T18" s="667" t="s">
        <v>14</v>
      </c>
      <c r="U18" s="668">
        <f>H18</f>
        <v>100</v>
      </c>
      <c r="V18" s="667" t="s">
        <v>14</v>
      </c>
      <c r="W18" s="668">
        <f>J18</f>
        <v>100</v>
      </c>
      <c r="X18" s="1265"/>
      <c r="Y18" s="337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78"/>
      <c r="Q19" s="1263"/>
      <c r="R19" s="667"/>
      <c r="S19" s="668"/>
      <c r="T19" s="667"/>
      <c r="U19" s="668"/>
      <c r="V19" s="667"/>
      <c r="W19" s="668"/>
      <c r="X19" s="1265"/>
      <c r="Y19" s="3378"/>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78"/>
      <c r="Q20" s="1263" t="str">
        <f>B20</f>
        <v>自然及人文环境</v>
      </c>
      <c r="R20" s="667" t="s">
        <v>14</v>
      </c>
      <c r="S20" s="668">
        <f>F20</f>
        <v>100</v>
      </c>
      <c r="T20" s="667" t="s">
        <v>14</v>
      </c>
      <c r="U20" s="668">
        <f>H20</f>
        <v>100</v>
      </c>
      <c r="V20" s="667" t="s">
        <v>14</v>
      </c>
      <c r="W20" s="668">
        <f>J20</f>
        <v>100</v>
      </c>
      <c r="X20" s="1265"/>
      <c r="Y20" s="337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78"/>
      <c r="Q21" s="1263"/>
      <c r="R21" s="667"/>
      <c r="S21" s="668"/>
      <c r="T21" s="667"/>
      <c r="U21" s="668"/>
      <c r="V21" s="667"/>
      <c r="W21" s="668"/>
      <c r="X21" s="1265"/>
      <c r="Y21" s="337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78"/>
      <c r="Q22" s="1263" t="str">
        <f>B22</f>
        <v>楼层</v>
      </c>
      <c r="R22" s="667" t="s">
        <v>14</v>
      </c>
      <c r="S22" s="668">
        <f>F22</f>
        <v>100</v>
      </c>
      <c r="T22" s="667" t="s">
        <v>14</v>
      </c>
      <c r="U22" s="668">
        <f>H22</f>
        <v>100</v>
      </c>
      <c r="V22" s="667" t="s">
        <v>14</v>
      </c>
      <c r="W22" s="668">
        <f>J22</f>
        <v>100</v>
      </c>
      <c r="X22" s="1265"/>
      <c r="Y22" s="337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78"/>
      <c r="Q23" s="1263">
        <f>B23</f>
        <v>111</v>
      </c>
      <c r="R23" s="667" t="s">
        <v>14</v>
      </c>
      <c r="S23" s="668">
        <f>F23</f>
        <v>100</v>
      </c>
      <c r="T23" s="667" t="s">
        <v>14</v>
      </c>
      <c r="U23" s="668">
        <f>H23</f>
        <v>100</v>
      </c>
      <c r="V23" s="667" t="s">
        <v>14</v>
      </c>
      <c r="W23" s="668">
        <f>J23</f>
        <v>100</v>
      </c>
      <c r="X23" s="1265"/>
      <c r="Y23" s="337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78"/>
      <c r="Q24" s="1263">
        <f t="shared" ref="Q24:Q34" si="11">B24</f>
        <v>111</v>
      </c>
      <c r="R24" s="667" t="s">
        <v>14</v>
      </c>
      <c r="S24" s="668">
        <f>F24</f>
        <v>100</v>
      </c>
      <c r="T24" s="667" t="s">
        <v>14</v>
      </c>
      <c r="U24" s="668">
        <f>H24</f>
        <v>100</v>
      </c>
      <c r="V24" s="667" t="s">
        <v>14</v>
      </c>
      <c r="W24" s="668">
        <f>J24</f>
        <v>100</v>
      </c>
      <c r="X24" s="1265"/>
      <c r="Y24" s="3378"/>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78"/>
      <c r="Q25" s="530">
        <f t="shared" si="11"/>
        <v>111</v>
      </c>
      <c r="R25" s="664" t="s">
        <v>14</v>
      </c>
      <c r="S25" s="665">
        <f>F25</f>
        <v>100</v>
      </c>
      <c r="T25" s="664" t="s">
        <v>14</v>
      </c>
      <c r="U25" s="665">
        <f>H25</f>
        <v>100</v>
      </c>
      <c r="V25" s="664" t="s">
        <v>14</v>
      </c>
      <c r="W25" s="665">
        <f>J25</f>
        <v>100</v>
      </c>
      <c r="X25" s="666"/>
      <c r="Y25" s="3378"/>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3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2"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82"/>
      <c r="Q27" s="531" t="str">
        <f t="shared" si="11"/>
        <v>成新率</v>
      </c>
      <c r="R27" s="669" t="s">
        <v>14</v>
      </c>
      <c r="S27" s="670" t="e">
        <f t="shared" si="12"/>
        <v>#N/A</v>
      </c>
      <c r="T27" s="669" t="s">
        <v>14</v>
      </c>
      <c r="U27" s="670" t="e">
        <f t="shared" si="13"/>
        <v>#N/A</v>
      </c>
      <c r="V27" s="669" t="s">
        <v>14</v>
      </c>
      <c r="W27" s="670" t="e">
        <f t="shared" si="14"/>
        <v>#N/A</v>
      </c>
      <c r="X27" s="671"/>
      <c r="Y27" s="3382"/>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82"/>
      <c r="Q28" s="1263" t="str">
        <f t="shared" si="11"/>
        <v>物业等级</v>
      </c>
      <c r="R28" s="667" t="s">
        <v>14</v>
      </c>
      <c r="S28" s="668">
        <f t="shared" si="12"/>
        <v>100</v>
      </c>
      <c r="T28" s="667" t="s">
        <v>14</v>
      </c>
      <c r="U28" s="668">
        <f t="shared" si="13"/>
        <v>100</v>
      </c>
      <c r="V28" s="667" t="s">
        <v>14</v>
      </c>
      <c r="W28" s="668">
        <f t="shared" si="14"/>
        <v>100</v>
      </c>
      <c r="X28" s="1265"/>
      <c r="Y28" s="3382"/>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82"/>
      <c r="Q29" s="1263" t="str">
        <f t="shared" si="11"/>
        <v>有无电梯</v>
      </c>
      <c r="R29" s="667" t="s">
        <v>14</v>
      </c>
      <c r="S29" s="668">
        <f t="shared" si="12"/>
        <v>100</v>
      </c>
      <c r="T29" s="667" t="s">
        <v>14</v>
      </c>
      <c r="U29" s="668">
        <f t="shared" si="13"/>
        <v>100</v>
      </c>
      <c r="V29" s="667" t="s">
        <v>14</v>
      </c>
      <c r="W29" s="668">
        <f t="shared" si="14"/>
        <v>100</v>
      </c>
      <c r="X29" s="1265"/>
      <c r="Y29" s="3382"/>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82"/>
      <c r="Q30" s="1263" t="str">
        <f t="shared" si="11"/>
        <v>建筑面积</v>
      </c>
      <c r="R30" s="667" t="s">
        <v>14</v>
      </c>
      <c r="S30" s="668" t="e">
        <f t="shared" si="12"/>
        <v>#N/A</v>
      </c>
      <c r="T30" s="667" t="s">
        <v>14</v>
      </c>
      <c r="U30" s="668" t="e">
        <f t="shared" si="13"/>
        <v>#N/A</v>
      </c>
      <c r="V30" s="667" t="s">
        <v>14</v>
      </c>
      <c r="W30" s="668" t="e">
        <f t="shared" si="14"/>
        <v>#N/A</v>
      </c>
      <c r="X30" s="1265"/>
      <c r="Y30" s="3382"/>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82"/>
      <c r="Q31" s="530" t="str">
        <f t="shared" si="11"/>
        <v>是否封闭</v>
      </c>
      <c r="R31" s="664" t="s">
        <v>14</v>
      </c>
      <c r="S31" s="665">
        <f t="shared" si="12"/>
        <v>100</v>
      </c>
      <c r="T31" s="664" t="s">
        <v>14</v>
      </c>
      <c r="U31" s="665">
        <f t="shared" si="13"/>
        <v>100</v>
      </c>
      <c r="V31" s="664" t="s">
        <v>14</v>
      </c>
      <c r="W31" s="665">
        <f t="shared" si="14"/>
        <v>100</v>
      </c>
      <c r="X31" s="666"/>
      <c r="Y31" s="338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82" t="s">
        <v>1696</v>
      </c>
      <c r="Q32" s="1263">
        <f t="shared" si="11"/>
        <v>111</v>
      </c>
      <c r="R32" s="667" t="s">
        <v>14</v>
      </c>
      <c r="S32" s="668">
        <f t="shared" si="12"/>
        <v>100</v>
      </c>
      <c r="T32" s="667" t="s">
        <v>14</v>
      </c>
      <c r="U32" s="668">
        <f t="shared" si="13"/>
        <v>100</v>
      </c>
      <c r="V32" s="667" t="s">
        <v>14</v>
      </c>
      <c r="W32" s="668">
        <f t="shared" si="14"/>
        <v>100</v>
      </c>
      <c r="X32" s="1265"/>
      <c r="Y32" s="338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82"/>
      <c r="Q33" s="1263">
        <f t="shared" si="11"/>
        <v>111</v>
      </c>
      <c r="R33" s="667" t="s">
        <v>14</v>
      </c>
      <c r="S33" s="668">
        <f t="shared" si="12"/>
        <v>100</v>
      </c>
      <c r="T33" s="667" t="s">
        <v>14</v>
      </c>
      <c r="U33" s="668">
        <f t="shared" si="13"/>
        <v>100</v>
      </c>
      <c r="V33" s="667" t="s">
        <v>14</v>
      </c>
      <c r="W33" s="668">
        <f t="shared" si="14"/>
        <v>100</v>
      </c>
      <c r="X33" s="1265"/>
      <c r="Y33" s="3382"/>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82"/>
      <c r="Q34" s="1263">
        <f t="shared" si="11"/>
        <v>111</v>
      </c>
      <c r="R34" s="667" t="s">
        <v>14</v>
      </c>
      <c r="S34" s="668">
        <f t="shared" si="12"/>
        <v>100</v>
      </c>
      <c r="T34" s="667" t="s">
        <v>14</v>
      </c>
      <c r="U34" s="668">
        <f t="shared" si="13"/>
        <v>100</v>
      </c>
      <c r="V34" s="667" t="s">
        <v>14</v>
      </c>
      <c r="W34" s="668">
        <f t="shared" si="14"/>
        <v>100</v>
      </c>
      <c r="X34" s="1265"/>
      <c r="Y34" s="3382"/>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375" t="str">
        <f>A35</f>
        <v>成交单价（元/平方米）</v>
      </c>
      <c r="Q35" s="3375"/>
      <c r="R35" s="3376">
        <f>E35</f>
        <v>0</v>
      </c>
      <c r="S35" s="3376"/>
      <c r="T35" s="3376">
        <f>G35</f>
        <v>0</v>
      </c>
      <c r="U35" s="3376"/>
      <c r="V35" s="3376">
        <f>I35</f>
        <v>0</v>
      </c>
      <c r="W35" s="3376"/>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375" t="str">
        <f>A36</f>
        <v>比较价值（元/平方米）</v>
      </c>
      <c r="Q36" s="3375"/>
      <c r="R36" s="3376" t="e">
        <f>IF(F1="售价",ROUND(PRODUCT(R35,AA7:AA34),0),ROUND(PRODUCT(R35,AA7:AA34),1))</f>
        <v>#DIV/0!</v>
      </c>
      <c r="S36" s="3376"/>
      <c r="T36" s="3376" t="e">
        <f>IF(F1="售价",ROUND(PRODUCT(T35,AB7:AB34),0),ROUND(PRODUCT(T35,AB7:AB34),1))</f>
        <v>#DIV/0!</v>
      </c>
      <c r="U36" s="3376"/>
      <c r="V36" s="3376" t="e">
        <f>IF(F1="售价",ROUND(PRODUCT(V35,AC7:AC34),0),ROUND(PRODUCT(V35,AC7:AC34),1))</f>
        <v>#DIV/0!</v>
      </c>
      <c r="W36" s="3376"/>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372" t="str">
        <f>A37</f>
        <v>估价对象XX用房的比较价值（楼面单价，元/平方米）</v>
      </c>
      <c r="Q37" s="3373"/>
      <c r="R37" s="3433" t="e">
        <f>IF(F1="售价",ROUND(IF(D36="简单平均",AVERAGE(R36:W36),R36*F36+T36*H36+V36*J36),0),ROUND(IF(D36="简单平均",AVERAGE(R36:V36),R36*F36+T36*H36+V36*J36),1))</f>
        <v>#DIV/0!</v>
      </c>
      <c r="S37" s="3433"/>
      <c r="T37" s="3433"/>
      <c r="U37" s="3433"/>
      <c r="V37" s="3433"/>
      <c r="W37" s="3433"/>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85"/>
      <c r="M4" s="2486"/>
      <c r="N4" s="2486"/>
      <c r="O4" s="2486"/>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c r="A5" s="348"/>
      <c r="B5" s="349"/>
      <c r="C5" s="3408" t="s">
        <v>1673</v>
      </c>
      <c r="D5" s="3409"/>
      <c r="E5" s="3415" t="s">
        <v>1674</v>
      </c>
      <c r="F5" s="3416"/>
      <c r="G5" s="3408" t="s">
        <v>1675</v>
      </c>
      <c r="H5" s="3409"/>
      <c r="I5" s="3408" t="s">
        <v>1676</v>
      </c>
      <c r="J5" s="3409"/>
      <c r="K5" s="537"/>
      <c r="L5" s="2485"/>
      <c r="M5" s="2486"/>
      <c r="N5" s="2486"/>
      <c r="O5" s="2486"/>
      <c r="P5" s="3396"/>
      <c r="Q5" s="3397"/>
      <c r="R5" s="3402"/>
      <c r="S5" s="3403"/>
      <c r="T5" s="3402"/>
      <c r="U5" s="3403"/>
      <c r="V5" s="3376"/>
      <c r="W5" s="3376"/>
      <c r="X5" s="1265"/>
      <c r="Y5" s="3402"/>
      <c r="Z5" s="3403"/>
      <c r="AA5" s="3388"/>
      <c r="AB5" s="3388"/>
      <c r="AC5" s="3388"/>
    </row>
    <row r="6" spans="1:29" ht="15" thickBot="1">
      <c r="A6" s="350"/>
      <c r="B6" s="351"/>
      <c r="C6" s="3406" t="s">
        <v>1677</v>
      </c>
      <c r="D6" s="3407"/>
      <c r="E6" s="3413" t="s">
        <v>1677</v>
      </c>
      <c r="F6" s="3414"/>
      <c r="G6" s="3406" t="s">
        <v>1677</v>
      </c>
      <c r="H6" s="3407"/>
      <c r="I6" s="3406" t="s">
        <v>1677</v>
      </c>
      <c r="J6" s="3407"/>
      <c r="K6" s="537" t="s">
        <v>1678</v>
      </c>
      <c r="L6" s="2485"/>
      <c r="M6" s="2486"/>
      <c r="N6" s="2486"/>
      <c r="O6" s="2486"/>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45786</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10" t="s">
        <v>1680</v>
      </c>
      <c r="Q7" s="3412"/>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10" t="s">
        <v>1683</v>
      </c>
      <c r="Q8" s="3411"/>
      <c r="R8" s="664" t="s">
        <v>14</v>
      </c>
      <c r="S8" s="665">
        <f t="shared" si="0"/>
        <v>0</v>
      </c>
      <c r="T8" s="664" t="s">
        <v>14</v>
      </c>
      <c r="U8" s="665">
        <f t="shared" si="1"/>
        <v>0</v>
      </c>
      <c r="V8" s="664" t="s">
        <v>14</v>
      </c>
      <c r="W8" s="665">
        <f t="shared" si="2"/>
        <v>0</v>
      </c>
      <c r="X8" s="666"/>
      <c r="Y8" s="3410" t="s">
        <v>1683</v>
      </c>
      <c r="Z8" s="3411"/>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75" t="s">
        <v>1686</v>
      </c>
      <c r="Q9" s="530" t="str">
        <f t="shared" ref="Q9:Q15" si="6">B9</f>
        <v>用途</v>
      </c>
      <c r="R9" s="664" t="s">
        <v>14</v>
      </c>
      <c r="S9" s="665">
        <f t="shared" si="0"/>
        <v>100</v>
      </c>
      <c r="T9" s="664" t="s">
        <v>14</v>
      </c>
      <c r="U9" s="665">
        <f t="shared" si="1"/>
        <v>100</v>
      </c>
      <c r="V9" s="664" t="s">
        <v>14</v>
      </c>
      <c r="W9" s="665">
        <f t="shared" si="2"/>
        <v>100</v>
      </c>
      <c r="X9" s="666"/>
      <c r="Y9" s="325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8"/>
      <c r="M10" s="2489"/>
      <c r="N10" s="2489"/>
      <c r="O10" s="2540"/>
      <c r="P10" s="3375"/>
      <c r="Q10" s="530" t="str">
        <f t="shared" si="6"/>
        <v>土地使用年限（年）</v>
      </c>
      <c r="R10" s="664" t="s">
        <v>14</v>
      </c>
      <c r="S10" s="665" t="e">
        <f t="shared" si="0"/>
        <v>#DIV/0!</v>
      </c>
      <c r="T10" s="664" t="s">
        <v>14</v>
      </c>
      <c r="U10" s="665" t="e">
        <f t="shared" si="1"/>
        <v>#DIV/0!</v>
      </c>
      <c r="V10" s="664" t="s">
        <v>14</v>
      </c>
      <c r="W10" s="665" t="e">
        <f t="shared" si="2"/>
        <v>#DIV/0!</v>
      </c>
      <c r="X10" s="666"/>
      <c r="Y10" s="3250"/>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75"/>
      <c r="Q11" s="530" t="str">
        <f t="shared" si="6"/>
        <v>容积率</v>
      </c>
      <c r="R11" s="664" t="s">
        <v>14</v>
      </c>
      <c r="S11" s="665" t="e">
        <f t="shared" si="0"/>
        <v>#N/A</v>
      </c>
      <c r="T11" s="664" t="s">
        <v>14</v>
      </c>
      <c r="U11" s="665" t="e">
        <f t="shared" si="1"/>
        <v>#N/A</v>
      </c>
      <c r="V11" s="664" t="s">
        <v>14</v>
      </c>
      <c r="W11" s="665" t="e">
        <f t="shared" si="2"/>
        <v>#N/A</v>
      </c>
      <c r="X11" s="666"/>
      <c r="Y11" s="325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75"/>
      <c r="Q12" s="530" t="str">
        <f t="shared" si="6"/>
        <v>配建</v>
      </c>
      <c r="R12" s="664" t="s">
        <v>14</v>
      </c>
      <c r="S12" s="665">
        <f t="shared" si="0"/>
        <v>100</v>
      </c>
      <c r="T12" s="664" t="s">
        <v>14</v>
      </c>
      <c r="U12" s="665">
        <f t="shared" si="1"/>
        <v>100</v>
      </c>
      <c r="V12" s="664" t="s">
        <v>14</v>
      </c>
      <c r="W12" s="665">
        <f t="shared" si="2"/>
        <v>100</v>
      </c>
      <c r="X12" s="666"/>
      <c r="Y12" s="325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75"/>
      <c r="Q13" s="530">
        <f t="shared" si="6"/>
        <v>111</v>
      </c>
      <c r="R13" s="664" t="s">
        <v>14</v>
      </c>
      <c r="S13" s="665">
        <f t="shared" si="0"/>
        <v>100</v>
      </c>
      <c r="T13" s="664" t="s">
        <v>14</v>
      </c>
      <c r="U13" s="665">
        <f t="shared" si="1"/>
        <v>100</v>
      </c>
      <c r="V13" s="664" t="s">
        <v>14</v>
      </c>
      <c r="W13" s="665">
        <f t="shared" si="2"/>
        <v>100</v>
      </c>
      <c r="X13" s="666"/>
      <c r="Y13" s="3250"/>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75"/>
      <c r="Q14" s="530">
        <f t="shared" si="6"/>
        <v>111</v>
      </c>
      <c r="R14" s="664" t="s">
        <v>14</v>
      </c>
      <c r="S14" s="665">
        <f t="shared" si="0"/>
        <v>100</v>
      </c>
      <c r="T14" s="664" t="s">
        <v>14</v>
      </c>
      <c r="U14" s="665">
        <f t="shared" si="1"/>
        <v>100</v>
      </c>
      <c r="V14" s="664" t="s">
        <v>14</v>
      </c>
      <c r="W14" s="665">
        <f t="shared" si="2"/>
        <v>100</v>
      </c>
      <c r="X14" s="666"/>
      <c r="Y14" s="3250"/>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77" t="s">
        <v>1691</v>
      </c>
      <c r="Q15" s="1263" t="str">
        <f t="shared" si="6"/>
        <v>居住社区成熟度</v>
      </c>
      <c r="R15" s="667" t="s">
        <v>14</v>
      </c>
      <c r="S15" s="668">
        <f t="shared" si="0"/>
        <v>100</v>
      </c>
      <c r="T15" s="667" t="s">
        <v>14</v>
      </c>
      <c r="U15" s="668">
        <f t="shared" si="1"/>
        <v>100</v>
      </c>
      <c r="V15" s="667" t="s">
        <v>14</v>
      </c>
      <c r="W15" s="668">
        <f t="shared" si="2"/>
        <v>100</v>
      </c>
      <c r="X15" s="1265"/>
      <c r="Y15" s="337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78"/>
      <c r="Q16" s="1263"/>
      <c r="R16" s="667"/>
      <c r="S16" s="668"/>
      <c r="T16" s="667"/>
      <c r="U16" s="668"/>
      <c r="V16" s="667"/>
      <c r="W16" s="668"/>
      <c r="X16" s="1265"/>
      <c r="Y16" s="3378"/>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78"/>
      <c r="Q17" s="1263" t="str">
        <f>B17</f>
        <v>商业繁华度</v>
      </c>
      <c r="R17" s="667" t="s">
        <v>14</v>
      </c>
      <c r="S17" s="668">
        <f>F17</f>
        <v>100</v>
      </c>
      <c r="T17" s="667" t="s">
        <v>14</v>
      </c>
      <c r="U17" s="668">
        <f>H17</f>
        <v>100</v>
      </c>
      <c r="V17" s="667" t="s">
        <v>14</v>
      </c>
      <c r="W17" s="668">
        <f>J17</f>
        <v>100</v>
      </c>
      <c r="X17" s="1265"/>
      <c r="Y17" s="337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78"/>
      <c r="Q18" s="1263"/>
      <c r="R18" s="667"/>
      <c r="S18" s="668"/>
      <c r="T18" s="667"/>
      <c r="U18" s="668"/>
      <c r="V18" s="667"/>
      <c r="W18" s="668"/>
      <c r="X18" s="1265"/>
      <c r="Y18" s="3378"/>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78"/>
      <c r="Q19" s="1263" t="str">
        <f>B19</f>
        <v>办公集聚程度</v>
      </c>
      <c r="R19" s="667" t="s">
        <v>14</v>
      </c>
      <c r="S19" s="668">
        <f>F19</f>
        <v>100</v>
      </c>
      <c r="T19" s="667" t="s">
        <v>14</v>
      </c>
      <c r="U19" s="668">
        <f>H19</f>
        <v>100</v>
      </c>
      <c r="V19" s="667" t="s">
        <v>14</v>
      </c>
      <c r="W19" s="668">
        <f>J19</f>
        <v>100</v>
      </c>
      <c r="X19" s="1265"/>
      <c r="Y19" s="337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78"/>
      <c r="Q20" s="1263"/>
      <c r="R20" s="667"/>
      <c r="S20" s="668"/>
      <c r="T20" s="667"/>
      <c r="U20" s="668"/>
      <c r="V20" s="667"/>
      <c r="W20" s="668"/>
      <c r="X20" s="1265"/>
      <c r="Y20" s="3378"/>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78"/>
      <c r="Q21" s="1263" t="str">
        <f>B21</f>
        <v>交通便捷度</v>
      </c>
      <c r="R21" s="667" t="s">
        <v>14</v>
      </c>
      <c r="S21" s="668">
        <f>F21</f>
        <v>100</v>
      </c>
      <c r="T21" s="667" t="s">
        <v>14</v>
      </c>
      <c r="U21" s="668">
        <f>H21</f>
        <v>100</v>
      </c>
      <c r="V21" s="667" t="s">
        <v>14</v>
      </c>
      <c r="W21" s="668">
        <f>J21</f>
        <v>100</v>
      </c>
      <c r="X21" s="1265"/>
      <c r="Y21" s="337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78"/>
      <c r="Q22" s="1263"/>
      <c r="R22" s="667"/>
      <c r="S22" s="668"/>
      <c r="T22" s="667"/>
      <c r="U22" s="668"/>
      <c r="V22" s="667"/>
      <c r="W22" s="668"/>
      <c r="X22" s="1265"/>
      <c r="Y22" s="3378"/>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78"/>
      <c r="Q23" s="1263" t="str">
        <f t="shared" ref="Q23:Q37" si="8">B23</f>
        <v>区域土地利用方向</v>
      </c>
      <c r="R23" s="667" t="s">
        <v>14</v>
      </c>
      <c r="S23" s="668">
        <f>F23</f>
        <v>100</v>
      </c>
      <c r="T23" s="667" t="s">
        <v>14</v>
      </c>
      <c r="U23" s="668">
        <f>H23</f>
        <v>100</v>
      </c>
      <c r="V23" s="667" t="s">
        <v>14</v>
      </c>
      <c r="W23" s="668">
        <f>J23</f>
        <v>100</v>
      </c>
      <c r="X23" s="1265"/>
      <c r="Y23" s="337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378"/>
      <c r="Q24" s="1263"/>
      <c r="R24" s="667"/>
      <c r="S24" s="668"/>
      <c r="T24" s="667"/>
      <c r="U24" s="668"/>
      <c r="V24" s="667"/>
      <c r="W24" s="668"/>
      <c r="X24" s="1265"/>
      <c r="Y24" s="3378"/>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78"/>
      <c r="Q25" s="1263" t="str">
        <f t="shared" si="8"/>
        <v>自然及人文环境状况</v>
      </c>
      <c r="R25" s="667" t="s">
        <v>14</v>
      </c>
      <c r="S25" s="668">
        <f>F25</f>
        <v>100</v>
      </c>
      <c r="T25" s="667" t="s">
        <v>14</v>
      </c>
      <c r="U25" s="668">
        <f>H25</f>
        <v>100</v>
      </c>
      <c r="V25" s="667" t="s">
        <v>14</v>
      </c>
      <c r="W25" s="668">
        <f>J25</f>
        <v>100</v>
      </c>
      <c r="X25" s="1265"/>
      <c r="Y25" s="337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78"/>
      <c r="Q26" s="1263"/>
      <c r="R26" s="667"/>
      <c r="S26" s="668"/>
      <c r="T26" s="667"/>
      <c r="U26" s="668"/>
      <c r="V26" s="667"/>
      <c r="W26" s="668"/>
      <c r="X26" s="1265"/>
      <c r="Y26" s="3378"/>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78"/>
      <c r="Q27" s="530" t="str">
        <f t="shared" si="8"/>
        <v>公共配套设施</v>
      </c>
      <c r="R27" s="664" t="s">
        <v>14</v>
      </c>
      <c r="S27" s="665">
        <f>F27</f>
        <v>100</v>
      </c>
      <c r="T27" s="664" t="s">
        <v>14</v>
      </c>
      <c r="U27" s="665">
        <f>H27</f>
        <v>100</v>
      </c>
      <c r="V27" s="664" t="s">
        <v>14</v>
      </c>
      <c r="W27" s="665">
        <f>J27</f>
        <v>100</v>
      </c>
      <c r="X27" s="666"/>
      <c r="Y27" s="3378"/>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378"/>
      <c r="Q28" s="530"/>
      <c r="R28" s="664"/>
      <c r="S28" s="665"/>
      <c r="T28" s="664"/>
      <c r="U28" s="665"/>
      <c r="V28" s="664"/>
      <c r="W28" s="665"/>
      <c r="X28" s="666"/>
      <c r="Y28" s="3378"/>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78"/>
      <c r="Q29" s="530" t="str">
        <f t="shared" ref="Q29" si="9">B29</f>
        <v>基础设施水平</v>
      </c>
      <c r="R29" s="664" t="s">
        <v>14</v>
      </c>
      <c r="S29" s="665">
        <f>F29</f>
        <v>100</v>
      </c>
      <c r="T29" s="664" t="s">
        <v>14</v>
      </c>
      <c r="U29" s="665">
        <f>H29</f>
        <v>100</v>
      </c>
      <c r="V29" s="664" t="s">
        <v>14</v>
      </c>
      <c r="W29" s="665">
        <f>J29</f>
        <v>100</v>
      </c>
      <c r="X29" s="666"/>
      <c r="Y29" s="3378"/>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378"/>
      <c r="Q30" s="530"/>
      <c r="R30" s="664"/>
      <c r="S30" s="665"/>
      <c r="T30" s="664"/>
      <c r="U30" s="665"/>
      <c r="V30" s="664"/>
      <c r="W30" s="665"/>
      <c r="X30" s="666"/>
      <c r="Y30" s="337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7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8"/>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78"/>
      <c r="Q32" s="1263" t="str">
        <f t="shared" si="8"/>
        <v>毗邻道路的类型与等级</v>
      </c>
      <c r="R32" s="667" t="s">
        <v>14</v>
      </c>
      <c r="S32" s="668">
        <f t="shared" si="10"/>
        <v>100</v>
      </c>
      <c r="T32" s="667" t="s">
        <v>14</v>
      </c>
      <c r="U32" s="668">
        <f t="shared" si="11"/>
        <v>100</v>
      </c>
      <c r="V32" s="667" t="s">
        <v>14</v>
      </c>
      <c r="W32" s="668">
        <f t="shared" si="12"/>
        <v>100</v>
      </c>
      <c r="X32" s="1265"/>
      <c r="Y32" s="337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78"/>
      <c r="Q33" s="1263"/>
      <c r="R33" s="667"/>
      <c r="S33" s="668"/>
      <c r="T33" s="667"/>
      <c r="U33" s="668"/>
      <c r="V33" s="667"/>
      <c r="W33" s="668"/>
      <c r="X33" s="1265"/>
      <c r="Y33" s="337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78"/>
      <c r="Q34" s="1263" t="str">
        <f t="shared" si="8"/>
        <v>土地级别</v>
      </c>
      <c r="R34" s="667" t="s">
        <v>14</v>
      </c>
      <c r="S34" s="668">
        <f t="shared" si="10"/>
        <v>100</v>
      </c>
      <c r="T34" s="667" t="s">
        <v>14</v>
      </c>
      <c r="U34" s="668">
        <f t="shared" si="11"/>
        <v>100</v>
      </c>
      <c r="V34" s="667" t="s">
        <v>14</v>
      </c>
      <c r="W34" s="668">
        <f t="shared" si="12"/>
        <v>100</v>
      </c>
      <c r="X34" s="1265"/>
      <c r="Y34" s="337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78"/>
      <c r="Q35" s="1263">
        <f t="shared" si="8"/>
        <v>111</v>
      </c>
      <c r="R35" s="667" t="s">
        <v>14</v>
      </c>
      <c r="S35" s="668">
        <f t="shared" si="10"/>
        <v>100</v>
      </c>
      <c r="T35" s="667" t="s">
        <v>14</v>
      </c>
      <c r="U35" s="668">
        <f t="shared" si="11"/>
        <v>100</v>
      </c>
      <c r="V35" s="667" t="s">
        <v>14</v>
      </c>
      <c r="W35" s="668">
        <f t="shared" si="12"/>
        <v>100</v>
      </c>
      <c r="X35" s="1265"/>
      <c r="Y35" s="337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32" t="s">
        <v>1696</v>
      </c>
      <c r="Q36" s="1263">
        <f t="shared" si="8"/>
        <v>111</v>
      </c>
      <c r="R36" s="667" t="s">
        <v>14</v>
      </c>
      <c r="S36" s="668">
        <f t="shared" si="10"/>
        <v>100</v>
      </c>
      <c r="T36" s="667" t="s">
        <v>14</v>
      </c>
      <c r="U36" s="668">
        <f t="shared" si="11"/>
        <v>100</v>
      </c>
      <c r="V36" s="667" t="s">
        <v>14</v>
      </c>
      <c r="W36" s="668">
        <f t="shared" si="12"/>
        <v>100</v>
      </c>
      <c r="X36" s="1265"/>
      <c r="Y36" s="3382"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82"/>
      <c r="Q37" s="1263">
        <f t="shared" si="8"/>
        <v>111</v>
      </c>
      <c r="R37" s="669" t="s">
        <v>14</v>
      </c>
      <c r="S37" s="670">
        <f t="shared" si="10"/>
        <v>100</v>
      </c>
      <c r="T37" s="669" t="s">
        <v>14</v>
      </c>
      <c r="U37" s="670">
        <f t="shared" si="11"/>
        <v>100</v>
      </c>
      <c r="V37" s="669" t="s">
        <v>14</v>
      </c>
      <c r="W37" s="670">
        <f t="shared" si="12"/>
        <v>100</v>
      </c>
      <c r="X37" s="671"/>
      <c r="Y37" s="3382"/>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82"/>
      <c r="Q38" s="1263" t="str">
        <f>B38</f>
        <v>宗地面积</v>
      </c>
      <c r="R38" s="667" t="s">
        <v>14</v>
      </c>
      <c r="S38" s="668" t="e">
        <f t="shared" si="10"/>
        <v>#N/A</v>
      </c>
      <c r="T38" s="667" t="s">
        <v>14</v>
      </c>
      <c r="U38" s="668" t="e">
        <f t="shared" si="11"/>
        <v>#N/A</v>
      </c>
      <c r="V38" s="667" t="s">
        <v>14</v>
      </c>
      <c r="W38" s="668" t="e">
        <f t="shared" si="12"/>
        <v>#N/A</v>
      </c>
      <c r="X38" s="1265"/>
      <c r="Y38" s="3382"/>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82"/>
      <c r="Q39" s="1263" t="str">
        <f t="shared" ref="Q39:Q45" si="14">B39</f>
        <v>宗地形状</v>
      </c>
      <c r="R39" s="667" t="s">
        <v>14</v>
      </c>
      <c r="S39" s="668">
        <f t="shared" si="10"/>
        <v>100</v>
      </c>
      <c r="T39" s="667" t="s">
        <v>14</v>
      </c>
      <c r="U39" s="668">
        <f t="shared" si="11"/>
        <v>100</v>
      </c>
      <c r="V39" s="667" t="s">
        <v>14</v>
      </c>
      <c r="W39" s="668">
        <f t="shared" si="12"/>
        <v>100</v>
      </c>
      <c r="X39" s="1265"/>
      <c r="Y39" s="3382"/>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82"/>
      <c r="Q40" s="1263" t="str">
        <f t="shared" si="14"/>
        <v>临街宽度及深度</v>
      </c>
      <c r="R40" s="667" t="s">
        <v>14</v>
      </c>
      <c r="S40" s="668">
        <f t="shared" si="10"/>
        <v>100</v>
      </c>
      <c r="T40" s="667" t="s">
        <v>14</v>
      </c>
      <c r="U40" s="668">
        <f t="shared" si="11"/>
        <v>100</v>
      </c>
      <c r="V40" s="667" t="s">
        <v>14</v>
      </c>
      <c r="W40" s="668">
        <f t="shared" si="12"/>
        <v>100</v>
      </c>
      <c r="X40" s="1265"/>
      <c r="Y40" s="3382"/>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382"/>
      <c r="Q41" s="1263" t="str">
        <f t="shared" si="14"/>
        <v>宗地开发程度</v>
      </c>
      <c r="R41" s="664" t="s">
        <v>14</v>
      </c>
      <c r="S41" s="665">
        <f t="shared" si="10"/>
        <v>100</v>
      </c>
      <c r="T41" s="664" t="s">
        <v>14</v>
      </c>
      <c r="U41" s="665">
        <f t="shared" si="11"/>
        <v>100</v>
      </c>
      <c r="V41" s="664" t="s">
        <v>14</v>
      </c>
      <c r="W41" s="665">
        <f t="shared" si="12"/>
        <v>100</v>
      </c>
      <c r="X41" s="666"/>
      <c r="Y41" s="3382"/>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82" t="s">
        <v>1696</v>
      </c>
      <c r="Q42" s="1263" t="str">
        <f t="shared" si="14"/>
        <v>工程地质条件</v>
      </c>
      <c r="R42" s="667" t="s">
        <v>14</v>
      </c>
      <c r="S42" s="668">
        <f t="shared" si="10"/>
        <v>100</v>
      </c>
      <c r="T42" s="667" t="s">
        <v>14</v>
      </c>
      <c r="U42" s="668">
        <f t="shared" si="11"/>
        <v>100</v>
      </c>
      <c r="V42" s="667" t="s">
        <v>14</v>
      </c>
      <c r="W42" s="668">
        <f t="shared" si="12"/>
        <v>100</v>
      </c>
      <c r="X42" s="1265"/>
      <c r="Y42" s="338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82"/>
      <c r="Q43" s="1263">
        <f t="shared" si="14"/>
        <v>111</v>
      </c>
      <c r="R43" s="667" t="s">
        <v>14</v>
      </c>
      <c r="S43" s="668">
        <f t="shared" si="10"/>
        <v>100</v>
      </c>
      <c r="T43" s="667" t="s">
        <v>14</v>
      </c>
      <c r="U43" s="668">
        <f t="shared" si="11"/>
        <v>100</v>
      </c>
      <c r="V43" s="667" t="s">
        <v>14</v>
      </c>
      <c r="W43" s="668">
        <f t="shared" si="12"/>
        <v>100</v>
      </c>
      <c r="X43" s="1265"/>
      <c r="Y43" s="338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82"/>
      <c r="Q44" s="1263">
        <f t="shared" si="14"/>
        <v>111</v>
      </c>
      <c r="R44" s="667" t="s">
        <v>14</v>
      </c>
      <c r="S44" s="668">
        <f t="shared" si="10"/>
        <v>100</v>
      </c>
      <c r="T44" s="667" t="s">
        <v>14</v>
      </c>
      <c r="U44" s="668">
        <f t="shared" si="11"/>
        <v>100</v>
      </c>
      <c r="V44" s="667" t="s">
        <v>14</v>
      </c>
      <c r="W44" s="668">
        <f t="shared" si="12"/>
        <v>100</v>
      </c>
      <c r="X44" s="1265"/>
      <c r="Y44" s="3382"/>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82"/>
      <c r="Q45" s="1263">
        <f t="shared" si="14"/>
        <v>111</v>
      </c>
      <c r="R45" s="669" t="s">
        <v>14</v>
      </c>
      <c r="S45" s="670">
        <f t="shared" si="10"/>
        <v>100</v>
      </c>
      <c r="T45" s="669" t="s">
        <v>14</v>
      </c>
      <c r="U45" s="670">
        <f t="shared" si="11"/>
        <v>100</v>
      </c>
      <c r="V45" s="669" t="s">
        <v>14</v>
      </c>
      <c r="W45" s="670">
        <f t="shared" si="12"/>
        <v>100</v>
      </c>
      <c r="X45" s="671"/>
      <c r="Y45" s="3382"/>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375" t="str">
        <f>A46</f>
        <v>成交单价</v>
      </c>
      <c r="Q46" s="3375"/>
      <c r="R46" s="3376">
        <f>E46</f>
        <v>0</v>
      </c>
      <c r="S46" s="3376"/>
      <c r="T46" s="3376">
        <f>G46</f>
        <v>0</v>
      </c>
      <c r="U46" s="3376"/>
      <c r="V46" s="3376">
        <f>I46</f>
        <v>0</v>
      </c>
      <c r="W46" s="3376"/>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375" t="str">
        <f>A47</f>
        <v>比较价值（元/平方米）</v>
      </c>
      <c r="Q47" s="3375"/>
      <c r="R47" s="3434" t="e">
        <f>ROUND(PRODUCT(R46,AA7:AA45),0)</f>
        <v>#DIV/0!</v>
      </c>
      <c r="S47" s="3434"/>
      <c r="T47" s="3434" t="e">
        <f>ROUND(PRODUCT(T46,AB7:AB45),0)</f>
        <v>#DIV/0!</v>
      </c>
      <c r="U47" s="3434"/>
      <c r="V47" s="3434" t="e">
        <f>ROUND(PRODUCT(V46,AC7:AC45),0)</f>
        <v>#DIV/0!</v>
      </c>
      <c r="W47" s="3434"/>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372" t="str">
        <f>A48</f>
        <v>估价对象XX用房的比较价值（楼面单价，元/平方米）</v>
      </c>
      <c r="Q48" s="3373"/>
      <c r="R48" s="3435" t="e">
        <f>ROUND(IF(D47="简单平均",AVERAGE(R47:W47),R47*F47+T47*H47+V47*J47),0)</f>
        <v>#DIV/0!</v>
      </c>
      <c r="S48" s="3435"/>
      <c r="T48" s="3435"/>
      <c r="U48" s="3435"/>
      <c r="V48" s="3435"/>
      <c r="W48" s="3435"/>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90" t="s">
        <v>1887</v>
      </c>
      <c r="H55" s="3436"/>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576.94000000000005</v>
      </c>
      <c r="F56" s="833" t="e">
        <f t="shared" ref="F56:F64" si="15">ROUND(B56*E56/10000,0)</f>
        <v>#DIV/0!</v>
      </c>
      <c r="G56" s="3386"/>
      <c r="H56" s="3375"/>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0.6</v>
      </c>
      <c r="D57" s="891">
        <v>0.25</v>
      </c>
      <c r="E57" s="614"/>
      <c r="F57" s="833" t="e">
        <f t="shared" si="15"/>
        <v>#DIV/0!</v>
      </c>
      <c r="G57" s="2749" t="s">
        <v>1892</v>
      </c>
      <c r="H57" s="834" t="str">
        <f>项目基本情况!B37</f>
        <v>五级</v>
      </c>
      <c r="I57" s="838">
        <f>SUMIF(修正!A57:A68,H57,修正!B57:B68)</f>
        <v>0.6</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0.3</v>
      </c>
      <c r="D58" s="891">
        <v>0.25</v>
      </c>
      <c r="E58" s="614"/>
      <c r="F58" s="833" t="e">
        <f t="shared" si="15"/>
        <v>#DIV/0!</v>
      </c>
      <c r="G58" s="2750"/>
      <c r="H58" s="834" t="str">
        <f>项目基本情况!B37</f>
        <v>五级</v>
      </c>
      <c r="I58" s="838">
        <f>SUMIF(修正!A57:A68,H58,修正!C57:C68)</f>
        <v>0.3</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0.25</v>
      </c>
      <c r="D59" s="891">
        <v>0.25</v>
      </c>
      <c r="E59" s="614"/>
      <c r="F59" s="833" t="e">
        <f t="shared" si="15"/>
        <v>#DIV/0!</v>
      </c>
      <c r="G59" s="2750"/>
      <c r="H59" s="834" t="str">
        <f>项目基本情况!B37</f>
        <v>五级</v>
      </c>
      <c r="I59" s="838">
        <f>SUMIF(修正!A57:A68,H59,修正!D57:D68)</f>
        <v>0.25</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五级</v>
      </c>
      <c r="I63" s="838">
        <f>SUMIF(修正!A57:A68,H63,修正!G57:G68)</f>
        <v>0.15</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576.94000000000005</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85"/>
      <c r="M4" s="2486"/>
      <c r="N4" s="2486"/>
      <c r="O4" s="2486"/>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c r="A5" s="348"/>
      <c r="B5" s="349"/>
      <c r="C5" s="3408" t="s">
        <v>1673</v>
      </c>
      <c r="D5" s="3409"/>
      <c r="E5" s="3415" t="s">
        <v>1674</v>
      </c>
      <c r="F5" s="3416"/>
      <c r="G5" s="3408" t="s">
        <v>1675</v>
      </c>
      <c r="H5" s="3409"/>
      <c r="I5" s="3408" t="s">
        <v>1676</v>
      </c>
      <c r="J5" s="3409"/>
      <c r="K5" s="537"/>
      <c r="L5" s="2485"/>
      <c r="M5" s="2486"/>
      <c r="N5" s="2486"/>
      <c r="O5" s="2486"/>
      <c r="P5" s="3396"/>
      <c r="Q5" s="3397"/>
      <c r="R5" s="3402"/>
      <c r="S5" s="3403"/>
      <c r="T5" s="3402"/>
      <c r="U5" s="3403"/>
      <c r="V5" s="3376"/>
      <c r="W5" s="3376"/>
      <c r="X5" s="1265"/>
      <c r="Y5" s="3402"/>
      <c r="Z5" s="3403"/>
      <c r="AA5" s="3388"/>
      <c r="AB5" s="3388"/>
      <c r="AC5" s="3388"/>
    </row>
    <row r="6" spans="1:29" ht="15" thickBot="1">
      <c r="A6" s="350"/>
      <c r="B6" s="351"/>
      <c r="C6" s="3437" t="s">
        <v>1919</v>
      </c>
      <c r="D6" s="3438"/>
      <c r="E6" s="3439" t="s">
        <v>1919</v>
      </c>
      <c r="F6" s="3440"/>
      <c r="G6" s="3437" t="s">
        <v>1919</v>
      </c>
      <c r="H6" s="3438"/>
      <c r="I6" s="3437" t="s">
        <v>1919</v>
      </c>
      <c r="J6" s="3438"/>
      <c r="K6" s="537" t="s">
        <v>1678</v>
      </c>
      <c r="L6" s="2485"/>
      <c r="M6" s="2486"/>
      <c r="N6" s="2486"/>
      <c r="O6" s="2486"/>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45786</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10" t="s">
        <v>1680</v>
      </c>
      <c r="Q7" s="3412"/>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10" t="s">
        <v>1683</v>
      </c>
      <c r="Q8" s="3411"/>
      <c r="R8" s="664" t="s">
        <v>14</v>
      </c>
      <c r="S8" s="665">
        <f t="shared" si="0"/>
        <v>0</v>
      </c>
      <c r="T8" s="664" t="s">
        <v>14</v>
      </c>
      <c r="U8" s="665">
        <f t="shared" si="1"/>
        <v>0</v>
      </c>
      <c r="V8" s="664" t="s">
        <v>14</v>
      </c>
      <c r="W8" s="665">
        <f t="shared" si="2"/>
        <v>0</v>
      </c>
      <c r="X8" s="666"/>
      <c r="Y8" s="3410" t="s">
        <v>1683</v>
      </c>
      <c r="Z8" s="3411"/>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75" t="s">
        <v>1686</v>
      </c>
      <c r="Q9" s="530" t="str">
        <f t="shared" ref="Q9:Q15" si="6">B9</f>
        <v>用途</v>
      </c>
      <c r="R9" s="664" t="s">
        <v>14</v>
      </c>
      <c r="S9" s="665">
        <f t="shared" si="0"/>
        <v>100</v>
      </c>
      <c r="T9" s="664" t="s">
        <v>14</v>
      </c>
      <c r="U9" s="665">
        <f t="shared" si="1"/>
        <v>100</v>
      </c>
      <c r="V9" s="664" t="s">
        <v>14</v>
      </c>
      <c r="W9" s="665">
        <f t="shared" si="2"/>
        <v>100</v>
      </c>
      <c r="X9" s="666"/>
      <c r="Y9" s="325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8"/>
      <c r="M10" s="2489"/>
      <c r="N10" s="2489"/>
      <c r="O10" s="2540"/>
      <c r="P10" s="3375"/>
      <c r="Q10" s="530" t="str">
        <f t="shared" si="6"/>
        <v>土地使用年限（年）</v>
      </c>
      <c r="R10" s="664" t="s">
        <v>14</v>
      </c>
      <c r="S10" s="665" t="e">
        <f t="shared" si="0"/>
        <v>#DIV/0!</v>
      </c>
      <c r="T10" s="664" t="s">
        <v>14</v>
      </c>
      <c r="U10" s="665" t="e">
        <f t="shared" si="1"/>
        <v>#DIV/0!</v>
      </c>
      <c r="V10" s="664" t="s">
        <v>14</v>
      </c>
      <c r="W10" s="665" t="e">
        <f t="shared" si="2"/>
        <v>#DIV/0!</v>
      </c>
      <c r="X10" s="666"/>
      <c r="Y10" s="3250"/>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75"/>
      <c r="Q11" s="530" t="str">
        <f t="shared" si="6"/>
        <v>容积率</v>
      </c>
      <c r="R11" s="664" t="s">
        <v>14</v>
      </c>
      <c r="S11" s="665" t="e">
        <f t="shared" si="0"/>
        <v>#N/A</v>
      </c>
      <c r="T11" s="664" t="s">
        <v>14</v>
      </c>
      <c r="U11" s="665" t="e">
        <f t="shared" si="1"/>
        <v>#N/A</v>
      </c>
      <c r="V11" s="664" t="s">
        <v>14</v>
      </c>
      <c r="W11" s="665" t="e">
        <f t="shared" si="2"/>
        <v>#N/A</v>
      </c>
      <c r="X11" s="666"/>
      <c r="Y11" s="325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75"/>
      <c r="Q12" s="530">
        <f t="shared" si="6"/>
        <v>111</v>
      </c>
      <c r="R12" s="664" t="s">
        <v>14</v>
      </c>
      <c r="S12" s="665">
        <f t="shared" si="0"/>
        <v>100</v>
      </c>
      <c r="T12" s="664" t="s">
        <v>14</v>
      </c>
      <c r="U12" s="665">
        <f t="shared" si="1"/>
        <v>100</v>
      </c>
      <c r="V12" s="664" t="s">
        <v>14</v>
      </c>
      <c r="W12" s="665">
        <f t="shared" si="2"/>
        <v>100</v>
      </c>
      <c r="X12" s="666"/>
      <c r="Y12" s="325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75"/>
      <c r="Q13" s="530">
        <f t="shared" si="6"/>
        <v>111</v>
      </c>
      <c r="R13" s="664" t="s">
        <v>14</v>
      </c>
      <c r="S13" s="665">
        <f t="shared" si="0"/>
        <v>100</v>
      </c>
      <c r="T13" s="664" t="s">
        <v>14</v>
      </c>
      <c r="U13" s="665">
        <f t="shared" si="1"/>
        <v>100</v>
      </c>
      <c r="V13" s="664" t="s">
        <v>14</v>
      </c>
      <c r="W13" s="665">
        <f t="shared" si="2"/>
        <v>100</v>
      </c>
      <c r="X13" s="666"/>
      <c r="Y13" s="3250"/>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75"/>
      <c r="Q14" s="530">
        <f t="shared" si="6"/>
        <v>111</v>
      </c>
      <c r="R14" s="664" t="s">
        <v>14</v>
      </c>
      <c r="S14" s="665">
        <f t="shared" si="0"/>
        <v>100</v>
      </c>
      <c r="T14" s="664" t="s">
        <v>14</v>
      </c>
      <c r="U14" s="665">
        <f t="shared" si="1"/>
        <v>100</v>
      </c>
      <c r="V14" s="664" t="s">
        <v>14</v>
      </c>
      <c r="W14" s="665">
        <f t="shared" si="2"/>
        <v>100</v>
      </c>
      <c r="X14" s="666"/>
      <c r="Y14" s="3250"/>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77" t="s">
        <v>1691</v>
      </c>
      <c r="Q15" s="1263" t="str">
        <f t="shared" si="6"/>
        <v>产业集聚程度</v>
      </c>
      <c r="R15" s="667" t="s">
        <v>14</v>
      </c>
      <c r="S15" s="668">
        <f t="shared" si="0"/>
        <v>100</v>
      </c>
      <c r="T15" s="667" t="s">
        <v>14</v>
      </c>
      <c r="U15" s="668">
        <f t="shared" si="1"/>
        <v>100</v>
      </c>
      <c r="V15" s="667" t="s">
        <v>14</v>
      </c>
      <c r="W15" s="668">
        <f t="shared" si="2"/>
        <v>100</v>
      </c>
      <c r="X15" s="1265"/>
      <c r="Y15" s="337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78"/>
      <c r="Q16" s="1263"/>
      <c r="R16" s="667"/>
      <c r="S16" s="668"/>
      <c r="T16" s="667"/>
      <c r="U16" s="668"/>
      <c r="V16" s="667"/>
      <c r="W16" s="668"/>
      <c r="X16" s="1265"/>
      <c r="Y16" s="3378"/>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78"/>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78"/>
      <c r="Q18" s="1263"/>
      <c r="R18" s="667"/>
      <c r="S18" s="668"/>
      <c r="T18" s="667"/>
      <c r="U18" s="668"/>
      <c r="V18" s="667"/>
      <c r="W18" s="668"/>
      <c r="X18" s="1265"/>
      <c r="Y18" s="3378"/>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78"/>
      <c r="Q19" s="1263" t="str">
        <f t="shared" ref="Q19:Q33" si="8">B19</f>
        <v>区域土地利用方向</v>
      </c>
      <c r="R19" s="667" t="s">
        <v>14</v>
      </c>
      <c r="S19" s="668">
        <f>F19</f>
        <v>100</v>
      </c>
      <c r="T19" s="667" t="s">
        <v>14</v>
      </c>
      <c r="U19" s="668">
        <f>H19</f>
        <v>100</v>
      </c>
      <c r="V19" s="667" t="s">
        <v>14</v>
      </c>
      <c r="W19" s="668">
        <f>J19</f>
        <v>100</v>
      </c>
      <c r="X19" s="1265"/>
      <c r="Y19" s="337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78"/>
      <c r="Q20" s="1263"/>
      <c r="R20" s="667"/>
      <c r="S20" s="668"/>
      <c r="T20" s="667"/>
      <c r="U20" s="668"/>
      <c r="V20" s="667"/>
      <c r="W20" s="668"/>
      <c r="X20" s="1265"/>
      <c r="Y20" s="3378"/>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78"/>
      <c r="Q21" s="1263" t="str">
        <f t="shared" si="8"/>
        <v>环境状况</v>
      </c>
      <c r="R21" s="667" t="s">
        <v>14</v>
      </c>
      <c r="S21" s="668">
        <f>F21</f>
        <v>100</v>
      </c>
      <c r="T21" s="667" t="s">
        <v>14</v>
      </c>
      <c r="U21" s="668">
        <f>H21</f>
        <v>100</v>
      </c>
      <c r="V21" s="667" t="s">
        <v>14</v>
      </c>
      <c r="W21" s="668">
        <f>J21</f>
        <v>100</v>
      </c>
      <c r="X21" s="1265"/>
      <c r="Y21" s="337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78"/>
      <c r="Q22" s="1263"/>
      <c r="R22" s="667"/>
      <c r="S22" s="668"/>
      <c r="T22" s="667"/>
      <c r="U22" s="668"/>
      <c r="V22" s="667"/>
      <c r="W22" s="668"/>
      <c r="X22" s="1265"/>
      <c r="Y22" s="3378"/>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78"/>
      <c r="Q23" s="530" t="str">
        <f t="shared" si="8"/>
        <v>公共配套设施</v>
      </c>
      <c r="R23" s="664" t="s">
        <v>14</v>
      </c>
      <c r="S23" s="665">
        <f>F23</f>
        <v>100</v>
      </c>
      <c r="T23" s="664" t="s">
        <v>14</v>
      </c>
      <c r="U23" s="665">
        <f>H23</f>
        <v>100</v>
      </c>
      <c r="V23" s="664" t="s">
        <v>14</v>
      </c>
      <c r="W23" s="665">
        <f>J23</f>
        <v>100</v>
      </c>
      <c r="X23" s="666"/>
      <c r="Y23" s="3378"/>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378"/>
      <c r="Q24" s="530"/>
      <c r="R24" s="664"/>
      <c r="S24" s="665"/>
      <c r="T24" s="664"/>
      <c r="U24" s="665"/>
      <c r="V24" s="664"/>
      <c r="W24" s="665"/>
      <c r="X24" s="666"/>
      <c r="Y24" s="3378"/>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78"/>
      <c r="Q25" s="530" t="str">
        <f t="shared" ref="Q25" si="9">B25</f>
        <v>基础设施水平</v>
      </c>
      <c r="R25" s="664" t="s">
        <v>14</v>
      </c>
      <c r="S25" s="665">
        <f>F25</f>
        <v>100</v>
      </c>
      <c r="T25" s="664" t="s">
        <v>14</v>
      </c>
      <c r="U25" s="665">
        <f>H25</f>
        <v>100</v>
      </c>
      <c r="V25" s="664" t="s">
        <v>14</v>
      </c>
      <c r="W25" s="665">
        <f>J25</f>
        <v>100</v>
      </c>
      <c r="X25" s="666"/>
      <c r="Y25" s="3378"/>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378"/>
      <c r="Q26" s="530"/>
      <c r="R26" s="664"/>
      <c r="S26" s="665"/>
      <c r="T26" s="664"/>
      <c r="U26" s="665"/>
      <c r="V26" s="664"/>
      <c r="W26" s="665"/>
      <c r="X26" s="666"/>
      <c r="Y26" s="337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7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8"/>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78"/>
      <c r="Q28" s="1263" t="str">
        <f t="shared" si="8"/>
        <v>毗邻道路的类型与等级</v>
      </c>
      <c r="R28" s="667" t="s">
        <v>14</v>
      </c>
      <c r="S28" s="668">
        <f t="shared" si="10"/>
        <v>100</v>
      </c>
      <c r="T28" s="667" t="s">
        <v>14</v>
      </c>
      <c r="U28" s="668">
        <f t="shared" si="11"/>
        <v>100</v>
      </c>
      <c r="V28" s="667" t="s">
        <v>14</v>
      </c>
      <c r="W28" s="668">
        <f t="shared" si="12"/>
        <v>100</v>
      </c>
      <c r="X28" s="1265"/>
      <c r="Y28" s="337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78"/>
      <c r="Q29" s="1263"/>
      <c r="R29" s="667"/>
      <c r="S29" s="668"/>
      <c r="T29" s="667"/>
      <c r="U29" s="668"/>
      <c r="V29" s="667"/>
      <c r="W29" s="668"/>
      <c r="X29" s="1265"/>
      <c r="Y29" s="337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78"/>
      <c r="Q30" s="1263" t="str">
        <f t="shared" si="8"/>
        <v>土地级别</v>
      </c>
      <c r="R30" s="667" t="s">
        <v>14</v>
      </c>
      <c r="S30" s="668">
        <f t="shared" si="10"/>
        <v>100</v>
      </c>
      <c r="T30" s="667" t="s">
        <v>14</v>
      </c>
      <c r="U30" s="668">
        <f t="shared" si="11"/>
        <v>100</v>
      </c>
      <c r="V30" s="667" t="s">
        <v>14</v>
      </c>
      <c r="W30" s="668">
        <f t="shared" si="12"/>
        <v>100</v>
      </c>
      <c r="X30" s="1265"/>
      <c r="Y30" s="337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78"/>
      <c r="Q31" s="1263">
        <f t="shared" si="8"/>
        <v>111</v>
      </c>
      <c r="R31" s="667" t="s">
        <v>14</v>
      </c>
      <c r="S31" s="668">
        <f t="shared" si="10"/>
        <v>100</v>
      </c>
      <c r="T31" s="667" t="s">
        <v>14</v>
      </c>
      <c r="U31" s="668">
        <f t="shared" si="11"/>
        <v>100</v>
      </c>
      <c r="V31" s="667" t="s">
        <v>14</v>
      </c>
      <c r="W31" s="668">
        <f t="shared" si="12"/>
        <v>100</v>
      </c>
      <c r="X31" s="1265"/>
      <c r="Y31" s="337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32" t="s">
        <v>1696</v>
      </c>
      <c r="Q32" s="1263">
        <f t="shared" si="8"/>
        <v>111</v>
      </c>
      <c r="R32" s="667" t="s">
        <v>14</v>
      </c>
      <c r="S32" s="668">
        <f t="shared" si="10"/>
        <v>100</v>
      </c>
      <c r="T32" s="667" t="s">
        <v>14</v>
      </c>
      <c r="U32" s="668">
        <f t="shared" si="11"/>
        <v>100</v>
      </c>
      <c r="V32" s="667" t="s">
        <v>14</v>
      </c>
      <c r="W32" s="668">
        <f t="shared" si="12"/>
        <v>100</v>
      </c>
      <c r="X32" s="1265"/>
      <c r="Y32" s="3382"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82"/>
      <c r="Q33" s="1263">
        <f t="shared" si="8"/>
        <v>111</v>
      </c>
      <c r="R33" s="669" t="s">
        <v>14</v>
      </c>
      <c r="S33" s="670">
        <f t="shared" si="10"/>
        <v>100</v>
      </c>
      <c r="T33" s="669" t="s">
        <v>14</v>
      </c>
      <c r="U33" s="670">
        <f t="shared" si="11"/>
        <v>100</v>
      </c>
      <c r="V33" s="669" t="s">
        <v>14</v>
      </c>
      <c r="W33" s="670">
        <f t="shared" si="12"/>
        <v>100</v>
      </c>
      <c r="X33" s="671"/>
      <c r="Y33" s="3382"/>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82"/>
      <c r="Q34" s="1263" t="str">
        <f>B34</f>
        <v>宗地面积</v>
      </c>
      <c r="R34" s="667" t="s">
        <v>14</v>
      </c>
      <c r="S34" s="668" t="e">
        <f t="shared" si="10"/>
        <v>#N/A</v>
      </c>
      <c r="T34" s="667" t="s">
        <v>14</v>
      </c>
      <c r="U34" s="668" t="e">
        <f t="shared" si="11"/>
        <v>#N/A</v>
      </c>
      <c r="V34" s="667" t="s">
        <v>14</v>
      </c>
      <c r="W34" s="668" t="e">
        <f t="shared" si="12"/>
        <v>#N/A</v>
      </c>
      <c r="X34" s="1265"/>
      <c r="Y34" s="3382"/>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82"/>
      <c r="Q35" s="1263" t="str">
        <f t="shared" ref="Q35:Q40" si="14">B35</f>
        <v>宗地形状</v>
      </c>
      <c r="R35" s="667" t="s">
        <v>14</v>
      </c>
      <c r="S35" s="668">
        <f t="shared" si="10"/>
        <v>100</v>
      </c>
      <c r="T35" s="667" t="s">
        <v>14</v>
      </c>
      <c r="U35" s="668">
        <f t="shared" si="11"/>
        <v>100</v>
      </c>
      <c r="V35" s="667" t="s">
        <v>14</v>
      </c>
      <c r="W35" s="668">
        <f t="shared" si="12"/>
        <v>100</v>
      </c>
      <c r="X35" s="1265"/>
      <c r="Y35" s="3382"/>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382"/>
      <c r="Q36" s="1263" t="str">
        <f t="shared" si="14"/>
        <v>宗地开发程度</v>
      </c>
      <c r="R36" s="664" t="s">
        <v>14</v>
      </c>
      <c r="S36" s="665">
        <f t="shared" si="10"/>
        <v>100</v>
      </c>
      <c r="T36" s="664" t="s">
        <v>14</v>
      </c>
      <c r="U36" s="665">
        <f t="shared" si="11"/>
        <v>100</v>
      </c>
      <c r="V36" s="664" t="s">
        <v>14</v>
      </c>
      <c r="W36" s="665">
        <f t="shared" si="12"/>
        <v>100</v>
      </c>
      <c r="X36" s="666"/>
      <c r="Y36" s="3382"/>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82" t="s">
        <v>1696</v>
      </c>
      <c r="Q37" s="1263" t="str">
        <f t="shared" si="14"/>
        <v>工程地质条件</v>
      </c>
      <c r="R37" s="667" t="s">
        <v>14</v>
      </c>
      <c r="S37" s="668">
        <f t="shared" si="10"/>
        <v>100</v>
      </c>
      <c r="T37" s="667" t="s">
        <v>14</v>
      </c>
      <c r="U37" s="668">
        <f t="shared" si="11"/>
        <v>100</v>
      </c>
      <c r="V37" s="667" t="s">
        <v>14</v>
      </c>
      <c r="W37" s="668">
        <f t="shared" si="12"/>
        <v>100</v>
      </c>
      <c r="X37" s="1265"/>
      <c r="Y37" s="338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82"/>
      <c r="Q38" s="1263">
        <f t="shared" si="14"/>
        <v>111</v>
      </c>
      <c r="R38" s="667" t="s">
        <v>14</v>
      </c>
      <c r="S38" s="668">
        <f t="shared" si="10"/>
        <v>100</v>
      </c>
      <c r="T38" s="667" t="s">
        <v>14</v>
      </c>
      <c r="U38" s="668">
        <f t="shared" si="11"/>
        <v>100</v>
      </c>
      <c r="V38" s="667" t="s">
        <v>14</v>
      </c>
      <c r="W38" s="668">
        <f t="shared" si="12"/>
        <v>100</v>
      </c>
      <c r="X38" s="1265"/>
      <c r="Y38" s="338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82"/>
      <c r="Q39" s="1263">
        <f t="shared" si="14"/>
        <v>111</v>
      </c>
      <c r="R39" s="667" t="s">
        <v>14</v>
      </c>
      <c r="S39" s="668">
        <f t="shared" si="10"/>
        <v>100</v>
      </c>
      <c r="T39" s="667" t="s">
        <v>14</v>
      </c>
      <c r="U39" s="668">
        <f t="shared" si="11"/>
        <v>100</v>
      </c>
      <c r="V39" s="667" t="s">
        <v>14</v>
      </c>
      <c r="W39" s="668">
        <f t="shared" si="12"/>
        <v>100</v>
      </c>
      <c r="X39" s="1265"/>
      <c r="Y39" s="3382"/>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82"/>
      <c r="Q40" s="1263">
        <f t="shared" si="14"/>
        <v>111</v>
      </c>
      <c r="R40" s="669" t="s">
        <v>14</v>
      </c>
      <c r="S40" s="670">
        <f t="shared" si="10"/>
        <v>100</v>
      </c>
      <c r="T40" s="669" t="s">
        <v>14</v>
      </c>
      <c r="U40" s="670">
        <f t="shared" si="11"/>
        <v>100</v>
      </c>
      <c r="V40" s="669" t="s">
        <v>14</v>
      </c>
      <c r="W40" s="670">
        <f t="shared" si="12"/>
        <v>100</v>
      </c>
      <c r="X40" s="671"/>
      <c r="Y40" s="3382"/>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375" t="str">
        <f>A41</f>
        <v>成交单价</v>
      </c>
      <c r="Q41" s="3375"/>
      <c r="R41" s="3376">
        <f>E41</f>
        <v>0</v>
      </c>
      <c r="S41" s="3376"/>
      <c r="T41" s="3376">
        <f>G41</f>
        <v>0</v>
      </c>
      <c r="U41" s="3376"/>
      <c r="V41" s="3376">
        <f>I41</f>
        <v>0</v>
      </c>
      <c r="W41" s="3376"/>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375" t="str">
        <f>A42</f>
        <v>比较价值（元/平方米）</v>
      </c>
      <c r="Q42" s="3375"/>
      <c r="R42" s="3434" t="e">
        <f>ROUND(PRODUCT(R41,AA7:AA40),0)</f>
        <v>#DIV/0!</v>
      </c>
      <c r="S42" s="3434"/>
      <c r="T42" s="3434" t="e">
        <f>ROUND(PRODUCT(T41,AB7:AB40),0)</f>
        <v>#DIV/0!</v>
      </c>
      <c r="U42" s="3434"/>
      <c r="V42" s="3434" t="e">
        <f>ROUND(PRODUCT(V41,AC7:AC40),0)</f>
        <v>#DIV/0!</v>
      </c>
      <c r="W42" s="3434"/>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372" t="str">
        <f>A43</f>
        <v>估价对象XX用房的比较价值（楼面单价，元/平方米）</v>
      </c>
      <c r="Q43" s="3373"/>
      <c r="R43" s="3435" t="e">
        <f>ROUND(IF(D42="简单平均",AVERAGE(R42:W42),R42*F42+T42*H42+V42*J42),0)</f>
        <v>#DIV/0!</v>
      </c>
      <c r="S43" s="3435"/>
      <c r="T43" s="3435"/>
      <c r="U43" s="3435"/>
      <c r="V43" s="3435"/>
      <c r="W43" s="3435"/>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390" t="s">
        <v>1887</v>
      </c>
      <c r="H50" s="3436"/>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576.94000000000005</v>
      </c>
      <c r="F51" s="611" t="e">
        <f t="shared" ref="F51:F60" si="15">ROUND(B51*E51/10000,0)</f>
        <v>#DIV/0!</v>
      </c>
      <c r="G51" s="3386"/>
      <c r="H51" s="3375"/>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0.6</v>
      </c>
      <c r="D52" s="891">
        <v>0.25</v>
      </c>
      <c r="E52" s="614"/>
      <c r="F52" s="611" t="e">
        <f t="shared" si="15"/>
        <v>#DIV/0!</v>
      </c>
      <c r="G52" s="2749" t="s">
        <v>1892</v>
      </c>
      <c r="H52" s="834" t="str">
        <f>项目基本情况!B37</f>
        <v>五级</v>
      </c>
      <c r="I52" s="727">
        <f>SUMIF(修正!A57:A68,H52,修正!B57:B68)</f>
        <v>0.6</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0.3</v>
      </c>
      <c r="D53" s="891">
        <v>0.25</v>
      </c>
      <c r="E53" s="614"/>
      <c r="F53" s="611" t="e">
        <f t="shared" si="15"/>
        <v>#DIV/0!</v>
      </c>
      <c r="G53" s="2750"/>
      <c r="H53" s="834" t="str">
        <f>项目基本情况!B37</f>
        <v>五级</v>
      </c>
      <c r="I53" s="727">
        <f>SUMIF(修正!A57:A68,H53,修正!C57:C68)</f>
        <v>0.3</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0.25</v>
      </c>
      <c r="D54" s="891">
        <v>0.25</v>
      </c>
      <c r="E54" s="614"/>
      <c r="F54" s="611" t="e">
        <f t="shared" si="15"/>
        <v>#DIV/0!</v>
      </c>
      <c r="G54" s="2750"/>
      <c r="H54" s="834" t="str">
        <f>项目基本情况!B37</f>
        <v>五级</v>
      </c>
      <c r="I54" s="727">
        <f>SUMIF(修正!A57:A68,H54,修正!D57:D68)</f>
        <v>0.25</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五级</v>
      </c>
      <c r="I59" s="727">
        <f>SUMIF(修正!A57:A68,H59,修正!G57:G68)</f>
        <v>0.15</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4" t="s">
        <v>2084</v>
      </c>
      <c r="D1" s="3445"/>
      <c r="E1" s="3445"/>
      <c r="F1" s="3445"/>
      <c r="G1" s="3445"/>
      <c r="H1" s="3445"/>
      <c r="I1" s="3445"/>
      <c r="J1" s="3445"/>
      <c r="K1" s="3445"/>
      <c r="L1" s="3445"/>
      <c r="M1" s="3445"/>
      <c r="N1" s="3445"/>
      <c r="O1" s="3445"/>
      <c r="P1" s="3445"/>
      <c r="Q1" s="3445"/>
      <c r="R1" s="3445"/>
      <c r="S1" s="3446"/>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1" t="s">
        <v>27</v>
      </c>
      <c r="D22" s="3442"/>
      <c r="E22" s="3442"/>
      <c r="F22" s="3442"/>
      <c r="G22" s="3442"/>
      <c r="H22" s="3442"/>
      <c r="I22" s="3442"/>
      <c r="J22" s="3442"/>
      <c r="K22" s="3442"/>
      <c r="L22" s="3442"/>
      <c r="M22" s="3442"/>
      <c r="N22" s="3442"/>
      <c r="O22" s="3442"/>
      <c r="P22" s="3442"/>
      <c r="Q22" s="344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f ca="1">SUMIF(B6:B13,"&lt;&gt;#ref!",B6:B13)</f>
        <v>0</v>
      </c>
      <c r="C2" s="1984" t="s">
        <v>2074</v>
      </c>
      <c r="D2" s="1984" t="s">
        <v>2075</v>
      </c>
      <c r="E2" s="2397">
        <f ca="1">SUMIF(E6:E13,"&lt;&gt;#ref!",E6:E13)</f>
        <v>576.94000000000005</v>
      </c>
      <c r="F2" s="2543"/>
      <c r="G2" s="2543"/>
      <c r="H2" s="2543"/>
      <c r="I2" s="2543"/>
      <c r="J2" s="2543"/>
      <c r="K2" s="2543"/>
      <c r="L2" s="2543"/>
      <c r="M2" s="2543"/>
      <c r="N2" s="2543"/>
      <c r="O2" s="2543"/>
      <c r="P2" s="2543"/>
    </row>
    <row r="3" spans="1:16" ht="15.6">
      <c r="A3" s="1984" t="s">
        <v>2076</v>
      </c>
      <c r="B3" s="2387">
        <f ca="1">ROUND(B2*10000/E2,0)</f>
        <v>0</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f ca="1">SUMIF(INDIRECT("'"&amp;A6&amp;"'"&amp;"!A:A"),"总价",INDIRECT("'"&amp;A6&amp;"'"&amp;"!B:B"))</f>
        <v>0</v>
      </c>
      <c r="C6" s="1984" t="s">
        <v>2074</v>
      </c>
      <c r="D6" s="2543"/>
      <c r="E6" s="2397">
        <f ca="1">SUMIF(INDIRECT("'"&amp;A6&amp;"'"&amp;"!C:C"),"建筑面积",INDIRECT("'"&amp;A6&amp;"'"&amp;"!D:D"))</f>
        <v>576.94000000000005</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75" t="s">
        <v>2607</v>
      </c>
      <c r="B20" s="3470" t="s">
        <v>2628</v>
      </c>
      <c r="C20" s="2841" t="s">
        <v>2439</v>
      </c>
      <c r="D20" s="2842"/>
      <c r="E20" s="2843">
        <v>1</v>
      </c>
      <c r="F20" s="2844" t="s">
        <v>2440</v>
      </c>
      <c r="G20" s="2844"/>
    </row>
    <row r="21" spans="1:13" ht="19.5" customHeight="1">
      <c r="A21" s="3476"/>
      <c r="B21" s="3469"/>
      <c r="C21" s="2845" t="s">
        <v>2441</v>
      </c>
      <c r="D21" s="2846"/>
      <c r="E21" s="2847">
        <v>1</v>
      </c>
      <c r="F21" s="2844" t="s">
        <v>2442</v>
      </c>
      <c r="G21" s="2844"/>
    </row>
    <row r="22" spans="1:13" ht="19.5" customHeight="1">
      <c r="A22" s="3476"/>
      <c r="B22" s="3469"/>
      <c r="C22" s="2845" t="s">
        <v>2443</v>
      </c>
      <c r="D22" s="2846"/>
      <c r="E22" s="2847">
        <v>0.9</v>
      </c>
      <c r="F22" s="2844" t="s">
        <v>2444</v>
      </c>
      <c r="G22" s="2844"/>
    </row>
    <row r="23" spans="1:13" ht="19.5" customHeight="1">
      <c r="A23" s="3476"/>
      <c r="B23" s="3469"/>
      <c r="C23" s="2845" t="s">
        <v>2445</v>
      </c>
      <c r="D23" s="2846"/>
      <c r="E23" s="2847">
        <v>0.9</v>
      </c>
      <c r="F23" s="2844" t="s">
        <v>2446</v>
      </c>
      <c r="G23" s="2844"/>
    </row>
    <row r="24" spans="1:13" ht="19.5" customHeight="1">
      <c r="A24" s="3476"/>
      <c r="B24" s="3469"/>
      <c r="C24" s="2845" t="s">
        <v>2447</v>
      </c>
      <c r="D24" s="2846"/>
      <c r="E24" s="2847">
        <v>0.8</v>
      </c>
      <c r="F24" s="2844" t="s">
        <v>2448</v>
      </c>
      <c r="G24" s="2844"/>
    </row>
    <row r="25" spans="1:13" ht="19.5" customHeight="1" thickBot="1">
      <c r="A25" s="3477"/>
      <c r="B25" s="3471"/>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472" t="s">
        <v>2631</v>
      </c>
      <c r="B27" s="3470" t="s">
        <v>2612</v>
      </c>
      <c r="C27" s="2841" t="s">
        <v>2452</v>
      </c>
      <c r="D27" s="2842"/>
      <c r="E27" s="2843">
        <v>1</v>
      </c>
      <c r="F27" s="2844" t="s">
        <v>2453</v>
      </c>
      <c r="G27" s="2844"/>
    </row>
    <row r="28" spans="1:13" ht="19.5" customHeight="1">
      <c r="A28" s="3473"/>
      <c r="B28" s="3469"/>
      <c r="C28" s="2845" t="s">
        <v>2454</v>
      </c>
      <c r="D28" s="2846"/>
      <c r="E28" s="2847">
        <v>1</v>
      </c>
      <c r="F28" s="2844" t="s">
        <v>2455</v>
      </c>
      <c r="G28" s="2844"/>
    </row>
    <row r="29" spans="1:13" ht="19.5" customHeight="1">
      <c r="A29" s="3473"/>
      <c r="B29" s="3469"/>
      <c r="C29" s="2845" t="s">
        <v>2456</v>
      </c>
      <c r="D29" s="2846"/>
      <c r="E29" s="2847">
        <v>0.8</v>
      </c>
      <c r="F29" s="2844" t="s">
        <v>2457</v>
      </c>
      <c r="G29" s="2844"/>
    </row>
    <row r="30" spans="1:13" ht="19.5" customHeight="1">
      <c r="A30" s="3473"/>
      <c r="B30" s="3469"/>
      <c r="C30" s="2845" t="s">
        <v>2458</v>
      </c>
      <c r="D30" s="2846"/>
      <c r="E30" s="2847">
        <v>0.8</v>
      </c>
      <c r="F30" s="2844" t="s">
        <v>2459</v>
      </c>
      <c r="G30" s="2844"/>
    </row>
    <row r="31" spans="1:13" ht="19.5" customHeight="1">
      <c r="A31" s="3473"/>
      <c r="B31" s="3469"/>
      <c r="C31" s="2845" t="s">
        <v>2460</v>
      </c>
      <c r="D31" s="2846"/>
      <c r="E31" s="2847">
        <v>0.8</v>
      </c>
      <c r="F31" s="2844" t="s">
        <v>2461</v>
      </c>
      <c r="G31" s="2844"/>
    </row>
    <row r="32" spans="1:13" ht="19.5" customHeight="1">
      <c r="A32" s="3473"/>
      <c r="B32" s="3469"/>
      <c r="C32" s="2845" t="s">
        <v>2462</v>
      </c>
      <c r="D32" s="2846"/>
      <c r="E32" s="2847">
        <v>0.7</v>
      </c>
      <c r="F32" s="2844" t="s">
        <v>2463</v>
      </c>
      <c r="G32" s="2844"/>
    </row>
    <row r="33" spans="1:7" ht="19.5" customHeight="1">
      <c r="A33" s="3473"/>
      <c r="B33" s="3469"/>
      <c r="C33" s="2845" t="s">
        <v>2464</v>
      </c>
      <c r="D33" s="2846"/>
      <c r="E33" s="2847">
        <v>0.8</v>
      </c>
      <c r="F33" s="2844" t="s">
        <v>2465</v>
      </c>
      <c r="G33" s="2844"/>
    </row>
    <row r="34" spans="1:7" ht="19.5" customHeight="1">
      <c r="A34" s="3473"/>
      <c r="B34" s="3469"/>
      <c r="C34" s="2845" t="s">
        <v>2466</v>
      </c>
      <c r="D34" s="2846"/>
      <c r="E34" s="2847">
        <v>0.6</v>
      </c>
      <c r="F34" s="2844" t="s">
        <v>2467</v>
      </c>
      <c r="G34" s="2844"/>
    </row>
    <row r="35" spans="1:7" ht="19.5" customHeight="1">
      <c r="A35" s="3473"/>
      <c r="B35" s="3469"/>
      <c r="C35" s="2845" t="s">
        <v>2468</v>
      </c>
      <c r="D35" s="2846"/>
      <c r="E35" s="2847">
        <v>0.2</v>
      </c>
      <c r="F35" s="2844" t="s">
        <v>2469</v>
      </c>
      <c r="G35" s="2844"/>
    </row>
    <row r="36" spans="1:7" ht="19.5" customHeight="1">
      <c r="A36" s="3473"/>
      <c r="B36" s="3469"/>
      <c r="C36" s="2845" t="s">
        <v>2470</v>
      </c>
      <c r="D36" s="2846"/>
      <c r="E36" s="2847">
        <v>0.2</v>
      </c>
      <c r="F36" s="2844" t="s">
        <v>2471</v>
      </c>
      <c r="G36" s="2844"/>
    </row>
    <row r="37" spans="1:7" ht="19.5" customHeight="1">
      <c r="A37" s="3473"/>
      <c r="B37" s="3467" t="s">
        <v>2632</v>
      </c>
      <c r="C37" s="2845" t="s">
        <v>2472</v>
      </c>
      <c r="D37" s="2846"/>
      <c r="E37" s="2847">
        <v>0.6</v>
      </c>
      <c r="F37" s="2844" t="s">
        <v>2473</v>
      </c>
      <c r="G37" s="2844"/>
    </row>
    <row r="38" spans="1:7" ht="19.5" customHeight="1">
      <c r="A38" s="3473"/>
      <c r="B38" s="3469"/>
      <c r="C38" s="2845" t="s">
        <v>2474</v>
      </c>
      <c r="D38" s="2846"/>
      <c r="E38" s="2847">
        <v>0.6</v>
      </c>
      <c r="F38" s="2844" t="s">
        <v>2475</v>
      </c>
      <c r="G38" s="2844"/>
    </row>
    <row r="39" spans="1:7" ht="19.5" customHeight="1" thickBot="1">
      <c r="A39" s="3474"/>
      <c r="B39" s="3471"/>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475" t="s">
        <v>2610</v>
      </c>
      <c r="B41" s="3470" t="s">
        <v>2634</v>
      </c>
      <c r="C41" s="2841" t="s">
        <v>2479</v>
      </c>
      <c r="D41" s="2842"/>
      <c r="E41" s="2843">
        <v>1</v>
      </c>
      <c r="F41" s="2844" t="s">
        <v>2480</v>
      </c>
      <c r="G41" s="2844"/>
    </row>
    <row r="42" spans="1:7" ht="19.5" customHeight="1">
      <c r="A42" s="3476"/>
      <c r="B42" s="3469"/>
      <c r="C42" s="2845" t="s">
        <v>2481</v>
      </c>
      <c r="D42" s="2846"/>
      <c r="E42" s="2847">
        <v>1</v>
      </c>
      <c r="F42" s="2844" t="s">
        <v>2482</v>
      </c>
      <c r="G42" s="2844"/>
    </row>
    <row r="43" spans="1:7" ht="19.5" customHeight="1">
      <c r="A43" s="3476"/>
      <c r="B43" s="3468"/>
      <c r="C43" s="2845" t="s">
        <v>2483</v>
      </c>
      <c r="D43" s="2846"/>
      <c r="E43" s="2847">
        <v>1.5</v>
      </c>
      <c r="F43" s="2844" t="s">
        <v>2484</v>
      </c>
      <c r="G43" s="2844"/>
    </row>
    <row r="44" spans="1:7" ht="19.5" customHeight="1">
      <c r="A44" s="3476"/>
      <c r="B44" s="2856" t="s">
        <v>2635</v>
      </c>
      <c r="C44" s="2845" t="s">
        <v>2636</v>
      </c>
      <c r="D44" s="2846"/>
      <c r="E44" s="2847">
        <v>2</v>
      </c>
      <c r="F44" s="2844" t="s">
        <v>2485</v>
      </c>
      <c r="G44" s="2844"/>
    </row>
    <row r="45" spans="1:7" ht="19.5" customHeight="1">
      <c r="A45" s="3476"/>
      <c r="B45" s="3467" t="s">
        <v>2637</v>
      </c>
      <c r="C45" s="2845" t="s">
        <v>2486</v>
      </c>
      <c r="D45" s="2846"/>
      <c r="E45" s="2847">
        <v>1</v>
      </c>
      <c r="F45" s="2844" t="s">
        <v>2487</v>
      </c>
      <c r="G45" s="2844"/>
    </row>
    <row r="46" spans="1:7" ht="19.5" customHeight="1">
      <c r="A46" s="3476"/>
      <c r="B46" s="3469"/>
      <c r="C46" s="2845" t="s">
        <v>2488</v>
      </c>
      <c r="D46" s="2846"/>
      <c r="E46" s="2847">
        <v>1</v>
      </c>
      <c r="F46" s="2844" t="s">
        <v>2489</v>
      </c>
      <c r="G46" s="2844"/>
    </row>
    <row r="47" spans="1:7" ht="19.5" customHeight="1">
      <c r="A47" s="3476"/>
      <c r="B47" s="3469"/>
      <c r="C47" s="2845" t="s">
        <v>2490</v>
      </c>
      <c r="D47" s="2846"/>
      <c r="E47" s="2847">
        <v>1</v>
      </c>
      <c r="F47" s="2844" t="s">
        <v>2491</v>
      </c>
      <c r="G47" s="2844"/>
    </row>
    <row r="48" spans="1:7" ht="19.5" customHeight="1">
      <c r="A48" s="3476"/>
      <c r="B48" s="3469"/>
      <c r="C48" s="2845" t="s">
        <v>2492</v>
      </c>
      <c r="D48" s="2846"/>
      <c r="E48" s="2847">
        <v>1</v>
      </c>
      <c r="F48" s="2844" t="s">
        <v>2493</v>
      </c>
      <c r="G48" s="2844"/>
    </row>
    <row r="49" spans="1:7" ht="19.5" customHeight="1">
      <c r="A49" s="3476"/>
      <c r="B49" s="3469"/>
      <c r="C49" s="2845" t="s">
        <v>2494</v>
      </c>
      <c r="D49" s="2846"/>
      <c r="E49" s="2847">
        <v>1</v>
      </c>
      <c r="F49" s="2844" t="s">
        <v>2495</v>
      </c>
      <c r="G49" s="2844"/>
    </row>
    <row r="50" spans="1:7" ht="19.5" customHeight="1">
      <c r="A50" s="3476"/>
      <c r="B50" s="3469"/>
      <c r="C50" s="2845" t="s">
        <v>2496</v>
      </c>
      <c r="D50" s="2846"/>
      <c r="E50" s="2847">
        <v>1</v>
      </c>
      <c r="F50" s="2844" t="s">
        <v>2497</v>
      </c>
      <c r="G50" s="2844"/>
    </row>
    <row r="51" spans="1:7" ht="19.5" customHeight="1" thickBot="1">
      <c r="A51" s="3477"/>
      <c r="B51" s="3471"/>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4.4">
      <c r="A72" s="2856"/>
      <c r="B72" s="2856"/>
      <c r="C72" s="2856" t="s">
        <v>2650</v>
      </c>
      <c r="D72" s="2856"/>
      <c r="E72" s="2856" t="s">
        <v>2621</v>
      </c>
      <c r="F72" s="2856" t="s">
        <v>2621</v>
      </c>
    </row>
    <row r="73" spans="1:7" ht="14.4">
      <c r="A73" s="2856">
        <v>1</v>
      </c>
      <c r="B73" s="3467" t="s">
        <v>2651</v>
      </c>
      <c r="C73" s="2830" t="s">
        <v>2652</v>
      </c>
      <c r="D73" s="2830" t="s">
        <v>2653</v>
      </c>
      <c r="E73" s="2856">
        <v>0.2</v>
      </c>
      <c r="F73" s="2856">
        <v>25</v>
      </c>
    </row>
    <row r="74" spans="1:7" ht="24">
      <c r="A74" s="2856">
        <v>2</v>
      </c>
      <c r="B74" s="3469"/>
      <c r="C74" s="2830" t="s">
        <v>2654</v>
      </c>
      <c r="D74" s="2830" t="s">
        <v>2655</v>
      </c>
      <c r="E74" s="2856">
        <v>0.2</v>
      </c>
      <c r="F74" s="2856">
        <v>25</v>
      </c>
    </row>
    <row r="75" spans="1:7" ht="24">
      <c r="A75" s="2856">
        <v>3</v>
      </c>
      <c r="B75" s="3469"/>
      <c r="C75" s="2830" t="s">
        <v>2656</v>
      </c>
      <c r="D75" s="2830" t="s">
        <v>2657</v>
      </c>
      <c r="E75" s="2856">
        <v>0.2</v>
      </c>
      <c r="F75" s="2856">
        <v>25</v>
      </c>
    </row>
    <row r="76" spans="1:7" ht="14.4">
      <c r="A76" s="2856">
        <v>4</v>
      </c>
      <c r="B76" s="3469"/>
      <c r="C76" s="2830" t="s">
        <v>2658</v>
      </c>
      <c r="D76" s="2830" t="s">
        <v>2659</v>
      </c>
      <c r="E76" s="2856">
        <v>0.15</v>
      </c>
      <c r="F76" s="2856">
        <v>20</v>
      </c>
    </row>
    <row r="77" spans="1:7" ht="24">
      <c r="A77" s="2856">
        <v>5</v>
      </c>
      <c r="B77" s="3469"/>
      <c r="C77" s="2830" t="s">
        <v>2660</v>
      </c>
      <c r="D77" s="2830" t="s">
        <v>2661</v>
      </c>
      <c r="E77" s="2856">
        <v>0.15</v>
      </c>
      <c r="F77" s="2856">
        <v>20</v>
      </c>
    </row>
    <row r="78" spans="1:7" ht="24">
      <c r="A78" s="2856">
        <v>6</v>
      </c>
      <c r="B78" s="3469"/>
      <c r="C78" s="2830" t="s">
        <v>2662</v>
      </c>
      <c r="D78" s="2830" t="s">
        <v>2663</v>
      </c>
      <c r="E78" s="2856">
        <v>0.15</v>
      </c>
      <c r="F78" s="2856">
        <v>20</v>
      </c>
    </row>
    <row r="79" spans="1:7" ht="24">
      <c r="A79" s="2856">
        <v>7</v>
      </c>
      <c r="B79" s="3469"/>
      <c r="C79" s="2830" t="s">
        <v>2664</v>
      </c>
      <c r="D79" s="2830" t="s">
        <v>2665</v>
      </c>
      <c r="E79" s="2856">
        <v>0.15</v>
      </c>
      <c r="F79" s="2856">
        <v>20</v>
      </c>
    </row>
    <row r="80" spans="1:7" ht="24">
      <c r="A80" s="2856">
        <v>8</v>
      </c>
      <c r="B80" s="3469"/>
      <c r="C80" s="2830" t="s">
        <v>2666</v>
      </c>
      <c r="D80" s="2830" t="s">
        <v>2667</v>
      </c>
      <c r="E80" s="2856">
        <v>0.1</v>
      </c>
      <c r="F80" s="2856">
        <v>15</v>
      </c>
    </row>
    <row r="81" spans="1:6" ht="24">
      <c r="A81" s="2856">
        <v>9</v>
      </c>
      <c r="B81" s="3469"/>
      <c r="C81" s="2830" t="s">
        <v>2668</v>
      </c>
      <c r="D81" s="2830" t="s">
        <v>2669</v>
      </c>
      <c r="E81" s="2856">
        <v>0.1</v>
      </c>
      <c r="F81" s="2856">
        <v>15</v>
      </c>
    </row>
    <row r="82" spans="1:6" ht="24">
      <c r="A82" s="2856">
        <v>10</v>
      </c>
      <c r="B82" s="3469"/>
      <c r="C82" s="2830" t="s">
        <v>2670</v>
      </c>
      <c r="D82" s="2830" t="s">
        <v>2671</v>
      </c>
      <c r="E82" s="2856">
        <v>0.1</v>
      </c>
      <c r="F82" s="2856">
        <v>15</v>
      </c>
    </row>
    <row r="83" spans="1:6" ht="24">
      <c r="A83" s="2856">
        <v>11</v>
      </c>
      <c r="B83" s="3469"/>
      <c r="C83" s="2830" t="s">
        <v>2672</v>
      </c>
      <c r="D83" s="2830" t="s">
        <v>2673</v>
      </c>
      <c r="E83" s="2856">
        <v>0.1</v>
      </c>
      <c r="F83" s="2856">
        <v>15</v>
      </c>
    </row>
    <row r="84" spans="1:6" ht="24">
      <c r="A84" s="2856">
        <v>12</v>
      </c>
      <c r="B84" s="3469"/>
      <c r="C84" s="2830" t="s">
        <v>2674</v>
      </c>
      <c r="D84" s="2830" t="s">
        <v>2675</v>
      </c>
      <c r="E84" s="2856">
        <v>0.1</v>
      </c>
      <c r="F84" s="2856">
        <v>15</v>
      </c>
    </row>
    <row r="85" spans="1:6" ht="24">
      <c r="A85" s="2856">
        <v>13</v>
      </c>
      <c r="B85" s="3469"/>
      <c r="C85" s="2830" t="s">
        <v>2676</v>
      </c>
      <c r="D85" s="2830" t="s">
        <v>2677</v>
      </c>
      <c r="E85" s="2856">
        <v>0.1</v>
      </c>
      <c r="F85" s="2856">
        <v>15</v>
      </c>
    </row>
    <row r="86" spans="1:6" ht="24">
      <c r="A86" s="2856">
        <v>14</v>
      </c>
      <c r="B86" s="3469"/>
      <c r="C86" s="2830" t="s">
        <v>2678</v>
      </c>
      <c r="D86" s="2830" t="s">
        <v>2679</v>
      </c>
      <c r="E86" s="2856">
        <v>0.1</v>
      </c>
      <c r="F86" s="2856">
        <v>15</v>
      </c>
    </row>
    <row r="87" spans="1:6" ht="24">
      <c r="A87" s="2856">
        <v>15</v>
      </c>
      <c r="B87" s="3469"/>
      <c r="C87" s="2830" t="s">
        <v>2680</v>
      </c>
      <c r="D87" s="2830" t="s">
        <v>2681</v>
      </c>
      <c r="E87" s="2856">
        <v>0.1</v>
      </c>
      <c r="F87" s="2856">
        <v>15</v>
      </c>
    </row>
    <row r="88" spans="1:6" ht="24">
      <c r="A88" s="2856">
        <v>16</v>
      </c>
      <c r="B88" s="3469"/>
      <c r="C88" s="2830" t="s">
        <v>2682</v>
      </c>
      <c r="D88" s="2830" t="s">
        <v>2683</v>
      </c>
      <c r="E88" s="2856">
        <v>0.1</v>
      </c>
      <c r="F88" s="2856">
        <v>15</v>
      </c>
    </row>
    <row r="89" spans="1:6" ht="24">
      <c r="A89" s="2856">
        <v>17</v>
      </c>
      <c r="B89" s="3468"/>
      <c r="C89" s="2830" t="s">
        <v>2684</v>
      </c>
      <c r="D89" s="2830" t="s">
        <v>2685</v>
      </c>
      <c r="E89" s="2856">
        <v>0.1</v>
      </c>
      <c r="F89" s="2856">
        <v>15</v>
      </c>
    </row>
    <row r="90" spans="1:6" ht="14.4">
      <c r="A90" s="2856">
        <v>18</v>
      </c>
      <c r="B90" s="3467" t="s">
        <v>2686</v>
      </c>
      <c r="C90" s="2830" t="s">
        <v>2687</v>
      </c>
      <c r="D90" s="2830" t="s">
        <v>2688</v>
      </c>
      <c r="E90" s="2856">
        <v>0.2</v>
      </c>
      <c r="F90" s="2856">
        <v>25</v>
      </c>
    </row>
    <row r="91" spans="1:6" ht="24">
      <c r="A91" s="2856">
        <v>19</v>
      </c>
      <c r="B91" s="3469"/>
      <c r="C91" s="2830" t="s">
        <v>2689</v>
      </c>
      <c r="D91" s="2830" t="s">
        <v>2690</v>
      </c>
      <c r="E91" s="2856">
        <v>0.2</v>
      </c>
      <c r="F91" s="2856">
        <v>25</v>
      </c>
    </row>
    <row r="92" spans="1:6" ht="14.4">
      <c r="A92" s="2856">
        <v>20</v>
      </c>
      <c r="B92" s="3469"/>
      <c r="C92" s="2830" t="s">
        <v>2691</v>
      </c>
      <c r="D92" s="2830" t="s">
        <v>2692</v>
      </c>
      <c r="E92" s="2856">
        <v>0.15</v>
      </c>
      <c r="F92" s="2856">
        <v>20</v>
      </c>
    </row>
    <row r="93" spans="1:6" ht="24">
      <c r="A93" s="2856">
        <v>21</v>
      </c>
      <c r="B93" s="3469"/>
      <c r="C93" s="2830" t="s">
        <v>2693</v>
      </c>
      <c r="D93" s="2830" t="s">
        <v>2694</v>
      </c>
      <c r="E93" s="2856">
        <v>0.15</v>
      </c>
      <c r="F93" s="2856">
        <v>20</v>
      </c>
    </row>
    <row r="94" spans="1:6" ht="24">
      <c r="A94" s="2856">
        <v>22</v>
      </c>
      <c r="B94" s="3469"/>
      <c r="C94" s="2830" t="s">
        <v>2695</v>
      </c>
      <c r="D94" s="2830" t="s">
        <v>2696</v>
      </c>
      <c r="E94" s="2856">
        <v>0.15</v>
      </c>
      <c r="F94" s="2856">
        <v>20</v>
      </c>
    </row>
    <row r="95" spans="1:6" ht="36">
      <c r="A95" s="2856">
        <v>23</v>
      </c>
      <c r="B95" s="3469"/>
      <c r="C95" s="2830" t="s">
        <v>2697</v>
      </c>
      <c r="D95" s="2830" t="s">
        <v>2698</v>
      </c>
      <c r="E95" s="2856">
        <v>0.15</v>
      </c>
      <c r="F95" s="2856">
        <v>20</v>
      </c>
    </row>
    <row r="96" spans="1:6" ht="24">
      <c r="A96" s="2856">
        <v>24</v>
      </c>
      <c r="B96" s="3469"/>
      <c r="C96" s="2830" t="s">
        <v>2699</v>
      </c>
      <c r="D96" s="2830" t="s">
        <v>2700</v>
      </c>
      <c r="E96" s="2856">
        <v>0.1</v>
      </c>
      <c r="F96" s="2856">
        <v>15</v>
      </c>
    </row>
    <row r="97" spans="1:6" ht="24">
      <c r="A97" s="2856">
        <v>25</v>
      </c>
      <c r="B97" s="3469"/>
      <c r="C97" s="2830" t="s">
        <v>2701</v>
      </c>
      <c r="D97" s="2830" t="s">
        <v>2702</v>
      </c>
      <c r="E97" s="2856">
        <v>0.1</v>
      </c>
      <c r="F97" s="2856">
        <v>15</v>
      </c>
    </row>
    <row r="98" spans="1:6" ht="24">
      <c r="A98" s="2856">
        <v>26</v>
      </c>
      <c r="B98" s="3469"/>
      <c r="C98" s="2830" t="s">
        <v>2703</v>
      </c>
      <c r="D98" s="2830" t="s">
        <v>2704</v>
      </c>
      <c r="E98" s="2856">
        <v>0.1</v>
      </c>
      <c r="F98" s="2856">
        <v>15</v>
      </c>
    </row>
    <row r="99" spans="1:6" ht="24">
      <c r="A99" s="2856">
        <v>27</v>
      </c>
      <c r="B99" s="3469"/>
      <c r="C99" s="2830" t="s">
        <v>2705</v>
      </c>
      <c r="D99" s="2830" t="s">
        <v>2706</v>
      </c>
      <c r="E99" s="2856">
        <v>0.1</v>
      </c>
      <c r="F99" s="2856">
        <v>15</v>
      </c>
    </row>
    <row r="100" spans="1:6" ht="24">
      <c r="A100" s="2856">
        <v>28</v>
      </c>
      <c r="B100" s="3469"/>
      <c r="C100" s="2830" t="s">
        <v>2707</v>
      </c>
      <c r="D100" s="2830" t="s">
        <v>2708</v>
      </c>
      <c r="E100" s="2856">
        <v>0.1</v>
      </c>
      <c r="F100" s="2856">
        <v>15</v>
      </c>
    </row>
    <row r="101" spans="1:6" ht="24">
      <c r="A101" s="2856">
        <v>29</v>
      </c>
      <c r="B101" s="3469"/>
      <c r="C101" s="2830" t="s">
        <v>2709</v>
      </c>
      <c r="D101" s="2830" t="s">
        <v>2710</v>
      </c>
      <c r="E101" s="2856">
        <v>0.1</v>
      </c>
      <c r="F101" s="2856">
        <v>15</v>
      </c>
    </row>
    <row r="102" spans="1:6" ht="24">
      <c r="A102" s="2856">
        <v>30</v>
      </c>
      <c r="B102" s="3469"/>
      <c r="C102" s="2830" t="s">
        <v>2711</v>
      </c>
      <c r="D102" s="2830" t="s">
        <v>2712</v>
      </c>
      <c r="E102" s="2856">
        <v>0.1</v>
      </c>
      <c r="F102" s="2856">
        <v>15</v>
      </c>
    </row>
    <row r="103" spans="1:6" ht="24">
      <c r="A103" s="2856">
        <v>31</v>
      </c>
      <c r="B103" s="3469"/>
      <c r="C103" s="2830" t="s">
        <v>2713</v>
      </c>
      <c r="D103" s="2830" t="s">
        <v>2714</v>
      </c>
      <c r="E103" s="2856">
        <v>0.1</v>
      </c>
      <c r="F103" s="2856">
        <v>15</v>
      </c>
    </row>
    <row r="104" spans="1:6" ht="24">
      <c r="A104" s="2856">
        <v>32</v>
      </c>
      <c r="B104" s="3469"/>
      <c r="C104" s="2830" t="s">
        <v>2715</v>
      </c>
      <c r="D104" s="2830" t="s">
        <v>2716</v>
      </c>
      <c r="E104" s="2856">
        <v>0.1</v>
      </c>
      <c r="F104" s="2856">
        <v>15</v>
      </c>
    </row>
    <row r="105" spans="1:6" ht="24">
      <c r="A105" s="2856">
        <v>33</v>
      </c>
      <c r="B105" s="3469"/>
      <c r="C105" s="2830" t="s">
        <v>2717</v>
      </c>
      <c r="D105" s="2830" t="s">
        <v>2718</v>
      </c>
      <c r="E105" s="2856">
        <v>0.1</v>
      </c>
      <c r="F105" s="2856">
        <v>15</v>
      </c>
    </row>
    <row r="106" spans="1:6" ht="24">
      <c r="A106" s="2856">
        <v>34</v>
      </c>
      <c r="B106" s="3468"/>
      <c r="C106" s="2830" t="s">
        <v>2719</v>
      </c>
      <c r="D106" s="2830" t="s">
        <v>2720</v>
      </c>
      <c r="E106" s="2856">
        <v>0.1</v>
      </c>
      <c r="F106" s="2856">
        <v>15</v>
      </c>
    </row>
    <row r="107" spans="1:6" ht="36">
      <c r="A107" s="2856">
        <v>35</v>
      </c>
      <c r="B107" s="3467" t="s">
        <v>2721</v>
      </c>
      <c r="C107" s="2856" t="s">
        <v>2722</v>
      </c>
      <c r="D107" s="2830" t="s">
        <v>2723</v>
      </c>
      <c r="E107" s="2856">
        <v>0.15</v>
      </c>
      <c r="F107" s="2856">
        <v>20</v>
      </c>
    </row>
    <row r="108" spans="1:6" ht="24">
      <c r="A108" s="2856">
        <v>36</v>
      </c>
      <c r="B108" s="3469"/>
      <c r="C108" s="2856" t="s">
        <v>2724</v>
      </c>
      <c r="D108" s="2830" t="s">
        <v>2725</v>
      </c>
      <c r="E108" s="2856">
        <v>0.15</v>
      </c>
      <c r="F108" s="2856">
        <v>20</v>
      </c>
    </row>
    <row r="109" spans="1:6" ht="24">
      <c r="A109" s="2856">
        <v>37</v>
      </c>
      <c r="B109" s="3469"/>
      <c r="C109" s="2856" t="s">
        <v>2726</v>
      </c>
      <c r="D109" s="2830" t="s">
        <v>2727</v>
      </c>
      <c r="E109" s="2856">
        <v>0.15</v>
      </c>
      <c r="F109" s="2856">
        <v>20</v>
      </c>
    </row>
    <row r="110" spans="1:6" ht="24">
      <c r="A110" s="2856">
        <v>38</v>
      </c>
      <c r="B110" s="3469"/>
      <c r="C110" s="2856" t="s">
        <v>2728</v>
      </c>
      <c r="D110" s="2830" t="s">
        <v>2729</v>
      </c>
      <c r="E110" s="2856">
        <v>0.1</v>
      </c>
      <c r="F110" s="2856">
        <v>15</v>
      </c>
    </row>
    <row r="111" spans="1:6" ht="24">
      <c r="A111" s="2856">
        <v>39</v>
      </c>
      <c r="B111" s="3469"/>
      <c r="C111" s="2856" t="s">
        <v>2730</v>
      </c>
      <c r="D111" s="2830" t="s">
        <v>2731</v>
      </c>
      <c r="E111" s="2856">
        <v>0.1</v>
      </c>
      <c r="F111" s="2856">
        <v>15</v>
      </c>
    </row>
    <row r="112" spans="1:6" ht="24">
      <c r="A112" s="2856">
        <v>40</v>
      </c>
      <c r="B112" s="3468"/>
      <c r="C112" s="2856" t="s">
        <v>2732</v>
      </c>
      <c r="D112" s="2830" t="s">
        <v>2733</v>
      </c>
      <c r="E112" s="2856">
        <v>0.1</v>
      </c>
      <c r="F112" s="2856">
        <v>15</v>
      </c>
    </row>
    <row r="113" spans="1:6" ht="24">
      <c r="A113" s="2856">
        <v>41</v>
      </c>
      <c r="B113" s="3466" t="s">
        <v>2734</v>
      </c>
      <c r="C113" s="2856" t="s">
        <v>2735</v>
      </c>
      <c r="D113" s="2830" t="s">
        <v>2736</v>
      </c>
      <c r="E113" s="2856">
        <v>0.1</v>
      </c>
      <c r="F113" s="2856">
        <v>15</v>
      </c>
    </row>
    <row r="114" spans="1:6" ht="24">
      <c r="A114" s="2856">
        <v>42</v>
      </c>
      <c r="B114" s="3466"/>
      <c r="C114" s="2856" t="s">
        <v>2737</v>
      </c>
      <c r="D114" s="2830" t="s">
        <v>2738</v>
      </c>
      <c r="E114" s="2856">
        <v>0.1</v>
      </c>
      <c r="F114" s="2856">
        <v>15</v>
      </c>
    </row>
    <row r="115" spans="1:6" ht="24">
      <c r="A115" s="2856">
        <v>43</v>
      </c>
      <c r="B115" s="3466"/>
      <c r="C115" s="2856" t="s">
        <v>2739</v>
      </c>
      <c r="D115" s="2830" t="s">
        <v>2740</v>
      </c>
      <c r="E115" s="2856">
        <v>0.1</v>
      </c>
      <c r="F115" s="2856">
        <v>15</v>
      </c>
    </row>
    <row r="116" spans="1:6" ht="24">
      <c r="A116" s="2856">
        <v>44</v>
      </c>
      <c r="B116" s="3467" t="s">
        <v>2741</v>
      </c>
      <c r="C116" s="2856" t="s">
        <v>2742</v>
      </c>
      <c r="D116" s="2830" t="s">
        <v>2743</v>
      </c>
      <c r="E116" s="2856">
        <v>0.1</v>
      </c>
      <c r="F116" s="2856">
        <v>15</v>
      </c>
    </row>
    <row r="117" spans="1:6" ht="24">
      <c r="A117" s="2856">
        <v>45</v>
      </c>
      <c r="B117" s="3468"/>
      <c r="C117" s="2830" t="s">
        <v>2744</v>
      </c>
      <c r="D117" s="2830" t="s">
        <v>2745</v>
      </c>
      <c r="E117" s="2856">
        <v>0.1</v>
      </c>
      <c r="F117" s="2856">
        <v>15</v>
      </c>
    </row>
    <row r="118" spans="1:6" ht="24">
      <c r="A118" s="2856">
        <v>46</v>
      </c>
      <c r="B118" s="3467" t="s">
        <v>2746</v>
      </c>
      <c r="C118" s="2856" t="s">
        <v>2747</v>
      </c>
      <c r="D118" s="2830" t="s">
        <v>2748</v>
      </c>
      <c r="E118" s="2856">
        <v>0.1</v>
      </c>
      <c r="F118" s="2856">
        <v>15</v>
      </c>
    </row>
    <row r="119" spans="1:6" ht="24">
      <c r="A119" s="2856">
        <v>47</v>
      </c>
      <c r="B119" s="3468"/>
      <c r="C119" s="2856" t="s">
        <v>2749</v>
      </c>
      <c r="D119" s="2830" t="s">
        <v>2750</v>
      </c>
      <c r="E119" s="2856">
        <v>0.1</v>
      </c>
      <c r="F119" s="2856">
        <v>15</v>
      </c>
    </row>
    <row r="120" spans="1:6" ht="24">
      <c r="A120" s="2856">
        <v>48</v>
      </c>
      <c r="B120" s="3467" t="s">
        <v>2751</v>
      </c>
      <c r="C120" s="2856" t="s">
        <v>2752</v>
      </c>
      <c r="D120" s="2830" t="s">
        <v>2753</v>
      </c>
      <c r="E120" s="2856">
        <v>0.1</v>
      </c>
      <c r="F120" s="2856">
        <v>15</v>
      </c>
    </row>
    <row r="121" spans="1:6" ht="24">
      <c r="A121" s="2856">
        <v>49</v>
      </c>
      <c r="B121" s="3468"/>
      <c r="C121" s="2856" t="s">
        <v>2754</v>
      </c>
      <c r="D121" s="2830" t="s">
        <v>2755</v>
      </c>
      <c r="E121" s="2856">
        <v>0.1</v>
      </c>
      <c r="F121" s="2856">
        <v>15</v>
      </c>
    </row>
    <row r="122" spans="1:6" ht="24">
      <c r="A122" s="2856">
        <v>50</v>
      </c>
      <c r="B122" s="3466" t="s">
        <v>2756</v>
      </c>
      <c r="C122" s="2856" t="s">
        <v>2757</v>
      </c>
      <c r="D122" s="2830" t="s">
        <v>2758</v>
      </c>
      <c r="E122" s="2856">
        <v>0.1</v>
      </c>
      <c r="F122" s="2856">
        <v>15</v>
      </c>
    </row>
    <row r="123" spans="1:6" ht="24">
      <c r="A123" s="2856">
        <v>51</v>
      </c>
      <c r="B123" s="3466"/>
      <c r="C123" s="2856" t="s">
        <v>2759</v>
      </c>
      <c r="D123" s="2830" t="s">
        <v>2760</v>
      </c>
      <c r="E123" s="2856">
        <v>0.1</v>
      </c>
      <c r="F123" s="2856">
        <v>15</v>
      </c>
    </row>
    <row r="124" spans="1:6" ht="24">
      <c r="A124" s="2856">
        <v>52</v>
      </c>
      <c r="B124" s="3466" t="s">
        <v>2761</v>
      </c>
      <c r="C124" s="2856" t="s">
        <v>2762</v>
      </c>
      <c r="D124" s="2830" t="s">
        <v>2763</v>
      </c>
      <c r="E124" s="2856">
        <v>0.1</v>
      </c>
      <c r="F124" s="2856">
        <v>15</v>
      </c>
    </row>
    <row r="125" spans="1:6" ht="24">
      <c r="A125" s="2856">
        <v>53</v>
      </c>
      <c r="B125" s="3466"/>
      <c r="C125" s="2856" t="s">
        <v>2764</v>
      </c>
      <c r="D125" s="2830" t="s">
        <v>2765</v>
      </c>
      <c r="E125" s="2856">
        <v>0.1</v>
      </c>
      <c r="F125" s="2856">
        <v>15</v>
      </c>
    </row>
    <row r="126" spans="1:6" ht="24">
      <c r="A126" s="2856">
        <v>54</v>
      </c>
      <c r="B126" s="2856" t="s">
        <v>2766</v>
      </c>
      <c r="C126" s="2856" t="s">
        <v>2767</v>
      </c>
      <c r="D126" s="2830" t="s">
        <v>2768</v>
      </c>
      <c r="E126" s="2856">
        <v>0.1</v>
      </c>
      <c r="F126" s="2856">
        <v>15</v>
      </c>
    </row>
    <row r="127" spans="1:6" ht="24">
      <c r="A127" s="2856">
        <v>55</v>
      </c>
      <c r="B127" s="3466" t="s">
        <v>2769</v>
      </c>
      <c r="C127" s="2856" t="s">
        <v>2770</v>
      </c>
      <c r="D127" s="2830" t="s">
        <v>2771</v>
      </c>
      <c r="E127" s="2856">
        <v>0.1</v>
      </c>
      <c r="F127" s="2856">
        <v>15</v>
      </c>
    </row>
    <row r="128" spans="1:6" ht="24">
      <c r="A128" s="2856">
        <v>56</v>
      </c>
      <c r="B128" s="3466"/>
      <c r="C128" s="2856" t="s">
        <v>2772</v>
      </c>
      <c r="D128" s="2830" t="s">
        <v>2773</v>
      </c>
      <c r="E128" s="2856">
        <v>0.1</v>
      </c>
      <c r="F128" s="2856">
        <v>15</v>
      </c>
    </row>
    <row r="129" spans="1:6" ht="24">
      <c r="A129" s="2856">
        <v>57</v>
      </c>
      <c r="B129" s="3466"/>
      <c r="C129" s="2856" t="s">
        <v>2774</v>
      </c>
      <c r="D129" s="2830" t="s">
        <v>2775</v>
      </c>
      <c r="E129" s="2856">
        <v>0.1</v>
      </c>
      <c r="F129" s="2856">
        <v>15</v>
      </c>
    </row>
    <row r="130" spans="1:6" ht="24">
      <c r="A130" s="2856">
        <v>58</v>
      </c>
      <c r="B130" s="3466" t="s">
        <v>2776</v>
      </c>
      <c r="C130" s="2856" t="s">
        <v>2777</v>
      </c>
      <c r="D130" s="2830" t="s">
        <v>2778</v>
      </c>
      <c r="E130" s="2856">
        <v>0.1</v>
      </c>
      <c r="F130" s="2856">
        <v>15</v>
      </c>
    </row>
    <row r="131" spans="1:6" ht="24">
      <c r="A131" s="2856">
        <v>59</v>
      </c>
      <c r="B131" s="3466"/>
      <c r="C131" s="2856" t="s">
        <v>2779</v>
      </c>
      <c r="D131" s="2830" t="s">
        <v>2780</v>
      </c>
      <c r="E131" s="2856">
        <v>0.1</v>
      </c>
      <c r="F131" s="2856">
        <v>15</v>
      </c>
    </row>
    <row r="132" spans="1:6" ht="24">
      <c r="A132" s="2856">
        <v>60</v>
      </c>
      <c r="B132" s="3467" t="s">
        <v>2781</v>
      </c>
      <c r="C132" s="2856" t="s">
        <v>2782</v>
      </c>
      <c r="D132" s="2830" t="s">
        <v>2783</v>
      </c>
      <c r="E132" s="2856">
        <v>0.1</v>
      </c>
      <c r="F132" s="2856">
        <v>15</v>
      </c>
    </row>
    <row r="133" spans="1:6" ht="24">
      <c r="A133" s="2856">
        <v>61</v>
      </c>
      <c r="B133" s="3468"/>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24">
      <c r="A135" s="2856">
        <v>63</v>
      </c>
      <c r="B135" s="3466" t="s">
        <v>2789</v>
      </c>
      <c r="C135" s="2856" t="s">
        <v>2790</v>
      </c>
      <c r="D135" s="2830" t="s">
        <v>2791</v>
      </c>
      <c r="E135" s="2856">
        <v>0.1</v>
      </c>
      <c r="F135" s="2856">
        <v>15</v>
      </c>
    </row>
    <row r="136" spans="1:6" ht="24">
      <c r="A136" s="2856">
        <v>64</v>
      </c>
      <c r="B136" s="3466"/>
      <c r="C136" s="2856" t="s">
        <v>2792</v>
      </c>
      <c r="D136" s="2830" t="s">
        <v>2793</v>
      </c>
      <c r="E136" s="2856">
        <v>0.1</v>
      </c>
      <c r="F136" s="2856">
        <v>15</v>
      </c>
    </row>
    <row r="137" spans="1:6" ht="24">
      <c r="A137" s="2856">
        <v>65</v>
      </c>
      <c r="B137" s="2856" t="s">
        <v>2794</v>
      </c>
      <c r="C137" s="2856" t="s">
        <v>2795</v>
      </c>
      <c r="D137" s="2830" t="s">
        <v>2796</v>
      </c>
      <c r="E137" s="2856">
        <v>0.1</v>
      </c>
      <c r="F137" s="2856">
        <v>15</v>
      </c>
    </row>
    <row r="138" spans="1:6" ht="14.4">
      <c r="A138" s="2856"/>
      <c r="B138" s="2856"/>
      <c r="C138" s="2856"/>
      <c r="D138" s="2856"/>
      <c r="E138" s="2856" t="s">
        <v>2797</v>
      </c>
      <c r="F138" s="2856"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6"/>
      <c r="C2" s="3166"/>
      <c r="D2" s="3166"/>
      <c r="E2" s="3166"/>
    </row>
    <row r="3" spans="1:5" ht="17.399999999999999">
      <c r="A3" s="3167" t="str">
        <f>IF(项目基本情况!B9="房地产市场价值","估价结果一览表（市场价值不需“结果表-1”）","估价结果一览表")</f>
        <v>估价结果一览表</v>
      </c>
      <c r="B3" s="3167"/>
      <c r="C3" s="3167"/>
      <c r="D3" s="3167"/>
      <c r="E3" s="3167"/>
    </row>
    <row r="4" spans="1:5" ht="18" thickBot="1">
      <c r="A4" s="1391"/>
      <c r="B4" s="3165" t="s">
        <v>917</v>
      </c>
      <c r="C4" s="3165"/>
      <c r="D4" s="3165"/>
      <c r="E4" s="1391"/>
    </row>
    <row r="5" spans="1:5" ht="16.2" thickTop="1">
      <c r="B5" s="3163" t="s">
        <v>909</v>
      </c>
      <c r="C5" s="1392" t="s">
        <v>910</v>
      </c>
      <c r="D5" s="797">
        <f ca="1">结果表!H101</f>
        <v>2940</v>
      </c>
    </row>
    <row r="6" spans="1:5" ht="15.6">
      <c r="B6" s="3163"/>
      <c r="C6" s="1392" t="s">
        <v>911</v>
      </c>
      <c r="D6" s="797" t="str">
        <f ca="1">NUMBERSTRING(INT(D5*10000),2)&amp;"元整"</f>
        <v>贰仟玖佰肆拾万元整</v>
      </c>
    </row>
    <row r="7" spans="1:5" ht="15.6">
      <c r="B7" s="3168"/>
      <c r="C7" s="1393" t="s">
        <v>912</v>
      </c>
      <c r="D7" s="798">
        <f ca="1">结果表!H102</f>
        <v>50957</v>
      </c>
    </row>
    <row r="8" spans="1:5" ht="15.6">
      <c r="B8" s="3169" t="str">
        <f>结果表!E103</f>
        <v>2.估价师知悉的法定优先受偿款</v>
      </c>
      <c r="C8" s="1394" t="s">
        <v>913</v>
      </c>
      <c r="D8" s="798">
        <f>结果表!H103</f>
        <v>0</v>
      </c>
    </row>
    <row r="9" spans="1:5" ht="15.6">
      <c r="B9" s="3171"/>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2" t="str">
        <f>结果表!E107</f>
        <v>3.房地产抵押价值</v>
      </c>
      <c r="C13" s="1397" t="s">
        <v>910</v>
      </c>
      <c r="D13" s="800">
        <f ca="1">结果表!H107</f>
        <v>2940</v>
      </c>
    </row>
    <row r="14" spans="1:5" ht="15.6">
      <c r="B14" s="3163"/>
      <c r="C14" s="1392" t="s">
        <v>911</v>
      </c>
      <c r="D14" s="797" t="str">
        <f ca="1">NUMBERSTRING(INT(D13*10000),2)&amp;"元整"</f>
        <v>贰仟玖佰肆拾万元整</v>
      </c>
    </row>
    <row r="15" spans="1:5" ht="15.6">
      <c r="B15" s="3168"/>
      <c r="C15" s="1393" t="s">
        <v>921</v>
      </c>
      <c r="D15" s="806">
        <f ca="1">结果表!H108</f>
        <v>50957</v>
      </c>
    </row>
    <row r="16" spans="1:5" ht="15.6">
      <c r="B16" s="3169" t="str">
        <f>结果表!E109</f>
        <v>——</v>
      </c>
      <c r="C16" s="1397" t="s">
        <v>922</v>
      </c>
      <c r="D16" s="1398" t="str">
        <f>结果表!H109</f>
        <v>——</v>
      </c>
    </row>
    <row r="17" spans="1:5" ht="15.6">
      <c r="B17" s="3170"/>
      <c r="C17" s="1392" t="s">
        <v>923</v>
      </c>
      <c r="D17" s="797" t="e">
        <f>NUMBERSTRING(INT(D16*10000),2)&amp;"元整"</f>
        <v>#VALUE!</v>
      </c>
    </row>
    <row r="18" spans="1:5" ht="15.6">
      <c r="B18" s="3171"/>
      <c r="C18" s="1393" t="s">
        <v>912</v>
      </c>
      <c r="D18" s="806" t="str">
        <f>结果表!H110</f>
        <v>——</v>
      </c>
    </row>
    <row r="19" spans="1:5" ht="15.6">
      <c r="B19" s="3162" t="str">
        <f>结果表!E111</f>
        <v>——</v>
      </c>
      <c r="C19" s="1397" t="s">
        <v>910</v>
      </c>
      <c r="D19" s="798" t="str">
        <f>结果表!H111</f>
        <v>——</v>
      </c>
    </row>
    <row r="20" spans="1:5" ht="15.6">
      <c r="B20" s="3163"/>
      <c r="C20" s="1392" t="s">
        <v>923</v>
      </c>
      <c r="D20" s="797" t="e">
        <f>NUMBERSTRING(INT(D19*10000),2)&amp;"元整"</f>
        <v>#VALUE!</v>
      </c>
    </row>
    <row r="21" spans="1:5" ht="16.2" thickBot="1">
      <c r="B21" s="3164"/>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27825</v>
      </c>
      <c r="C2" s="2" t="s">
        <v>106</v>
      </c>
      <c r="D2" s="191"/>
      <c r="E2" s="191"/>
      <c r="F2" s="191"/>
      <c r="G2" s="191"/>
    </row>
    <row r="3" spans="1:7" s="192" customFormat="1" ht="18" customHeight="1" thickBot="1">
      <c r="A3" s="195" t="s">
        <v>58</v>
      </c>
      <c r="B3" s="196">
        <f ca="1">ROUND(B2*10000/'数据-汇总表'!E3,0)</f>
        <v>482286</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12</v>
      </c>
      <c r="D10" s="795">
        <f>'数据-汇总表'!E6</f>
        <v>576.94000000000005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12</v>
      </c>
      <c r="D19" s="204">
        <f>'数据-汇总表'!E3</f>
        <v>576.94000000000005</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1312</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3155</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3155</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27598</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260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231</v>
      </c>
      <c r="D34" s="209"/>
      <c r="E34" s="212"/>
      <c r="F34" s="249">
        <f>IF('数据-取费表'!B24=0,1,'数据-取费表'!N16)</f>
        <v>1</v>
      </c>
      <c r="G34" s="211" t="s">
        <v>89</v>
      </c>
    </row>
    <row r="35" spans="1:7" ht="13.5" customHeight="1">
      <c r="A35" s="734" t="s">
        <v>351</v>
      </c>
      <c r="B35" s="207" t="s">
        <v>33</v>
      </c>
      <c r="C35" s="212">
        <f>ROUND(C34*F35,0)</f>
        <v>12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12</v>
      </c>
      <c r="D37" s="209">
        <f>'数据-汇总表'!E3</f>
        <v>576.94000000000005</v>
      </c>
      <c r="E37" s="241">
        <f>'数据-取费表'!B35</f>
        <v>200</v>
      </c>
      <c r="F37" s="251"/>
      <c r="G37" s="253" t="s">
        <v>92</v>
      </c>
    </row>
    <row r="38" spans="1:7" ht="13.5" customHeight="1">
      <c r="A38" s="734" t="s">
        <v>354</v>
      </c>
      <c r="B38" s="207" t="s">
        <v>36</v>
      </c>
      <c r="C38" s="212">
        <f>ROUND(C34*F38,0)</f>
        <v>5</v>
      </c>
      <c r="D38" s="212"/>
      <c r="E38" s="212"/>
      <c r="F38" s="251">
        <f>'数据-取费表'!B36</f>
        <v>0.02</v>
      </c>
      <c r="G38" s="211" t="s">
        <v>90</v>
      </c>
    </row>
    <row r="39" spans="1:7" s="206" customFormat="1" ht="13.5" customHeight="1">
      <c r="A39" s="731" t="s">
        <v>338</v>
      </c>
      <c r="B39" s="202" t="s">
        <v>77</v>
      </c>
      <c r="C39" s="224">
        <f>ROUND(C33*F20,0)</f>
        <v>5</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8</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8</v>
      </c>
      <c r="D42" s="230"/>
      <c r="E42" s="230"/>
      <c r="F42" s="231"/>
      <c r="G42" s="3343" t="s">
        <v>94</v>
      </c>
    </row>
    <row r="43" spans="1:7" ht="13.5" customHeight="1">
      <c r="A43" s="734" t="s">
        <v>347</v>
      </c>
      <c r="B43" s="207" t="s">
        <v>426</v>
      </c>
      <c r="C43" s="230">
        <f ca="1">ROUND(IF('数据-取费表'!B22&lt;=1,C39*F22*'数据-取费表'!B21/2,C39*(POWER((1+F22),'数据-取费表'!B21/2)-1)),0)</f>
        <v>0</v>
      </c>
      <c r="D43" s="230"/>
      <c r="E43" s="230"/>
      <c r="F43" s="231"/>
      <c r="G43" s="3344"/>
    </row>
    <row r="44" spans="1:7" ht="13.5" customHeight="1">
      <c r="A44" s="734" t="s">
        <v>348</v>
      </c>
      <c r="B44" s="207" t="s">
        <v>428</v>
      </c>
      <c r="C44" s="230">
        <f ca="1">ROUND(IF('数据-取费表'!B22&lt;=1,C40*F22*'数据-取费表'!B21/2,C40*(POWER((1+F22),'数据-取费表'!B21/2)-1)),4)</f>
        <v>5.9999999999999995E-4</v>
      </c>
      <c r="D44" s="230"/>
      <c r="E44" s="230"/>
      <c r="F44" s="231"/>
      <c r="G44" s="3345"/>
    </row>
    <row r="45" spans="1:7" s="206" customFormat="1" ht="13.5" customHeight="1">
      <c r="A45" s="731" t="s">
        <v>341</v>
      </c>
      <c r="B45" s="236" t="s">
        <v>85</v>
      </c>
      <c r="C45" s="237">
        <f>C46</f>
        <v>40</v>
      </c>
      <c r="D45" s="227">
        <f>C47</f>
        <v>3.0000000000000001E-3</v>
      </c>
      <c r="E45" s="228" t="s">
        <v>102</v>
      </c>
      <c r="F45" s="238"/>
      <c r="G45" s="239" t="s">
        <v>434</v>
      </c>
    </row>
    <row r="46" spans="1:7" s="206" customFormat="1" ht="13.5" customHeight="1">
      <c r="A46" s="734" t="s">
        <v>349</v>
      </c>
      <c r="B46" s="240" t="s">
        <v>427</v>
      </c>
      <c r="C46" s="241">
        <f>ROUND((C33+C39)*F27,0)</f>
        <v>40</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339</v>
      </c>
      <c r="D49" s="224"/>
      <c r="E49" s="224"/>
      <c r="F49" s="256"/>
      <c r="G49" s="226" t="s">
        <v>435</v>
      </c>
    </row>
    <row r="50" spans="1:7" s="250" customFormat="1" ht="24">
      <c r="A50" s="731" t="s">
        <v>344</v>
      </c>
      <c r="B50" s="202" t="s">
        <v>97</v>
      </c>
      <c r="C50" s="224"/>
      <c r="D50" s="224"/>
      <c r="E50" s="224"/>
      <c r="F50" s="256">
        <f>IF('数据-取费表'!B24=0,'数据-取费表'!N16,1)</f>
        <v>0.67</v>
      </c>
      <c r="G50" s="239" t="s">
        <v>98</v>
      </c>
    </row>
    <row r="51" spans="1:7" ht="16.5" customHeight="1">
      <c r="A51" s="731" t="s">
        <v>345</v>
      </c>
      <c r="B51" s="202" t="s">
        <v>105</v>
      </c>
      <c r="C51" s="224">
        <f ca="1">ROUND(C49*F50,0)</f>
        <v>227</v>
      </c>
      <c r="D51" s="224"/>
      <c r="E51" s="224"/>
      <c r="F51" s="256"/>
      <c r="G51" s="226" t="s">
        <v>37</v>
      </c>
    </row>
    <row r="52" spans="1:7" s="200" customFormat="1" ht="16.8" thickBot="1">
      <c r="A52" s="257" t="s">
        <v>38</v>
      </c>
      <c r="B52" s="258"/>
      <c r="C52" s="259">
        <f ca="1">C31+C51</f>
        <v>27825</v>
      </c>
      <c r="D52" s="258"/>
      <c r="E52" s="258"/>
      <c r="F52" s="258"/>
      <c r="G52" s="260"/>
    </row>
    <row r="55" spans="1:7" ht="15">
      <c r="B55" s="262" t="s">
        <v>39</v>
      </c>
      <c r="C55" s="263"/>
    </row>
    <row r="56" spans="1:7">
      <c r="B56" s="265" t="s">
        <v>40</v>
      </c>
      <c r="C56" s="266">
        <f ca="1">ROUND(C51/C52,3)</f>
        <v>8.0000000000000002E-3</v>
      </c>
    </row>
    <row r="57" spans="1:7">
      <c r="B57" s="265" t="s">
        <v>41</v>
      </c>
      <c r="C57" s="267">
        <f ca="1">1-C56</f>
        <v>0.99199999999999999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78" t="s">
        <v>3181</v>
      </c>
      <c r="B1" s="3478"/>
    </row>
    <row r="2" spans="1:7" ht="15" thickBot="1">
      <c r="A2" s="2967"/>
      <c r="B2" s="2967"/>
    </row>
    <row r="3" spans="1:7" ht="15" thickBot="1">
      <c r="A3" s="2967"/>
      <c r="B3" s="2967"/>
      <c r="C3" s="2968" t="s">
        <v>2811</v>
      </c>
      <c r="D3" s="2968" t="s">
        <v>2867</v>
      </c>
      <c r="E3" s="2968" t="s">
        <v>2813</v>
      </c>
      <c r="F3" s="2968" t="s">
        <v>2868</v>
      </c>
      <c r="G3" s="2968" t="s">
        <v>2631</v>
      </c>
    </row>
    <row r="4" spans="1:7" ht="1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2"/>
  </cols>
  <sheetData>
    <row r="1" spans="1:6">
      <c r="A1" s="3479" t="s">
        <v>3232</v>
      </c>
      <c r="B1" s="3479"/>
      <c r="C1" s="3479"/>
      <c r="D1" s="3479"/>
      <c r="E1" s="3479"/>
      <c r="F1" s="3480"/>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6">
        <f>基准地价修正!G23</f>
        <v>45786</v>
      </c>
      <c r="B1" s="2928" t="s">
        <v>3377</v>
      </c>
      <c r="C1" s="2929"/>
      <c r="D1" s="2929"/>
      <c r="E1" s="2929"/>
      <c r="F1" s="2929"/>
      <c r="G1" s="2929"/>
      <c r="H1" s="2929"/>
      <c r="I1" s="2929"/>
      <c r="J1" s="2895"/>
      <c r="K1" s="2929" t="s">
        <v>454</v>
      </c>
      <c r="L1" s="2929"/>
      <c r="M1" s="2929"/>
      <c r="N1" s="2929"/>
      <c r="O1" s="2929"/>
      <c r="P1" s="2929"/>
      <c r="Q1" s="2895"/>
      <c r="R1" s="3481" t="s">
        <v>456</v>
      </c>
      <c r="S1" s="3482"/>
      <c r="T1" s="3482"/>
      <c r="U1" s="3482"/>
      <c r="V1" s="3482"/>
      <c r="W1" s="3482"/>
      <c r="X1" s="2895"/>
      <c r="Y1" s="3481" t="s">
        <v>457</v>
      </c>
      <c r="Z1" s="3482"/>
      <c r="AA1" s="3482"/>
      <c r="AB1" s="3482"/>
      <c r="AC1" s="3482"/>
      <c r="AD1" s="3482"/>
    </row>
    <row r="2" spans="1:44" s="2010" customFormat="1" ht="1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3404</v>
      </c>
      <c r="AG2" t="s">
        <v>673</v>
      </c>
      <c r="AH2" t="s">
        <v>21</v>
      </c>
      <c r="AI2" t="s">
        <v>3405</v>
      </c>
      <c r="AJ2" t="s">
        <v>3</v>
      </c>
      <c r="AK2" t="s">
        <v>3406</v>
      </c>
      <c r="AM2" t="s">
        <v>3404</v>
      </c>
      <c r="AN2" t="s">
        <v>673</v>
      </c>
      <c r="AO2" t="s">
        <v>21</v>
      </c>
      <c r="AP2" t="s">
        <v>3405</v>
      </c>
      <c r="AQ2" t="s">
        <v>3</v>
      </c>
      <c r="AR2" t="s">
        <v>3406</v>
      </c>
    </row>
    <row r="3" spans="1:44" s="2885" customFormat="1" ht="13.2">
      <c r="A3" s="2883" t="s">
        <v>2819</v>
      </c>
      <c r="B3" s="2884"/>
      <c r="D3" s="2885">
        <f>ROUND(AVERAGEIF(D4:D24,"&lt;&gt;0"),2)</f>
        <v>0.39</v>
      </c>
      <c r="E3" s="2885">
        <f t="shared" ref="E3:H3" si="0">ROUND(AVERAGEIF(E4:E24,"&lt;&gt;0"),2)</f>
        <v>0.21</v>
      </c>
      <c r="F3" s="2885">
        <f t="shared" si="0"/>
        <v>-0.06</v>
      </c>
      <c r="G3" s="2885">
        <f t="shared" si="0"/>
        <v>0.46</v>
      </c>
      <c r="H3" s="2885">
        <f t="shared" si="0"/>
        <v>0.51</v>
      </c>
      <c r="I3" s="2885">
        <f>F3</f>
        <v>-0.06</v>
      </c>
      <c r="J3" s="2886"/>
      <c r="K3" s="2887">
        <f>ROUND(AVERAGEIF(K4:K24,"&lt;&gt;0"),4)</f>
        <v>3.8999999999999998E-3</v>
      </c>
      <c r="L3" s="2888">
        <f t="shared" ref="L3:O3" si="1">ROUND(AVERAGEIF(L4:L24,"&lt;&gt;0"),4)</f>
        <v>2.0999999999999999E-3</v>
      </c>
      <c r="M3" s="2888">
        <f t="shared" si="1"/>
        <v>-5.9999999999999995E-4</v>
      </c>
      <c r="N3" s="2888">
        <f t="shared" si="1"/>
        <v>4.5999999999999999E-3</v>
      </c>
      <c r="O3" s="2888">
        <f t="shared" si="1"/>
        <v>5.1000000000000004E-3</v>
      </c>
      <c r="P3" s="2888">
        <f>M3</f>
        <v>-5.9999999999999995E-4</v>
      </c>
      <c r="Q3" s="2886"/>
      <c r="R3" s="2889">
        <f>ROUND(SUMPRODUCT(PRODUCT(1+K4:K24)),4)</f>
        <v>1.0674999999999999</v>
      </c>
      <c r="S3" s="2890">
        <f t="shared" ref="S3:V3" si="2">ROUND(SUMPRODUCT(PRODUCT(1+L4:L24)),4)</f>
        <v>1.0355000000000001</v>
      </c>
      <c r="T3" s="2890">
        <f t="shared" si="2"/>
        <v>0.98880000000000001</v>
      </c>
      <c r="U3" s="2890">
        <f t="shared" si="2"/>
        <v>1.0798000000000001</v>
      </c>
      <c r="V3" s="2890">
        <f t="shared" si="2"/>
        <v>1.0911</v>
      </c>
      <c r="W3" s="2889">
        <f>T3</f>
        <v>0.98880000000000001</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3403</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105.72</v>
      </c>
      <c r="AG5" s="3152">
        <f t="shared" ref="AG5:AK5" si="18">$AF$24*S5</f>
        <v>103.39</v>
      </c>
      <c r="AH5" s="3152">
        <f t="shared" si="18"/>
        <v>99.13</v>
      </c>
      <c r="AI5" s="3152">
        <f t="shared" si="18"/>
        <v>106.79</v>
      </c>
      <c r="AJ5" s="3152">
        <f t="shared" si="18"/>
        <v>108.72</v>
      </c>
      <c r="AK5" s="3152">
        <f t="shared" si="18"/>
        <v>99.13</v>
      </c>
      <c r="AM5" s="3158">
        <v>100</v>
      </c>
      <c r="AN5" s="3158">
        <v>100</v>
      </c>
      <c r="AO5" s="3158">
        <v>100</v>
      </c>
      <c r="AP5" s="3158">
        <v>100</v>
      </c>
      <c r="AQ5" s="3158">
        <v>100</v>
      </c>
      <c r="AR5" s="3158">
        <v>100</v>
      </c>
    </row>
    <row r="6" spans="1:44" s="2045" customFormat="1" ht="13.2">
      <c r="A6" s="2040" t="s">
        <v>3402</v>
      </c>
      <c r="B6" s="2031">
        <v>2025</v>
      </c>
      <c r="C6" s="2042">
        <v>3</v>
      </c>
      <c r="D6" s="2007">
        <v>0</v>
      </c>
      <c r="E6" s="2007">
        <v>0</v>
      </c>
      <c r="F6" s="2007">
        <v>0</v>
      </c>
      <c r="G6" s="2007">
        <v>0</v>
      </c>
      <c r="H6" s="2007">
        <v>0</v>
      </c>
      <c r="I6" s="2008">
        <f t="shared" ref="I6" si="19">F6</f>
        <v>0</v>
      </c>
      <c r="J6" s="2905"/>
      <c r="K6" s="2043">
        <f t="shared" ref="K6" si="20">D6/100</f>
        <v>0</v>
      </c>
      <c r="L6" s="2028">
        <f t="shared" ref="L6" si="21">E6/100</f>
        <v>0</v>
      </c>
      <c r="M6" s="2028">
        <f t="shared" ref="M6" si="22">F6/100</f>
        <v>0</v>
      </c>
      <c r="N6" s="2028">
        <f t="shared" ref="N6" si="23">G6/100</f>
        <v>0</v>
      </c>
      <c r="O6" s="2028">
        <f t="shared" ref="O6" si="24">H6/100</f>
        <v>0</v>
      </c>
      <c r="P6" s="2028">
        <f t="shared" si="10"/>
        <v>0</v>
      </c>
      <c r="Q6" s="2905"/>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5"/>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2">
        <f t="shared" ref="AF6:AF23" si="30">$AF$24*R6</f>
        <v>105.72</v>
      </c>
      <c r="AG6" s="3152">
        <f t="shared" ref="AG6:AG23" si="31">$AF$24*S6</f>
        <v>103.39</v>
      </c>
      <c r="AH6" s="3152">
        <f t="shared" ref="AH6:AH23" si="32">$AF$24*T6</f>
        <v>99.13</v>
      </c>
      <c r="AI6" s="3152">
        <f t="shared" ref="AI6:AI23" si="33">$AF$24*U6</f>
        <v>106.79</v>
      </c>
      <c r="AJ6" s="3152">
        <f t="shared" ref="AJ6:AJ23" si="34">$AF$24*V6</f>
        <v>108.72</v>
      </c>
      <c r="AK6" s="3152">
        <f t="shared" ref="AK6:AK23" si="35">$AF$24*W6</f>
        <v>99.13</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3.2">
      <c r="A7" s="2906" t="s">
        <v>3401</v>
      </c>
      <c r="B7" s="2907">
        <v>2025</v>
      </c>
      <c r="C7" s="2908">
        <v>2</v>
      </c>
      <c r="D7" s="2909">
        <v>0</v>
      </c>
      <c r="E7" s="2909">
        <v>0</v>
      </c>
      <c r="F7" s="2909">
        <v>0</v>
      </c>
      <c r="G7" s="2909">
        <v>0</v>
      </c>
      <c r="H7" s="2910">
        <v>0</v>
      </c>
      <c r="I7" s="2911">
        <f t="shared" ref="I7" si="37">F7</f>
        <v>0</v>
      </c>
      <c r="J7" s="2912"/>
      <c r="K7" s="2913">
        <f t="shared" ref="K7" si="38">D7/100</f>
        <v>0</v>
      </c>
      <c r="L7" s="2914">
        <f t="shared" ref="L7" si="39">E7/100</f>
        <v>0</v>
      </c>
      <c r="M7" s="2914">
        <f t="shared" ref="M7" si="40">F7/100</f>
        <v>0</v>
      </c>
      <c r="N7" s="2914">
        <f t="shared" ref="N7" si="41">G7/100</f>
        <v>0</v>
      </c>
      <c r="O7" s="2914">
        <f t="shared" ref="O7" si="42">H7/100</f>
        <v>0</v>
      </c>
      <c r="P7" s="2914">
        <f t="shared" si="10"/>
        <v>0</v>
      </c>
      <c r="Q7" s="2912"/>
      <c r="R7" s="2912">
        <f>ROUND(IF(项目基本情况!$B$8="出让",SUMPRODUCT(PRODUCT(1+K7:$K$24)),SUMPRODUCT(PRODUCT(1+K7:$K$23))),4)</f>
        <v>1.0571999999999999</v>
      </c>
      <c r="S7" s="2912">
        <f>ROUND(IF(项目基本情况!$B$8="出让",SUMPRODUCT(PRODUCT(1+L7:$L$24)),SUMPRODUCT(PRODUCT(1+L7:$L$23))),4)</f>
        <v>1.0339</v>
      </c>
      <c r="T7" s="2912">
        <f>ROUND(IF(项目基本情况!$B$8="出让",SUMPRODUCT(PRODUCT(1+M7:$M$24)),SUMPRODUCT(PRODUCT(1+M7:$M$23))),4)</f>
        <v>0.99129999999999996</v>
      </c>
      <c r="U7" s="2912">
        <f>ROUND(IF(项目基本情况!$B$8="出让",SUMPRODUCT(PRODUCT(1+N7:$N$24)),SUMPRODUCT(PRODUCT(1+N7:$N$23))),4)</f>
        <v>1.0679000000000001</v>
      </c>
      <c r="V7" s="2912">
        <f>ROUND(IF(项目基本情况!$B$8="出让",SUMPRODUCT(PRODUCT(1+O7:$O$24)),SUMPRODUCT(PRODUCT(1+O7:$O$23))),4)</f>
        <v>1.0871999999999999</v>
      </c>
      <c r="W7" s="2912">
        <f t="shared" si="11"/>
        <v>0.99129999999999996</v>
      </c>
      <c r="X7" s="2912"/>
      <c r="Y7" s="2914">
        <f t="shared" si="12"/>
        <v>0</v>
      </c>
      <c r="Z7" s="2914">
        <f t="shared" ref="Z7" si="43">IF(E7=0,0,ROUND(AVERAGE(E7:E20)/100,4))</f>
        <v>0</v>
      </c>
      <c r="AA7" s="2914">
        <f t="shared" ref="AA7" si="44">IF(F7=0,0,ROUND(AVERAGE(F7:F20)/100,4))</f>
        <v>0</v>
      </c>
      <c r="AB7" s="2914">
        <f t="shared" ref="AB7" si="45">IF(G7=0,0,ROUND(AVERAGE(G7:G20)/100,4))</f>
        <v>0</v>
      </c>
      <c r="AC7" s="2914">
        <f t="shared" ref="AC7" si="46">IF(H7=0,0,ROUND(AVERAGE(H7:H20)/100,4))</f>
        <v>0</v>
      </c>
      <c r="AD7" s="2914">
        <f t="shared" ref="AD7" si="47">AA7</f>
        <v>0</v>
      </c>
      <c r="AF7" s="3153">
        <f t="shared" si="30"/>
        <v>105.72</v>
      </c>
      <c r="AG7" s="3153">
        <f t="shared" si="31"/>
        <v>103.39</v>
      </c>
      <c r="AH7" s="3153">
        <f t="shared" si="32"/>
        <v>99.13</v>
      </c>
      <c r="AI7" s="3153">
        <f t="shared" si="33"/>
        <v>106.79</v>
      </c>
      <c r="AJ7" s="3153">
        <f t="shared" si="34"/>
        <v>108.72</v>
      </c>
      <c r="AK7" s="3153">
        <f t="shared" si="35"/>
        <v>99.13</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5" customFormat="1" ht="13.2">
      <c r="A8" s="2040" t="s">
        <v>3409</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v>
      </c>
      <c r="AN8" s="3152">
        <f t="shared" si="49"/>
        <v>100</v>
      </c>
      <c r="AO8" s="3152">
        <f t="shared" si="50"/>
        <v>100</v>
      </c>
      <c r="AP8" s="3152">
        <f t="shared" si="51"/>
        <v>100</v>
      </c>
      <c r="AQ8" s="3152">
        <f t="shared" si="52"/>
        <v>100</v>
      </c>
      <c r="AR8" s="3152">
        <f t="shared" si="53"/>
        <v>100</v>
      </c>
    </row>
    <row r="9" spans="1:44" s="2045" customFormat="1" ht="13.2">
      <c r="A9" s="2040" t="s">
        <v>3408</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99.433230585661718</v>
      </c>
      <c r="AN9" s="3152">
        <f t="shared" si="49"/>
        <v>100.57326762546515</v>
      </c>
      <c r="AO9" s="3152">
        <f t="shared" si="50"/>
        <v>100.90817356205852</v>
      </c>
      <c r="AP9" s="3152">
        <f t="shared" si="51"/>
        <v>98.892405063291136</v>
      </c>
      <c r="AQ9" s="3152">
        <f t="shared" si="52"/>
        <v>99.581756622186816</v>
      </c>
      <c r="AR9" s="3152">
        <f t="shared" si="53"/>
        <v>100.90817356205852</v>
      </c>
    </row>
    <row r="10" spans="1:44" s="2045" customFormat="1" ht="13.2">
      <c r="A10" s="2040" t="s">
        <v>3381</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100.45790117767399</v>
      </c>
      <c r="AN10" s="3152">
        <f t="shared" si="49"/>
        <v>101.05834769439826</v>
      </c>
      <c r="AO10" s="3152">
        <f t="shared" si="50"/>
        <v>101.670703840865</v>
      </c>
      <c r="AP10" s="3152">
        <f t="shared" si="51"/>
        <v>99.941793899233076</v>
      </c>
      <c r="AQ10" s="3152">
        <f t="shared" si="52"/>
        <v>99.502154898268216</v>
      </c>
      <c r="AR10" s="3152">
        <f t="shared" si="53"/>
        <v>101.670703840865</v>
      </c>
    </row>
    <row r="11" spans="1:44" s="2045" customFormat="1" ht="13.2">
      <c r="A11" s="2904" t="s">
        <v>3375</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101.66774737139357</v>
      </c>
      <c r="AN11" s="3152">
        <f t="shared" si="49"/>
        <v>101.53556484918946</v>
      </c>
      <c r="AO11" s="3152">
        <f t="shared" si="50"/>
        <v>101.9664064194815</v>
      </c>
      <c r="AP11" s="3152">
        <f t="shared" si="51"/>
        <v>100.68687678746028</v>
      </c>
      <c r="AQ11" s="3152">
        <f t="shared" si="52"/>
        <v>99.711549151486338</v>
      </c>
      <c r="AR11" s="3152">
        <f t="shared" si="53"/>
        <v>101.9664064194815</v>
      </c>
    </row>
    <row r="12" spans="1:44" s="2045" customFormat="1" ht="13.2">
      <c r="A12" s="2904" t="s">
        <v>3374</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102.27114713951673</v>
      </c>
      <c r="AN12" s="3152">
        <f t="shared" si="49"/>
        <v>101.74923824951344</v>
      </c>
      <c r="AO12" s="3152">
        <f t="shared" si="50"/>
        <v>103.3932330353696</v>
      </c>
      <c r="AP12" s="3152">
        <f t="shared" si="51"/>
        <v>101.95107005615662</v>
      </c>
      <c r="AQ12" s="3152">
        <f t="shared" si="52"/>
        <v>99.373678644096401</v>
      </c>
      <c r="AR12" s="3152">
        <f t="shared" si="53"/>
        <v>103.3932330353696</v>
      </c>
    </row>
    <row r="13" spans="1:44" s="2045" customFormat="1" ht="13.2">
      <c r="A13" s="2904" t="s">
        <v>3370</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102.18939562301833</v>
      </c>
      <c r="AN13" s="3152">
        <f t="shared" si="49"/>
        <v>101.28333490893236</v>
      </c>
      <c r="AO13" s="3152">
        <f t="shared" si="50"/>
        <v>103.55892731908014</v>
      </c>
      <c r="AP13" s="3152">
        <f t="shared" si="51"/>
        <v>101.68668467599903</v>
      </c>
      <c r="AQ13" s="3152">
        <f t="shared" si="52"/>
        <v>98.79081284829148</v>
      </c>
      <c r="AR13" s="3152">
        <f t="shared" si="53"/>
        <v>103.55892731908014</v>
      </c>
    </row>
    <row r="14" spans="1:44" s="2045" customFormat="1" ht="13.2">
      <c r="A14" s="2904" t="s">
        <v>3369</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101.99560397546495</v>
      </c>
      <c r="AN14" s="3152">
        <f t="shared" si="49"/>
        <v>101.04083690037147</v>
      </c>
      <c r="AO14" s="3152">
        <f t="shared" si="50"/>
        <v>103.72488713850174</v>
      </c>
      <c r="AP14" s="3152">
        <f t="shared" si="51"/>
        <v>101.51411068782971</v>
      </c>
      <c r="AQ14" s="3152">
        <f t="shared" si="52"/>
        <v>98.191842608380355</v>
      </c>
      <c r="AR14" s="3152">
        <f t="shared" si="53"/>
        <v>103.72488713850174</v>
      </c>
    </row>
    <row r="15" spans="1:44" s="2045" customFormat="1" ht="13.2">
      <c r="A15" s="2904" t="s">
        <v>3367</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101.74125084834409</v>
      </c>
      <c r="AN15" s="3152">
        <f t="shared" si="49"/>
        <v>100.53814616952387</v>
      </c>
      <c r="AO15" s="3152">
        <f t="shared" si="50"/>
        <v>103.40433370401927</v>
      </c>
      <c r="AP15" s="3152">
        <f t="shared" si="51"/>
        <v>101.30137779446135</v>
      </c>
      <c r="AQ15" s="3152">
        <f t="shared" si="52"/>
        <v>97.771425478821428</v>
      </c>
      <c r="AR15" s="3152">
        <f t="shared" si="53"/>
        <v>103.40433370401927</v>
      </c>
    </row>
    <row r="16" spans="1:44" s="2045" customFormat="1" ht="13.2">
      <c r="A16" s="2904" t="s">
        <v>3366</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100.82375468074926</v>
      </c>
      <c r="AN16" s="3152">
        <f t="shared" si="49"/>
        <v>99.878945131654959</v>
      </c>
      <c r="AO16" s="3152">
        <f t="shared" si="50"/>
        <v>102.92060685181573</v>
      </c>
      <c r="AP16" s="3152">
        <f t="shared" si="51"/>
        <v>100.33813172985474</v>
      </c>
      <c r="AQ16" s="3152">
        <f t="shared" si="52"/>
        <v>97.082142268713554</v>
      </c>
      <c r="AR16" s="3152">
        <f t="shared" si="53"/>
        <v>102.92060685181573</v>
      </c>
    </row>
    <row r="17" spans="1:44" s="2045" customFormat="1" ht="13.2">
      <c r="A17" s="2904" t="s">
        <v>3365</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99.934339063087791</v>
      </c>
      <c r="AN17" s="3152">
        <f t="shared" si="49"/>
        <v>99.145270132673176</v>
      </c>
      <c r="AO17" s="3152">
        <f t="shared" si="50"/>
        <v>102.3372843311283</v>
      </c>
      <c r="AP17" s="3152">
        <f t="shared" si="51"/>
        <v>99.423436117573061</v>
      </c>
      <c r="AQ17" s="3152">
        <f t="shared" si="52"/>
        <v>96.599146536033402</v>
      </c>
      <c r="AR17" s="3152">
        <f t="shared" si="53"/>
        <v>102.3372843311283</v>
      </c>
    </row>
    <row r="18" spans="1:44" s="2045" customFormat="1" ht="13.2">
      <c r="A18" s="2904" t="s">
        <v>3363</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99.318563966495518</v>
      </c>
      <c r="AN18" s="3152">
        <f t="shared" si="49"/>
        <v>98.947375381909353</v>
      </c>
      <c r="AO18" s="3152">
        <f t="shared" si="50"/>
        <v>102.22483701041683</v>
      </c>
      <c r="AP18" s="3152">
        <f t="shared" si="51"/>
        <v>98.742115520481747</v>
      </c>
      <c r="AQ18" s="3152">
        <f t="shared" si="52"/>
        <v>96.089870223847001</v>
      </c>
      <c r="AR18" s="3152">
        <f t="shared" si="53"/>
        <v>102.22483701041683</v>
      </c>
    </row>
    <row r="19" spans="1:44" s="2045" customFormat="1" ht="13.2">
      <c r="A19" s="2904" t="s">
        <v>3354</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98.667359394491882</v>
      </c>
      <c r="AN19" s="3152">
        <f t="shared" si="49"/>
        <v>98.631753769845844</v>
      </c>
      <c r="AO19" s="3152">
        <f t="shared" si="50"/>
        <v>101.99025941376517</v>
      </c>
      <c r="AP19" s="3152">
        <f t="shared" si="51"/>
        <v>98.036254488166932</v>
      </c>
      <c r="AQ19" s="3152">
        <f t="shared" si="52"/>
        <v>95.488293971824504</v>
      </c>
      <c r="AR19" s="3152">
        <f t="shared" si="53"/>
        <v>101.99025941376517</v>
      </c>
    </row>
    <row r="20" spans="1:44" s="2045" customFormat="1" ht="13.2">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97.758208059538163</v>
      </c>
      <c r="AN20" s="3152">
        <f t="shared" si="49"/>
        <v>98.484027728253452</v>
      </c>
      <c r="AO20" s="3152">
        <f t="shared" si="50"/>
        <v>101.98006140762442</v>
      </c>
      <c r="AP20" s="3152">
        <f t="shared" si="51"/>
        <v>97.017570003134026</v>
      </c>
      <c r="AQ20" s="3152">
        <f t="shared" si="52"/>
        <v>94.468039149015155</v>
      </c>
      <c r="AR20" s="3152">
        <f t="shared" si="53"/>
        <v>101.98006140762442</v>
      </c>
    </row>
    <row r="21" spans="1:44" s="2045" customFormat="1" ht="13.2">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96.895835126908679</v>
      </c>
      <c r="AN21" s="3152">
        <f t="shared" si="49"/>
        <v>98.0525963045136</v>
      </c>
      <c r="AO21" s="3152">
        <f t="shared" si="50"/>
        <v>101.60412614090308</v>
      </c>
      <c r="AP21" s="3152">
        <f t="shared" si="51"/>
        <v>96.095057451598677</v>
      </c>
      <c r="AQ21" s="3152">
        <f t="shared" si="52"/>
        <v>93.867288502598527</v>
      </c>
      <c r="AR21" s="3152">
        <f t="shared" si="53"/>
        <v>101.60412614090308</v>
      </c>
    </row>
    <row r="22" spans="1:44" s="2045" customFormat="1" ht="13.2">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95.907982903007706</v>
      </c>
      <c r="AN22" s="3152">
        <f t="shared" si="49"/>
        <v>97.81783350410376</v>
      </c>
      <c r="AO22" s="3152">
        <f t="shared" si="50"/>
        <v>101.53305300380042</v>
      </c>
      <c r="AP22" s="3152">
        <f t="shared" si="51"/>
        <v>94.983747604624568</v>
      </c>
      <c r="AQ22" s="3152">
        <f t="shared" si="52"/>
        <v>93.353842369565911</v>
      </c>
      <c r="AR22" s="3152">
        <f t="shared" si="53"/>
        <v>101.53305300380042</v>
      </c>
    </row>
    <row r="23" spans="1:44" s="2045" customFormat="1" ht="13.2">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95.459324079832498</v>
      </c>
      <c r="AN23" s="3152">
        <f t="shared" si="49"/>
        <v>97.418417990343357</v>
      </c>
      <c r="AO23" s="3152">
        <f t="shared" si="50"/>
        <v>101.28995710674424</v>
      </c>
      <c r="AP23" s="3152">
        <f t="shared" si="51"/>
        <v>94.530003587405034</v>
      </c>
      <c r="AQ23" s="3152">
        <f t="shared" si="52"/>
        <v>92.907884523851436</v>
      </c>
      <c r="AR23" s="3152">
        <f t="shared" si="53"/>
        <v>101.28995710674424</v>
      </c>
    </row>
    <row r="24" spans="1:44" s="2927" customFormat="1" ht="1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94.589104320087685</v>
      </c>
      <c r="AN24" s="3159">
        <f t="shared" si="49"/>
        <v>96.722019450301175</v>
      </c>
      <c r="AO24" s="3159">
        <f t="shared" si="50"/>
        <v>100.87636401428567</v>
      </c>
      <c r="AP24" s="3159">
        <f t="shared" si="51"/>
        <v>93.640419601193685</v>
      </c>
      <c r="AQ24" s="3159">
        <f t="shared" si="52"/>
        <v>91.978897657510586</v>
      </c>
      <c r="AR24" s="3159">
        <f t="shared" si="53"/>
        <v>100.87636401428567</v>
      </c>
    </row>
    <row r="25" spans="1:44" ht="15" thickTop="1"/>
    <row r="26" spans="1:44">
      <c r="A26" s="3142" t="s">
        <v>3380</v>
      </c>
    </row>
    <row r="27" spans="1:44">
      <c r="I27" s="1405" t="s">
        <v>2825</v>
      </c>
    </row>
    <row r="29" spans="1:44" s="2009" customFormat="1" ht="13.2">
      <c r="B29" s="2928" t="s">
        <v>3378</v>
      </c>
      <c r="C29" s="2929"/>
      <c r="D29" s="2929"/>
      <c r="E29" s="2929"/>
      <c r="F29" s="2929"/>
      <c r="G29" s="2929"/>
      <c r="H29" s="2929"/>
      <c r="I29" s="2929"/>
      <c r="J29" s="2895"/>
      <c r="K29" s="2929" t="s">
        <v>2826</v>
      </c>
      <c r="L29" s="2929"/>
      <c r="M29" s="2929"/>
      <c r="N29" s="2929"/>
      <c r="O29" s="2929"/>
      <c r="P29" s="2929"/>
      <c r="Q29" s="2895"/>
      <c r="R29" s="3481" t="s">
        <v>2827</v>
      </c>
      <c r="S29" s="3482"/>
      <c r="T29" s="3482"/>
      <c r="U29" s="3482"/>
      <c r="V29" s="3482"/>
      <c r="W29" s="3482"/>
      <c r="X29" s="2895"/>
      <c r="Y29" s="3481" t="s">
        <v>2828</v>
      </c>
      <c r="Z29" s="3482"/>
      <c r="AA29" s="3482"/>
      <c r="AB29" s="3482"/>
      <c r="AC29" s="3482"/>
      <c r="AD29" s="3482"/>
    </row>
    <row r="30" spans="1:44" s="2010" customFormat="1" ht="1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3405</v>
      </c>
      <c r="AJ30"/>
      <c r="AK30" t="s">
        <v>3406</v>
      </c>
      <c r="AN30" t="s">
        <v>673</v>
      </c>
      <c r="AO30" t="s">
        <v>21</v>
      </c>
      <c r="AP30" t="s">
        <v>3405</v>
      </c>
      <c r="AQ30"/>
      <c r="AR30" t="s">
        <v>3406</v>
      </c>
    </row>
    <row r="31" spans="1:44" s="2885" customFormat="1" ht="13.2">
      <c r="A31" s="2883" t="s">
        <v>2834</v>
      </c>
      <c r="B31" s="2884"/>
      <c r="E31" s="2885">
        <f t="shared" ref="E31:G31" si="115">ROUND(AVERAGEIF(E32:E52,"&lt;&gt;0"),2)</f>
        <v>0.11</v>
      </c>
      <c r="F31" s="2885">
        <f t="shared" si="115"/>
        <v>7.0000000000000007E-2</v>
      </c>
      <c r="G31" s="2885">
        <f t="shared" si="115"/>
        <v>0.26</v>
      </c>
      <c r="I31" s="2885">
        <f>F31</f>
        <v>7.0000000000000007E-2</v>
      </c>
      <c r="J31" s="2886"/>
      <c r="K31" s="2887"/>
      <c r="L31" s="2888">
        <f t="shared" ref="L31:N31" si="116">ROUND(AVERAGEIF(L32:L52,"&lt;&gt;0"),4)</f>
        <v>1.1000000000000001E-3</v>
      </c>
      <c r="M31" s="2888">
        <f t="shared" si="116"/>
        <v>6.9999999999999999E-4</v>
      </c>
      <c r="N31" s="2888">
        <f t="shared" si="116"/>
        <v>2.5999999999999999E-3</v>
      </c>
      <c r="O31" s="2888"/>
      <c r="P31" s="2888">
        <f>M31</f>
        <v>6.9999999999999999E-4</v>
      </c>
      <c r="Q31" s="2886"/>
      <c r="R31" s="2889"/>
      <c r="S31" s="2890">
        <f>ROUND(SUMPRODUCT(PRODUCT(1+L32:L52)),4)</f>
        <v>1.0185</v>
      </c>
      <c r="T31" s="2890">
        <f t="shared" ref="T31:U31" si="117">ROUND(SUMPRODUCT(PRODUCT(1+M32:M52)),4)</f>
        <v>1.012</v>
      </c>
      <c r="U31" s="2890">
        <f t="shared" si="117"/>
        <v>1.0436000000000001</v>
      </c>
      <c r="V31" s="2890"/>
      <c r="W31" s="2889">
        <f>T31</f>
        <v>1.012</v>
      </c>
      <c r="X31" s="2886"/>
      <c r="Y31" s="2891"/>
      <c r="Z31" s="2892">
        <f t="shared" ref="Z31:AB31" si="118">ROUND(AVERAGEIF(Z32:Z52,"&lt;&gt;0"),4)</f>
        <v>3.5999999999999999E-3</v>
      </c>
      <c r="AA31" s="2893">
        <f t="shared" si="118"/>
        <v>3.0000000000000001E-3</v>
      </c>
      <c r="AB31" s="2891">
        <f t="shared" si="118"/>
        <v>7.0000000000000001E-3</v>
      </c>
      <c r="AC31" s="2894"/>
      <c r="AD31" s="2891">
        <f>AA31</f>
        <v>3.0000000000000001E-3</v>
      </c>
    </row>
    <row r="32" spans="1:44" s="2009" customFormat="1" ht="13.2">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3403</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101.49</v>
      </c>
      <c r="AH33" s="3152">
        <f t="shared" ref="AH33:AH50" si="130">$AG$52*T33</f>
        <v>100.72000000000001</v>
      </c>
      <c r="AI33" s="3152">
        <f t="shared" ref="AI33:AI50" si="131">$AG$52*U33</f>
        <v>103.35000000000001</v>
      </c>
      <c r="AJ33" s="3154"/>
      <c r="AK33" s="3152">
        <f t="shared" ref="AK33:AK50" si="132">$AG$52*W33</f>
        <v>100.72000000000001</v>
      </c>
      <c r="AN33" s="3157">
        <v>100</v>
      </c>
      <c r="AO33" s="3157">
        <v>100</v>
      </c>
      <c r="AP33" s="3157">
        <v>100</v>
      </c>
      <c r="AQ33" s="3157"/>
      <c r="AR33" s="3157">
        <v>100</v>
      </c>
    </row>
    <row r="34" spans="1:44" s="2045" customFormat="1" ht="13.2">
      <c r="A34" s="2040" t="s">
        <v>3402</v>
      </c>
      <c r="B34" s="2031">
        <v>2025</v>
      </c>
      <c r="C34" s="2042">
        <v>3</v>
      </c>
      <c r="D34" s="2007"/>
      <c r="E34" s="2007">
        <v>0</v>
      </c>
      <c r="F34" s="2007">
        <v>0</v>
      </c>
      <c r="G34" s="2007">
        <v>0</v>
      </c>
      <c r="H34" s="2007"/>
      <c r="I34" s="2008">
        <f t="shared" ref="I34" si="133">F34</f>
        <v>0</v>
      </c>
      <c r="J34" s="2905"/>
      <c r="K34" s="2043"/>
      <c r="L34" s="2028">
        <f t="shared" ref="L34" si="134">E34/100</f>
        <v>0</v>
      </c>
      <c r="M34" s="2028">
        <f t="shared" ref="M34" si="135">F34/100</f>
        <v>0</v>
      </c>
      <c r="N34" s="2028">
        <f t="shared" ref="N34" si="136">G34/100</f>
        <v>0</v>
      </c>
      <c r="O34" s="2028"/>
      <c r="P34" s="2028">
        <f t="shared" si="123"/>
        <v>0</v>
      </c>
      <c r="Q34" s="2905"/>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5"/>
      <c r="Y34" s="2028"/>
      <c r="Z34" s="2901">
        <f t="shared" ref="Z34" si="137">IF(E34=0,0,ROUND(AVERAGE(E34:E47)/100,4))</f>
        <v>0</v>
      </c>
      <c r="AA34" s="2901">
        <f t="shared" ref="AA34" si="138">IF(F34=0,0,ROUND(AVERAGE(F34:F47)/100,4))</f>
        <v>0</v>
      </c>
      <c r="AB34" s="2901">
        <f t="shared" ref="AB34" si="139">IF(G34=0,0,ROUND(AVERAGE(G34:G47)/100,4))</f>
        <v>0</v>
      </c>
      <c r="AC34" s="2903"/>
      <c r="AD34" s="2028">
        <f t="shared" si="128"/>
        <v>0</v>
      </c>
      <c r="AG34" s="3152">
        <f t="shared" si="129"/>
        <v>101.49</v>
      </c>
      <c r="AH34" s="3152">
        <f t="shared" si="130"/>
        <v>100.72000000000001</v>
      </c>
      <c r="AI34" s="3152">
        <f t="shared" si="131"/>
        <v>103.35000000000001</v>
      </c>
      <c r="AJ34" s="3154"/>
      <c r="AK34" s="3152">
        <f t="shared" si="132"/>
        <v>100.72000000000001</v>
      </c>
      <c r="AN34" s="3152">
        <f>AN33/(1+E33/100)</f>
        <v>100</v>
      </c>
      <c r="AO34" s="3152">
        <f t="shared" ref="AO34:AR34" si="140">AO33/(1+F33/100)</f>
        <v>100</v>
      </c>
      <c r="AP34" s="3152">
        <f t="shared" si="140"/>
        <v>100</v>
      </c>
      <c r="AQ34" s="3152"/>
      <c r="AR34" s="3152">
        <f t="shared" si="140"/>
        <v>100</v>
      </c>
    </row>
    <row r="35" spans="1:44" s="2915" customFormat="1" ht="13.2">
      <c r="A35" s="2906" t="s">
        <v>3410</v>
      </c>
      <c r="B35" s="2907">
        <v>2025</v>
      </c>
      <c r="C35" s="2908">
        <v>2</v>
      </c>
      <c r="D35" s="2909"/>
      <c r="E35" s="2909">
        <v>0</v>
      </c>
      <c r="F35" s="2909">
        <v>0</v>
      </c>
      <c r="G35" s="2909">
        <v>0</v>
      </c>
      <c r="H35" s="2910"/>
      <c r="I35" s="2911">
        <f t="shared" ref="I35" si="141">F35</f>
        <v>0</v>
      </c>
      <c r="J35" s="2912"/>
      <c r="K35" s="2913"/>
      <c r="L35" s="2914">
        <f t="shared" ref="L35" si="142">E35/100</f>
        <v>0</v>
      </c>
      <c r="M35" s="2914">
        <f t="shared" ref="M35" si="143">F35/100</f>
        <v>0</v>
      </c>
      <c r="N35" s="2914">
        <f t="shared" ref="N35" si="144">G35/100</f>
        <v>0</v>
      </c>
      <c r="O35" s="2914"/>
      <c r="P35" s="2914">
        <f t="shared" si="123"/>
        <v>0</v>
      </c>
      <c r="Q35" s="2912"/>
      <c r="R35" s="2912"/>
      <c r="S35" s="2912">
        <f>ROUND(IF(项目基本情况!$B$8="出让",SUMPRODUCT(PRODUCT(1+L35:L$52)),SUMPRODUCT(PRODUCT(1+L35:L$51))),4)</f>
        <v>1.0148999999999999</v>
      </c>
      <c r="T35" s="2912">
        <f>ROUND(IF(项目基本情况!$B$8="出让",SUMPRODUCT(PRODUCT(1+M35:M$52)),SUMPRODUCT(PRODUCT(1+M35:M$51))),4)</f>
        <v>1.0072000000000001</v>
      </c>
      <c r="U35" s="2912">
        <f>ROUND(IF(项目基本情况!$B$8="出让",SUMPRODUCT(PRODUCT(1+N35:N$52)),SUMPRODUCT(PRODUCT(1+N35:N$51))),4)</f>
        <v>1.0335000000000001</v>
      </c>
      <c r="V35" s="2912"/>
      <c r="W35" s="2912">
        <f t="shared" si="124"/>
        <v>1.0072000000000001</v>
      </c>
      <c r="X35" s="2912"/>
      <c r="Y35" s="2914"/>
      <c r="Z35" s="2930">
        <f t="shared" ref="Z35" si="145">IF(E35=0,0,ROUND(AVERAGE(E35:E48)/100,4))</f>
        <v>0</v>
      </c>
      <c r="AA35" s="2931">
        <f t="shared" ref="AA35" si="146">IF(F35=0,0,ROUND(AVERAGE(F35:F48)/100,4))</f>
        <v>0</v>
      </c>
      <c r="AB35" s="2914">
        <f t="shared" ref="AB35" si="147">IF(G35=0,0,ROUND(AVERAGE(G35:G48)/100,4))</f>
        <v>0</v>
      </c>
      <c r="AC35" s="2932"/>
      <c r="AD35" s="2914">
        <f t="shared" si="128"/>
        <v>0</v>
      </c>
      <c r="AG35" s="3153">
        <f t="shared" si="129"/>
        <v>101.49</v>
      </c>
      <c r="AH35" s="3153">
        <f t="shared" si="130"/>
        <v>100.72000000000001</v>
      </c>
      <c r="AI35" s="3153">
        <f t="shared" si="131"/>
        <v>103.35000000000001</v>
      </c>
      <c r="AJ35" s="3155"/>
      <c r="AK35" s="3153">
        <f t="shared" si="132"/>
        <v>100.72000000000001</v>
      </c>
      <c r="AN35" s="3153">
        <f t="shared" ref="AN35:AN52" si="148">AN34/(1+E34/100)</f>
        <v>100</v>
      </c>
      <c r="AO35" s="3153">
        <f t="shared" ref="AO35" si="149">AO34/(1+F34/100)</f>
        <v>100</v>
      </c>
      <c r="AP35" s="3153">
        <f t="shared" ref="AP35" si="150">AP34/(1+G34/100)</f>
        <v>100</v>
      </c>
      <c r="AQ35" s="3153"/>
      <c r="AR35" s="3153">
        <f t="shared" ref="AR35" si="151">AR34/(1+I34/100)</f>
        <v>100</v>
      </c>
    </row>
    <row r="36" spans="1:44" s="2045" customFormat="1" ht="13.2">
      <c r="A36" s="2040" t="s">
        <v>3407</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100</v>
      </c>
      <c r="AO36" s="3152">
        <f t="shared" ref="AO36:AO52" si="159">AO35/(1+F35/100)</f>
        <v>100</v>
      </c>
      <c r="AP36" s="3152">
        <f t="shared" ref="AP36:AP52" si="160">AP35/(1+G35/100)</f>
        <v>100</v>
      </c>
      <c r="AQ36" s="3152"/>
      <c r="AR36" s="3152">
        <f t="shared" ref="AR36:AR52" si="161">AR35/(1+I35/100)</f>
        <v>100</v>
      </c>
    </row>
    <row r="37" spans="1:44" s="2045" customFormat="1" ht="13.2">
      <c r="A37" s="2040" t="s">
        <v>3408</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101.49193139145439</v>
      </c>
      <c r="AO37" s="3152">
        <f t="shared" si="159"/>
        <v>100.98969905069683</v>
      </c>
      <c r="AP37" s="3152">
        <f t="shared" si="160"/>
        <v>100.51261433309881</v>
      </c>
      <c r="AQ37" s="3152"/>
      <c r="AR37" s="3152">
        <f t="shared" si="161"/>
        <v>100.98969905069683</v>
      </c>
    </row>
    <row r="38" spans="1:44" s="2045" customFormat="1" ht="13.2">
      <c r="A38" s="2040" t="s">
        <v>3372</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102.11483186583598</v>
      </c>
      <c r="AO38" s="3152">
        <f t="shared" si="159"/>
        <v>101.71185320847701</v>
      </c>
      <c r="AP38" s="3152">
        <f t="shared" si="160"/>
        <v>101.4049781407373</v>
      </c>
      <c r="AQ38" s="3152"/>
      <c r="AR38" s="3152">
        <f t="shared" si="161"/>
        <v>101.71185320847701</v>
      </c>
    </row>
    <row r="39" spans="1:44" s="2045" customFormat="1" ht="13.2">
      <c r="A39" s="2904" t="s">
        <v>3376</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102.79326743087979</v>
      </c>
      <c r="AO39" s="3152">
        <f t="shared" si="159"/>
        <v>102.24351950992863</v>
      </c>
      <c r="AP39" s="3152">
        <f t="shared" si="160"/>
        <v>104.40129531631555</v>
      </c>
      <c r="AQ39" s="3152"/>
      <c r="AR39" s="3152">
        <f t="shared" si="161"/>
        <v>102.24351950992863</v>
      </c>
    </row>
    <row r="40" spans="1:44" s="2045" customFormat="1" ht="13.2">
      <c r="A40" s="2904" t="s">
        <v>3373</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103.11291747505246</v>
      </c>
      <c r="AO40" s="3152">
        <f t="shared" si="159"/>
        <v>102.64383044867849</v>
      </c>
      <c r="AP40" s="3152">
        <f t="shared" si="160"/>
        <v>103.13276233953923</v>
      </c>
      <c r="AQ40" s="3152"/>
      <c r="AR40" s="3152">
        <f t="shared" si="161"/>
        <v>102.64383044867849</v>
      </c>
    </row>
    <row r="41" spans="1:44" s="2045" customFormat="1" ht="13.2">
      <c r="A41" s="2904" t="s">
        <v>3371</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102.85577802997751</v>
      </c>
      <c r="AO41" s="3152">
        <f t="shared" si="159"/>
        <v>102.23489088513793</v>
      </c>
      <c r="AP41" s="3152">
        <f t="shared" si="160"/>
        <v>103.78661803314806</v>
      </c>
      <c r="AQ41" s="3152"/>
      <c r="AR41" s="3152">
        <f t="shared" si="161"/>
        <v>102.23489088513793</v>
      </c>
    </row>
    <row r="42" spans="1:44" s="2045" customFormat="1" ht="13.2">
      <c r="A42" s="2904" t="s">
        <v>3369</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102.78382934943292</v>
      </c>
      <c r="AO42" s="3152">
        <f t="shared" si="159"/>
        <v>102.14296221914071</v>
      </c>
      <c r="AP42" s="3152">
        <f t="shared" si="160"/>
        <v>103.75549138573234</v>
      </c>
      <c r="AQ42" s="3152"/>
      <c r="AR42" s="3152">
        <f t="shared" si="161"/>
        <v>102.14296221914071</v>
      </c>
    </row>
    <row r="43" spans="1:44" s="2045" customFormat="1" ht="13.2">
      <c r="A43" s="2904" t="s">
        <v>3368</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102.42534065713295</v>
      </c>
      <c r="AO43" s="3152">
        <f t="shared" si="159"/>
        <v>101.96961387555227</v>
      </c>
      <c r="AP43" s="3152">
        <f t="shared" si="160"/>
        <v>103.21875386563104</v>
      </c>
      <c r="AQ43" s="3152"/>
      <c r="AR43" s="3152">
        <f t="shared" si="161"/>
        <v>101.96961387555227</v>
      </c>
    </row>
    <row r="44" spans="1:44" s="2045" customFormat="1" ht="13.2">
      <c r="A44" s="2904" t="s">
        <v>3366</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101.91576184789349</v>
      </c>
      <c r="AO44" s="3152">
        <f t="shared" si="159"/>
        <v>101.5128062474388</v>
      </c>
      <c r="AP44" s="3152">
        <f t="shared" si="160"/>
        <v>102.30821078960358</v>
      </c>
      <c r="AQ44" s="3152"/>
      <c r="AR44" s="3152">
        <f t="shared" si="161"/>
        <v>101.5128062474388</v>
      </c>
    </row>
    <row r="45" spans="1:44" s="2045" customFormat="1" ht="13.2">
      <c r="A45" s="2904" t="s">
        <v>3365</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101.35829124604027</v>
      </c>
      <c r="AO45" s="3152">
        <f t="shared" si="159"/>
        <v>100.91739362505101</v>
      </c>
      <c r="AP45" s="3152">
        <f t="shared" si="160"/>
        <v>101.6576021359336</v>
      </c>
      <c r="AQ45" s="3152"/>
      <c r="AR45" s="3152">
        <f t="shared" si="161"/>
        <v>100.91739362505101</v>
      </c>
    </row>
    <row r="46" spans="1:44" s="2045" customFormat="1" ht="13.2">
      <c r="A46" s="2904" t="s">
        <v>3364</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100.90422224593357</v>
      </c>
      <c r="AO46" s="3152">
        <f t="shared" si="159"/>
        <v>100.71596170164771</v>
      </c>
      <c r="AP46" s="3152">
        <f t="shared" si="160"/>
        <v>101.2727656265527</v>
      </c>
      <c r="AQ46" s="3152"/>
      <c r="AR46" s="3152">
        <f t="shared" si="161"/>
        <v>100.71596170164771</v>
      </c>
    </row>
    <row r="47" spans="1:44" s="2045" customFormat="1" ht="13.2">
      <c r="A47" s="2904" t="s">
        <v>3354</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100.60241500093079</v>
      </c>
      <c r="AO47" s="3152">
        <f t="shared" si="159"/>
        <v>100.42472998469212</v>
      </c>
      <c r="AP47" s="3152">
        <f t="shared" si="160"/>
        <v>100.43912092289268</v>
      </c>
      <c r="AQ47" s="3152"/>
      <c r="AR47" s="3152">
        <f t="shared" si="161"/>
        <v>100.42472998469212</v>
      </c>
    </row>
    <row r="48" spans="1:44" s="2045" customFormat="1" ht="13.2">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100.71319952040324</v>
      </c>
      <c r="AO48" s="3152">
        <f t="shared" si="159"/>
        <v>100.55545207238622</v>
      </c>
      <c r="AP48" s="3152">
        <f t="shared" si="160"/>
        <v>99.90960004266654</v>
      </c>
      <c r="AQ48" s="3152"/>
      <c r="AR48" s="3152">
        <f t="shared" si="161"/>
        <v>100.55545207238622</v>
      </c>
    </row>
    <row r="49" spans="1:44" s="2045" customFormat="1" ht="13.2">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100.11252437415828</v>
      </c>
      <c r="AO49" s="3152">
        <f t="shared" si="159"/>
        <v>100.10497966389867</v>
      </c>
      <c r="AP49" s="3152">
        <f t="shared" si="160"/>
        <v>99.382870827281934</v>
      </c>
      <c r="AQ49" s="3152"/>
      <c r="AR49" s="3152">
        <f t="shared" si="161"/>
        <v>100.10497966389867</v>
      </c>
    </row>
    <row r="50" spans="1:44" s="2045" customFormat="1" ht="13.2">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99.535220097592244</v>
      </c>
      <c r="AO50" s="3152">
        <f t="shared" si="159"/>
        <v>100.02495969614176</v>
      </c>
      <c r="AP50" s="3152">
        <f t="shared" si="160"/>
        <v>98.711631731507694</v>
      </c>
      <c r="AQ50" s="3152"/>
      <c r="AR50" s="3152">
        <f t="shared" si="161"/>
        <v>100.02495969614176</v>
      </c>
    </row>
    <row r="51" spans="1:44" s="2045" customFormat="1" ht="13.2">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99.069593010443171</v>
      </c>
      <c r="AO51" s="3152">
        <f t="shared" si="159"/>
        <v>99.745671815059609</v>
      </c>
      <c r="AP51" s="3152">
        <f t="shared" si="160"/>
        <v>97.821456477561867</v>
      </c>
      <c r="AQ51" s="3152"/>
      <c r="AR51" s="3152">
        <f t="shared" si="161"/>
        <v>99.745671815059609</v>
      </c>
    </row>
    <row r="52" spans="1:44" s="2927" customFormat="1" ht="1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98.527690711529758</v>
      </c>
      <c r="AO52" s="3159">
        <f t="shared" si="159"/>
        <v>99.288942678737428</v>
      </c>
      <c r="AP52" s="3159">
        <f t="shared" si="160"/>
        <v>96.757128068805017</v>
      </c>
      <c r="AQ52" s="3159"/>
      <c r="AR52" s="3159">
        <f t="shared" si="161"/>
        <v>99.288942678737428</v>
      </c>
    </row>
    <row r="53" spans="1:44" ht="15" thickTop="1"/>
    <row r="54" spans="1:44">
      <c r="A54" s="3142" t="s">
        <v>3379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86" t="s">
        <v>452</v>
      </c>
      <c r="C1" s="3486"/>
      <c r="D1" s="3486"/>
      <c r="E1" s="3486"/>
      <c r="F1" s="3486"/>
      <c r="G1" s="3482" t="s">
        <v>453</v>
      </c>
      <c r="H1" s="3482"/>
      <c r="I1" s="3482"/>
      <c r="J1" s="3482"/>
      <c r="K1" s="3482"/>
      <c r="L1" s="3482"/>
      <c r="N1" s="3482" t="s">
        <v>454</v>
      </c>
      <c r="O1" s="3482"/>
      <c r="P1" s="3482"/>
      <c r="Q1" s="3482"/>
      <c r="S1" s="3482" t="s">
        <v>455</v>
      </c>
      <c r="T1" s="3482"/>
      <c r="U1" s="3482"/>
      <c r="V1" s="3482"/>
      <c r="X1" s="3481" t="s">
        <v>456</v>
      </c>
      <c r="Y1" s="3482"/>
      <c r="Z1" s="3482"/>
      <c r="AA1" s="3482"/>
      <c r="AB1" s="3482"/>
      <c r="AD1" s="3481" t="s">
        <v>457</v>
      </c>
      <c r="AE1" s="3482"/>
      <c r="AF1" s="3482"/>
      <c r="AG1" s="3482"/>
      <c r="AH1" s="3482"/>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8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8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4">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85">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4">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85">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494" t="s">
        <v>2839</v>
      </c>
      <c r="B1" s="3494"/>
      <c r="C1" s="3494"/>
      <c r="D1" s="3494"/>
      <c r="E1" s="3494"/>
      <c r="F1" s="3494"/>
      <c r="G1" s="3495"/>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1.4"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492"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1.4" thickBot="1">
      <c r="A4" s="3493"/>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1.4"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1.4"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1.4"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1.4"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45786</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9" t="str">
        <f>IF(项目基本情况!B9="房地产市场价值","估价结果一览表","结果表-2")</f>
        <v>结果表-2</v>
      </c>
      <c r="B1" s="3179"/>
      <c r="C1" s="3179"/>
      <c r="D1" s="3179"/>
      <c r="E1" s="3179"/>
      <c r="F1" s="3179"/>
      <c r="G1" s="3179"/>
      <c r="H1" s="3179"/>
      <c r="I1" s="3179"/>
    </row>
    <row r="2" spans="1:9" ht="30" customHeight="1" thickTop="1">
      <c r="A2" s="3180" t="s">
        <v>928</v>
      </c>
      <c r="B2" s="3180" t="s">
        <v>929</v>
      </c>
      <c r="C2" s="3180" t="s">
        <v>930</v>
      </c>
      <c r="D2" s="3180" t="str">
        <f>结果表!D116</f>
        <v>出让国有建设用地使用权价值</v>
      </c>
      <c r="E2" s="3180"/>
      <c r="F2" s="3180" t="str">
        <f>结果表!F116</f>
        <v>在建建筑物价值</v>
      </c>
      <c r="G2" s="3180"/>
      <c r="H2" s="3180" t="str">
        <f>IF(项目基本情况!B9="房地产市场价值","房地产市场价值","房地产价值")</f>
        <v>房地产价值</v>
      </c>
      <c r="I2" s="3180"/>
    </row>
    <row r="3" spans="1:9" ht="15.6">
      <c r="A3" s="3175"/>
      <c r="B3" s="3175"/>
      <c r="C3" s="3175"/>
      <c r="D3" s="801" t="s">
        <v>925</v>
      </c>
      <c r="E3" s="801" t="s">
        <v>931</v>
      </c>
      <c r="F3" s="801" t="s">
        <v>925</v>
      </c>
      <c r="G3" s="801" t="s">
        <v>926</v>
      </c>
      <c r="H3" s="801" t="s">
        <v>925</v>
      </c>
      <c r="I3" s="801" t="s">
        <v>926</v>
      </c>
    </row>
    <row r="4" spans="1:9" ht="15">
      <c r="A4" s="1403" t="str">
        <f>项目基本情况!S2</f>
        <v>北京市朝阳区常营南路50号院12-14商业1层104房地产</v>
      </c>
      <c r="B4" s="801">
        <f>项目基本情况!C17</f>
        <v>576.94000000000005</v>
      </c>
      <c r="C4" s="801">
        <f>项目基本情况!C18</f>
        <v>0</v>
      </c>
      <c r="D4" s="801">
        <f>结果表!D118</f>
        <v>0</v>
      </c>
      <c r="E4" s="801">
        <f>结果表!E118</f>
        <v>0</v>
      </c>
      <c r="F4" s="801">
        <f>结果表!F118</f>
        <v>0</v>
      </c>
      <c r="G4" s="801">
        <f>结果表!G118</f>
        <v>0</v>
      </c>
      <c r="H4" s="801">
        <f ca="1">结果表!H118</f>
        <v>2940</v>
      </c>
      <c r="I4" s="801">
        <f ca="1">结果表!I118</f>
        <v>50957</v>
      </c>
    </row>
    <row r="5" spans="1:9" ht="30" customHeight="1">
      <c r="A5" s="3175" t="s">
        <v>927</v>
      </c>
      <c r="B5" s="3175"/>
      <c r="C5" s="3175"/>
      <c r="D5" s="3175" t="str">
        <f>结果表!D119</f>
        <v>零元整</v>
      </c>
      <c r="E5" s="3175"/>
      <c r="F5" s="3175" t="str">
        <f>结果表!F119</f>
        <v>零元整</v>
      </c>
      <c r="G5" s="3175"/>
      <c r="H5" s="3175" t="str">
        <f ca="1">结果表!H119</f>
        <v>贰仟玖佰肆拾万元整</v>
      </c>
      <c r="I5" s="3175"/>
    </row>
    <row r="6" spans="1:9" ht="15.6">
      <c r="A6" s="3174" t="str">
        <f>结果表!A120</f>
        <v>估价师知悉的法定优先受偿款</v>
      </c>
      <c r="B6" s="3174"/>
      <c r="C6" s="3174"/>
      <c r="D6" s="3174">
        <f>结果表!D120</f>
        <v>0</v>
      </c>
      <c r="E6" s="3174"/>
      <c r="F6" s="3174"/>
      <c r="G6" s="3174"/>
      <c r="H6" s="3174"/>
      <c r="I6" s="3174"/>
    </row>
    <row r="7" spans="1:9" ht="15">
      <c r="A7" s="3175" t="s">
        <v>927</v>
      </c>
      <c r="B7" s="3175"/>
      <c r="C7" s="3175"/>
      <c r="D7" s="3176" t="str">
        <f>结果表!D121</f>
        <v>零元整</v>
      </c>
      <c r="E7" s="3177"/>
      <c r="F7" s="3177"/>
      <c r="G7" s="3177"/>
      <c r="H7" s="3177"/>
      <c r="I7" s="3178"/>
    </row>
    <row r="8" spans="1:9" ht="15.6">
      <c r="A8" s="3174" t="str">
        <f>结果表!A122</f>
        <v>房地产抵押价值</v>
      </c>
      <c r="B8" s="3174"/>
      <c r="C8" s="3174"/>
      <c r="D8" s="3174">
        <f ca="1">结果表!D122</f>
        <v>2940</v>
      </c>
      <c r="E8" s="3174"/>
      <c r="F8" s="3174"/>
      <c r="G8" s="3174"/>
      <c r="H8" s="3174"/>
      <c r="I8" s="3174"/>
    </row>
    <row r="9" spans="1:9" ht="15">
      <c r="A9" s="3175" t="s">
        <v>927</v>
      </c>
      <c r="B9" s="3175"/>
      <c r="C9" s="3175"/>
      <c r="D9" s="3175" t="str">
        <f ca="1">结果表!D123</f>
        <v>贰仟玖佰肆拾万元整</v>
      </c>
      <c r="E9" s="3175"/>
      <c r="F9" s="3175"/>
      <c r="G9" s="3175"/>
      <c r="H9" s="3175"/>
      <c r="I9" s="3175"/>
    </row>
    <row r="10" spans="1:9" ht="15.6">
      <c r="A10" s="3174" t="str">
        <f>结果表!A124</f>
        <v/>
      </c>
      <c r="B10" s="3174"/>
      <c r="C10" s="3174"/>
      <c r="D10" s="3174" t="str">
        <f>结果表!D124</f>
        <v>——</v>
      </c>
      <c r="E10" s="3174"/>
      <c r="F10" s="3174"/>
      <c r="G10" s="3174"/>
      <c r="H10" s="3174"/>
      <c r="I10" s="3174"/>
    </row>
    <row r="11" spans="1:9" ht="15">
      <c r="A11" s="3175" t="s">
        <v>927</v>
      </c>
      <c r="B11" s="3175"/>
      <c r="C11" s="3175"/>
      <c r="D11" s="3175" t="e">
        <f>结果表!D125</f>
        <v>#VALUE!</v>
      </c>
      <c r="E11" s="3175"/>
      <c r="F11" s="3175"/>
      <c r="G11" s="3175"/>
      <c r="H11" s="3175"/>
      <c r="I11" s="3175"/>
    </row>
    <row r="12" spans="1:9" ht="15.6">
      <c r="A12" s="3174" t="str">
        <f>结果表!A126</f>
        <v/>
      </c>
      <c r="B12" s="3174"/>
      <c r="C12" s="3174"/>
      <c r="D12" s="3174" t="str">
        <f>结果表!D126</f>
        <v>——</v>
      </c>
      <c r="E12" s="3174"/>
      <c r="F12" s="3174"/>
      <c r="G12" s="3174"/>
      <c r="H12" s="3174"/>
      <c r="I12" s="3174"/>
    </row>
    <row r="13" spans="1:9" ht="15.6" thickBot="1">
      <c r="A13" s="3172" t="s">
        <v>927</v>
      </c>
      <c r="B13" s="3172"/>
      <c r="C13" s="3172"/>
      <c r="D13" s="3172" t="e">
        <f>结果表!D127</f>
        <v>#VALUE!</v>
      </c>
      <c r="E13" s="3172"/>
      <c r="F13" s="3172"/>
      <c r="G13" s="3172"/>
      <c r="H13" s="3172"/>
      <c r="I13" s="3172"/>
    </row>
    <row r="14" spans="1:9" ht="14.4" thickTop="1">
      <c r="A14" s="3173" t="s">
        <v>932</v>
      </c>
      <c r="B14" s="3173"/>
      <c r="C14" s="3173"/>
      <c r="D14" s="3173"/>
      <c r="E14" s="3173"/>
      <c r="F14" s="3173"/>
      <c r="G14" s="3173"/>
      <c r="H14" s="3173"/>
      <c r="I14" s="3173"/>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7" t="s">
        <v>949</v>
      </c>
      <c r="B1" s="3187"/>
      <c r="C1" s="3187"/>
      <c r="D1" s="3187"/>
    </row>
    <row r="2" spans="1:4" ht="17.399999999999999">
      <c r="A2" s="3188" t="s">
        <v>933</v>
      </c>
      <c r="B2" s="3188"/>
      <c r="C2" s="3188"/>
      <c r="D2" s="3188"/>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88" t="s">
        <v>939</v>
      </c>
      <c r="B6" s="3188"/>
      <c r="C6" s="3188"/>
      <c r="D6" s="3188"/>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89" t="s">
        <v>942</v>
      </c>
      <c r="B11" s="3181"/>
      <c r="C11" s="3181"/>
      <c r="D11" s="3181"/>
    </row>
    <row r="12" spans="1:4" ht="15.6">
      <c r="A12" s="31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6"/>
      <c r="C12" s="3186"/>
      <c r="D12" s="3186"/>
    </row>
    <row r="13" spans="1:4" ht="30" customHeight="1">
      <c r="A13" s="31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6"/>
      <c r="C13" s="3186"/>
      <c r="D13" s="3186"/>
    </row>
    <row r="14" spans="1:4" ht="15.75" customHeight="1">
      <c r="A14" s="3181" t="str">
        <f>IF(项目基本情况!B8="抵押","4.本次评估估价师所知悉的法定优先受偿款情况说明如下：","——")</f>
        <v>4.本次评估估价师所知悉的法定优先受偿款情况说明如下：</v>
      </c>
      <c r="B14" s="3186"/>
      <c r="C14" s="3186"/>
      <c r="D14" s="3186"/>
    </row>
    <row r="15" spans="1:4" ht="42" customHeight="1">
      <c r="A15" s="318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1"/>
      <c r="C15" s="3181"/>
      <c r="D15" s="3181"/>
    </row>
    <row r="16" spans="1:4" ht="30" customHeight="1">
      <c r="A16" s="3183" t="s">
        <v>943</v>
      </c>
      <c r="B16" s="3183"/>
      <c r="C16" s="3183"/>
      <c r="D16" s="3183"/>
    </row>
    <row r="17" spans="1:4" ht="144" customHeight="1">
      <c r="A17" s="3183" t="s">
        <v>944</v>
      </c>
      <c r="B17" s="3183"/>
      <c r="C17" s="3183"/>
      <c r="D17" s="3183"/>
    </row>
    <row r="18" spans="1:4" ht="15.75" customHeight="1">
      <c r="A18" s="3181" t="str">
        <f>IF(项目基本情况!B8="抵押",结果表!K120,"——")</f>
        <v>故，本次评估不存在估价师知悉的法定优先受偿款</v>
      </c>
      <c r="B18" s="3181"/>
      <c r="C18" s="3181"/>
      <c r="D18" s="3181"/>
    </row>
    <row r="19" spans="1:4" ht="46.5" customHeight="1">
      <c r="A19" s="31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1"/>
      <c r="C19" s="3181"/>
      <c r="D19" s="3181"/>
    </row>
    <row r="20" spans="1:4" ht="57.75" customHeight="1">
      <c r="A20" s="31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1"/>
      <c r="C20" s="3181"/>
      <c r="D20" s="3181"/>
    </row>
    <row r="21" spans="1:4" ht="57.75" customHeight="1">
      <c r="A21" s="31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4"/>
      <c r="C21" s="3184"/>
      <c r="D21" s="3184"/>
    </row>
    <row r="22" spans="1:4" ht="18.75" customHeight="1">
      <c r="A22" s="3185" t="s">
        <v>945</v>
      </c>
      <c r="B22" s="3185"/>
      <c r="C22" s="3185"/>
      <c r="D22" s="3185"/>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2">
        <v>42551</v>
      </c>
      <c r="D31" s="31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5" t="s">
        <v>956</v>
      </c>
      <c r="B15" s="3190" t="s">
        <v>109</v>
      </c>
      <c r="C15" s="3191"/>
    </row>
    <row r="16" spans="1:7" ht="14.4">
      <c r="A16" s="3196"/>
      <c r="B16" s="3190" t="s">
        <v>42</v>
      </c>
      <c r="C16" s="3191"/>
    </row>
    <row r="17" spans="1:3" ht="14.4">
      <c r="A17" s="3196"/>
      <c r="B17" s="3193" t="s">
        <v>957</v>
      </c>
      <c r="C17" s="1429" t="s">
        <v>956</v>
      </c>
    </row>
    <row r="18" spans="1:3" ht="14.4">
      <c r="A18" s="3196"/>
      <c r="B18" s="3193"/>
      <c r="C18" s="1429" t="s">
        <v>958</v>
      </c>
    </row>
    <row r="19" spans="1:3" ht="14.4">
      <c r="A19" s="3196"/>
      <c r="B19" s="3193"/>
      <c r="C19" s="1429" t="s">
        <v>959</v>
      </c>
    </row>
    <row r="20" spans="1:3" ht="14.4">
      <c r="A20" s="3197"/>
      <c r="B20" s="3192" t="s">
        <v>960</v>
      </c>
      <c r="C20" s="3191"/>
    </row>
    <row r="21" spans="1:3" ht="14.4">
      <c r="A21" s="1430" t="s">
        <v>961</v>
      </c>
      <c r="B21" s="1431"/>
      <c r="C21" s="1432"/>
    </row>
    <row r="22" spans="1:3" ht="14.4">
      <c r="A22" s="3194" t="s">
        <v>962</v>
      </c>
      <c r="B22" s="3192" t="s">
        <v>963</v>
      </c>
      <c r="C22" s="3191"/>
    </row>
    <row r="23" spans="1:3" ht="14.4">
      <c r="A23" s="3194"/>
      <c r="B23" s="3192" t="s">
        <v>964</v>
      </c>
      <c r="C23" s="3191"/>
    </row>
    <row r="24" spans="1:3" ht="14.4">
      <c r="A24" s="3194"/>
      <c r="B24" s="3192" t="s">
        <v>965</v>
      </c>
      <c r="C24" s="3191"/>
    </row>
    <row r="25" spans="1:3" ht="14.4">
      <c r="A25" s="3194"/>
      <c r="B25" s="3193" t="s">
        <v>966</v>
      </c>
      <c r="C25" s="1429" t="s">
        <v>967</v>
      </c>
    </row>
    <row r="26" spans="1:3" ht="14.4">
      <c r="A26" s="3194"/>
      <c r="B26" s="3193"/>
      <c r="C26" s="1429" t="s">
        <v>968</v>
      </c>
    </row>
    <row r="27" spans="1:3" ht="14.4">
      <c r="A27" s="3194"/>
      <c r="B27" s="3193"/>
      <c r="C27" s="1429" t="s">
        <v>969</v>
      </c>
    </row>
    <row r="28" spans="1:3" ht="14.4">
      <c r="A28" s="3194"/>
      <c r="B28" s="3193"/>
      <c r="C28" s="1429" t="s">
        <v>970</v>
      </c>
    </row>
    <row r="29" spans="1:3" ht="14.4">
      <c r="A29" s="3194"/>
      <c r="B29" s="3193"/>
      <c r="C29" s="1429" t="s">
        <v>971</v>
      </c>
    </row>
    <row r="30" spans="1:3" ht="14.4">
      <c r="A30" s="3194"/>
      <c r="B30" s="3193"/>
      <c r="C30" s="1429" t="s">
        <v>972</v>
      </c>
    </row>
    <row r="31" spans="1:3" ht="14.4">
      <c r="A31" s="3194"/>
      <c r="B31" s="3193"/>
      <c r="C31" s="1429" t="s">
        <v>973</v>
      </c>
    </row>
    <row r="32" spans="1:3" ht="14.4">
      <c r="A32" s="3194"/>
      <c r="B32" s="3193"/>
      <c r="C32" s="1429" t="s">
        <v>974</v>
      </c>
    </row>
    <row r="33" spans="1:3" ht="14.4">
      <c r="A33" s="3194"/>
      <c r="B33" s="3193"/>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45786</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8" t="s">
        <v>2160</v>
      </c>
      <c r="B17" s="3198"/>
      <c r="C17" s="3198"/>
      <c r="D17" s="3198"/>
      <c r="E17" s="3198"/>
      <c r="F17" s="3198"/>
      <c r="G17" s="3198"/>
      <c r="H17" s="3198"/>
    </row>
    <row r="18" spans="1:8" ht="24" customHeight="1">
      <c r="A18" s="3199" t="s">
        <v>2161</v>
      </c>
      <c r="B18" s="3199"/>
      <c r="C18" s="3199"/>
      <c r="D18" s="2160"/>
      <c r="E18" s="3200" t="s">
        <v>2162</v>
      </c>
      <c r="F18" s="3199"/>
      <c r="G18" s="3199"/>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信息</vt:lpstr>
      <vt:lpstr>案例</vt:lpstr>
      <vt:lpstr>成本法 (元)</vt:lpstr>
      <vt:lpstr>假设开发法</vt:lpstr>
      <vt:lpstr>收益法</vt:lpstr>
      <vt:lpstr>基准地价修正</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2025-05-09T02:50:17Z</dcterms:modified>
</cp:coreProperties>
</file>