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9" firstSheet="17"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规证面积整理" sheetId="77"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6" i="68" l="1"/>
  <c r="C15" i="74"/>
  <c r="B15" i="74"/>
  <c r="G15" i="74"/>
  <c r="D15" i="74"/>
  <c r="D9" i="68"/>
  <c r="C9" i="68"/>
  <c r="D10" i="68"/>
  <c r="C10" i="68"/>
  <c r="B29" i="1"/>
  <c r="C8" i="68"/>
  <c r="C7" i="68"/>
  <c r="C5" i="68"/>
  <c r="C20" i="68"/>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8"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60" i="15"/>
  <c r="L46" i="15"/>
  <c r="B2" i="15"/>
  <c r="E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J19" i="9"/>
  <c r="D6" i="73"/>
  <c r="B22" i="1"/>
  <c r="E1" i="73"/>
  <c r="K1" i="73"/>
  <c r="M7" i="1"/>
  <c r="M8" i="1"/>
  <c r="M16" i="1"/>
  <c r="N16" i="1"/>
  <c r="B21" i="1"/>
  <c r="B23" i="1"/>
  <c r="Q16" i="1"/>
  <c r="B24" i="1"/>
  <c r="O7" i="1"/>
  <c r="O8" i="1"/>
  <c r="O6" i="1"/>
  <c r="O16" i="1"/>
  <c r="F50" i="68"/>
  <c r="F23" i="15"/>
  <c r="D123" i="21"/>
  <c r="E123" i="21"/>
  <c r="F123" i="21"/>
  <c r="F42" i="21"/>
  <c r="AA42" i="21"/>
  <c r="R48" i="21"/>
  <c r="H42" i="21"/>
  <c r="AB42" i="21"/>
  <c r="T48" i="21"/>
  <c r="J42" i="21"/>
  <c r="AC42" i="21"/>
  <c r="V48" i="21"/>
  <c r="R49" i="21"/>
  <c r="C49" i="21"/>
  <c r="B2" i="21"/>
  <c r="C8" i="12"/>
  <c r="B3" i="21"/>
  <c r="C6" i="12"/>
  <c r="D6" i="12"/>
  <c r="D8" i="12"/>
  <c r="P7" i="1"/>
  <c r="P8" i="1"/>
  <c r="P6" i="1"/>
  <c r="P16" i="1"/>
  <c r="N23" i="1"/>
  <c r="N21" i="1"/>
  <c r="N19" i="1"/>
  <c r="N20" i="1"/>
  <c r="C14" i="77"/>
  <c r="D7" i="77"/>
  <c r="E7" i="77"/>
  <c r="C13" i="77"/>
  <c r="BB11" i="3"/>
  <c r="I13"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N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13" i="3"/>
  <c r="BE13" i="3"/>
  <c r="BF13" i="3"/>
  <c r="BG13" i="3"/>
  <c r="BH13" i="3"/>
  <c r="BI13" i="3"/>
  <c r="BJ13" i="3"/>
  <c r="BK13" i="3"/>
  <c r="BA13" i="3"/>
  <c r="BM13" i="3"/>
  <c r="BN13" i="3"/>
  <c r="BO13" i="3"/>
  <c r="BP13" i="3"/>
  <c r="BQ13" i="3"/>
  <c r="BR13" i="3"/>
  <c r="BS13" i="3"/>
  <c r="BT13" i="3"/>
  <c r="BL13" i="3"/>
  <c r="AZ13"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A15" i="3"/>
  <c r="BM15" i="3"/>
  <c r="BN15" i="3"/>
  <c r="BO15" i="3"/>
  <c r="BP15" i="3"/>
  <c r="BQ15" i="3"/>
  <c r="BR15" i="3"/>
  <c r="BS15" i="3"/>
  <c r="BT15" i="3"/>
  <c r="BL15" i="3"/>
  <c r="AZ15" i="3"/>
  <c r="BD16" i="3"/>
  <c r="BE16" i="3"/>
  <c r="BF16" i="3"/>
  <c r="BG16" i="3"/>
  <c r="BH16" i="3"/>
  <c r="BI16" i="3"/>
  <c r="BJ16" i="3"/>
  <c r="BK16" i="3"/>
  <c r="BA16" i="3"/>
  <c r="BM16" i="3"/>
  <c r="BN16" i="3"/>
  <c r="BO16" i="3"/>
  <c r="BP16" i="3"/>
  <c r="BQ16" i="3"/>
  <c r="BR16" i="3"/>
  <c r="BS16" i="3"/>
  <c r="BT16" i="3"/>
  <c r="BL16" i="3"/>
  <c r="AZ16" i="3"/>
  <c r="BD17" i="3"/>
  <c r="BE17" i="3"/>
  <c r="BF17" i="3"/>
  <c r="BG17" i="3"/>
  <c r="BH17" i="3"/>
  <c r="BI17" i="3"/>
  <c r="BJ17" i="3"/>
  <c r="BK17" i="3"/>
  <c r="BA17" i="3"/>
  <c r="BM17" i="3"/>
  <c r="BN17" i="3"/>
  <c r="BO17" i="3"/>
  <c r="BP17" i="3"/>
  <c r="BQ17" i="3"/>
  <c r="BR17" i="3"/>
  <c r="BS17" i="3"/>
  <c r="BT17" i="3"/>
  <c r="BL17" i="3"/>
  <c r="AZ17" i="3"/>
  <c r="BD18" i="3"/>
  <c r="BE18" i="3"/>
  <c r="BF18" i="3"/>
  <c r="BG18" i="3"/>
  <c r="BH18" i="3"/>
  <c r="BI18" i="3"/>
  <c r="BJ18" i="3"/>
  <c r="BK18" i="3"/>
  <c r="BA18" i="3"/>
  <c r="BM18" i="3"/>
  <c r="BN18" i="3"/>
  <c r="BO18" i="3"/>
  <c r="BP18" i="3"/>
  <c r="BQ18" i="3"/>
  <c r="BR18" i="3"/>
  <c r="BS18" i="3"/>
  <c r="BT18" i="3"/>
  <c r="BL18" i="3"/>
  <c r="AZ18" i="3"/>
  <c r="BD19" i="3"/>
  <c r="BE19" i="3"/>
  <c r="BF19" i="3"/>
  <c r="BG19" i="3"/>
  <c r="BH19" i="3"/>
  <c r="BI19" i="3"/>
  <c r="BJ19" i="3"/>
  <c r="BK19" i="3"/>
  <c r="BA19" i="3"/>
  <c r="BM19" i="3"/>
  <c r="BN19" i="3"/>
  <c r="BO19" i="3"/>
  <c r="BP19" i="3"/>
  <c r="BQ19" i="3"/>
  <c r="BR19" i="3"/>
  <c r="BS19" i="3"/>
  <c r="BT19" i="3"/>
  <c r="BL19" i="3"/>
  <c r="AZ19" i="3"/>
  <c r="BD20" i="3"/>
  <c r="BE20" i="3"/>
  <c r="BF20" i="3"/>
  <c r="BG20" i="3"/>
  <c r="BH20" i="3"/>
  <c r="BI20" i="3"/>
  <c r="BJ20" i="3"/>
  <c r="BK20" i="3"/>
  <c r="BA20" i="3"/>
  <c r="BM20" i="3"/>
  <c r="BN20" i="3"/>
  <c r="BO20" i="3"/>
  <c r="BP20" i="3"/>
  <c r="BQ20" i="3"/>
  <c r="BR20" i="3"/>
  <c r="BS20" i="3"/>
  <c r="BT20" i="3"/>
  <c r="BL20" i="3"/>
  <c r="AZ20" i="3"/>
  <c r="BD21" i="3"/>
  <c r="BE21" i="3"/>
  <c r="BF21" i="3"/>
  <c r="BG21" i="3"/>
  <c r="BH21" i="3"/>
  <c r="BI21" i="3"/>
  <c r="BJ21" i="3"/>
  <c r="BK21" i="3"/>
  <c r="BA21" i="3"/>
  <c r="BM21" i="3"/>
  <c r="BN21" i="3"/>
  <c r="BO21" i="3"/>
  <c r="BP21" i="3"/>
  <c r="BQ21" i="3"/>
  <c r="BR21" i="3"/>
  <c r="BS21" i="3"/>
  <c r="BT21" i="3"/>
  <c r="BL21" i="3"/>
  <c r="AZ21" i="3"/>
  <c r="BD22" i="3"/>
  <c r="BE22" i="3"/>
  <c r="BF22" i="3"/>
  <c r="BG22" i="3"/>
  <c r="BH22" i="3"/>
  <c r="BI22" i="3"/>
  <c r="BJ22" i="3"/>
  <c r="BK22" i="3"/>
  <c r="BA22" i="3"/>
  <c r="BM22" i="3"/>
  <c r="BN22" i="3"/>
  <c r="BO22" i="3"/>
  <c r="BP22" i="3"/>
  <c r="BQ22" i="3"/>
  <c r="BR22" i="3"/>
  <c r="BS22" i="3"/>
  <c r="BT22" i="3"/>
  <c r="BL22" i="3"/>
  <c r="AZ22" i="3"/>
  <c r="BD23" i="3"/>
  <c r="BE23" i="3"/>
  <c r="BF23" i="3"/>
  <c r="BG23" i="3"/>
  <c r="BH23" i="3"/>
  <c r="BI23" i="3"/>
  <c r="BJ23" i="3"/>
  <c r="BK23" i="3"/>
  <c r="BA23" i="3"/>
  <c r="BM23" i="3"/>
  <c r="BN23" i="3"/>
  <c r="BO23" i="3"/>
  <c r="BP23" i="3"/>
  <c r="BQ23" i="3"/>
  <c r="BR23" i="3"/>
  <c r="BS23" i="3"/>
  <c r="BT23" i="3"/>
  <c r="BL23" i="3"/>
  <c r="AZ23" i="3"/>
  <c r="BD24" i="3"/>
  <c r="BE24" i="3"/>
  <c r="BF24" i="3"/>
  <c r="BG24" i="3"/>
  <c r="BH24" i="3"/>
  <c r="BI24" i="3"/>
  <c r="BJ24" i="3"/>
  <c r="BK24" i="3"/>
  <c r="BA24" i="3"/>
  <c r="BM24" i="3"/>
  <c r="BN24" i="3"/>
  <c r="BO24" i="3"/>
  <c r="BP24" i="3"/>
  <c r="BQ24" i="3"/>
  <c r="BR24" i="3"/>
  <c r="BS24" i="3"/>
  <c r="BT24" i="3"/>
  <c r="BL24" i="3"/>
  <c r="AZ24" i="3"/>
  <c r="BD25" i="3"/>
  <c r="BE25" i="3"/>
  <c r="BF25" i="3"/>
  <c r="BG25" i="3"/>
  <c r="BH25" i="3"/>
  <c r="BI25" i="3"/>
  <c r="BJ25" i="3"/>
  <c r="BK25" i="3"/>
  <c r="BA25" i="3"/>
  <c r="BM25" i="3"/>
  <c r="BN25" i="3"/>
  <c r="BO25" i="3"/>
  <c r="BP25" i="3"/>
  <c r="BQ25" i="3"/>
  <c r="BR25" i="3"/>
  <c r="BS25" i="3"/>
  <c r="BT25" i="3"/>
  <c r="BL25" i="3"/>
  <c r="AZ25" i="3"/>
  <c r="BD26" i="3"/>
  <c r="BE26" i="3"/>
  <c r="BF26" i="3"/>
  <c r="BG26" i="3"/>
  <c r="BH26" i="3"/>
  <c r="BI26" i="3"/>
  <c r="BJ26" i="3"/>
  <c r="BK26" i="3"/>
  <c r="BA26" i="3"/>
  <c r="BM26" i="3"/>
  <c r="BN26" i="3"/>
  <c r="BO26" i="3"/>
  <c r="BP26" i="3"/>
  <c r="BQ26" i="3"/>
  <c r="BR26" i="3"/>
  <c r="BS26" i="3"/>
  <c r="BT26" i="3"/>
  <c r="BL26" i="3"/>
  <c r="AZ26" i="3"/>
  <c r="BD27" i="3"/>
  <c r="BE27" i="3"/>
  <c r="BF27" i="3"/>
  <c r="BG27" i="3"/>
  <c r="BH27" i="3"/>
  <c r="BI27" i="3"/>
  <c r="BJ27" i="3"/>
  <c r="BK27" i="3"/>
  <c r="BA27" i="3"/>
  <c r="BM27" i="3"/>
  <c r="BN27" i="3"/>
  <c r="BO27" i="3"/>
  <c r="BP27" i="3"/>
  <c r="BQ27" i="3"/>
  <c r="BR27" i="3"/>
  <c r="BS27" i="3"/>
  <c r="BT27" i="3"/>
  <c r="BL27" i="3"/>
  <c r="AZ27" i="3"/>
  <c r="BD28" i="3"/>
  <c r="BE28" i="3"/>
  <c r="BF28" i="3"/>
  <c r="BG28" i="3"/>
  <c r="BH28" i="3"/>
  <c r="BI28" i="3"/>
  <c r="BJ28" i="3"/>
  <c r="BK28" i="3"/>
  <c r="BA28" i="3"/>
  <c r="BM28" i="3"/>
  <c r="BN28" i="3"/>
  <c r="BO28" i="3"/>
  <c r="BP28" i="3"/>
  <c r="BQ28" i="3"/>
  <c r="BR28" i="3"/>
  <c r="BS28" i="3"/>
  <c r="BT28" i="3"/>
  <c r="BL28" i="3"/>
  <c r="AZ28" i="3"/>
  <c r="BD29" i="3"/>
  <c r="BE29" i="3"/>
  <c r="BF29" i="3"/>
  <c r="BG29" i="3"/>
  <c r="BH29" i="3"/>
  <c r="BI29" i="3"/>
  <c r="BJ29" i="3"/>
  <c r="BK29" i="3"/>
  <c r="BA29" i="3"/>
  <c r="BM29" i="3"/>
  <c r="BN29" i="3"/>
  <c r="BO29" i="3"/>
  <c r="BP29" i="3"/>
  <c r="BQ29" i="3"/>
  <c r="BR29" i="3"/>
  <c r="BS29" i="3"/>
  <c r="BT29" i="3"/>
  <c r="BL29" i="3"/>
  <c r="AZ29" i="3"/>
  <c r="BD30" i="3"/>
  <c r="BE30" i="3"/>
  <c r="BF30" i="3"/>
  <c r="BG30" i="3"/>
  <c r="BH30" i="3"/>
  <c r="BI30" i="3"/>
  <c r="BJ30" i="3"/>
  <c r="BK30" i="3"/>
  <c r="BA30" i="3"/>
  <c r="BM30" i="3"/>
  <c r="BN30" i="3"/>
  <c r="BO30" i="3"/>
  <c r="BP30" i="3"/>
  <c r="BQ30" i="3"/>
  <c r="BR30" i="3"/>
  <c r="BS30" i="3"/>
  <c r="BT30" i="3"/>
  <c r="BL30" i="3"/>
  <c r="AZ30" i="3"/>
  <c r="BD31" i="3"/>
  <c r="BE31" i="3"/>
  <c r="BF31" i="3"/>
  <c r="BG31" i="3"/>
  <c r="BH31" i="3"/>
  <c r="BI31" i="3"/>
  <c r="BJ31" i="3"/>
  <c r="BK31" i="3"/>
  <c r="BA31" i="3"/>
  <c r="BM31" i="3"/>
  <c r="BN31" i="3"/>
  <c r="BO31" i="3"/>
  <c r="BP31" i="3"/>
  <c r="BQ31" i="3"/>
  <c r="BR31" i="3"/>
  <c r="BS31" i="3"/>
  <c r="BT31" i="3"/>
  <c r="BL31" i="3"/>
  <c r="AZ31" i="3"/>
  <c r="BD32" i="3"/>
  <c r="BE32" i="3"/>
  <c r="BF32" i="3"/>
  <c r="BG32" i="3"/>
  <c r="BH32" i="3"/>
  <c r="BI32" i="3"/>
  <c r="BJ32" i="3"/>
  <c r="BK32" i="3"/>
  <c r="BA32" i="3"/>
  <c r="BM32" i="3"/>
  <c r="BN32" i="3"/>
  <c r="BO32" i="3"/>
  <c r="BP32" i="3"/>
  <c r="BQ32" i="3"/>
  <c r="BR32" i="3"/>
  <c r="BS32" i="3"/>
  <c r="BT32" i="3"/>
  <c r="BL32" i="3"/>
  <c r="AZ32" i="3"/>
  <c r="BD33" i="3"/>
  <c r="BE33" i="3"/>
  <c r="BF33" i="3"/>
  <c r="BG33" i="3"/>
  <c r="BH33" i="3"/>
  <c r="BI33" i="3"/>
  <c r="BJ33" i="3"/>
  <c r="BK33" i="3"/>
  <c r="BA33" i="3"/>
  <c r="BM33" i="3"/>
  <c r="BN33" i="3"/>
  <c r="BO33" i="3"/>
  <c r="BP33" i="3"/>
  <c r="BQ33" i="3"/>
  <c r="BR33" i="3"/>
  <c r="BS33" i="3"/>
  <c r="BT33" i="3"/>
  <c r="BL33" i="3"/>
  <c r="AZ33" i="3"/>
  <c r="BD34" i="3"/>
  <c r="BE34" i="3"/>
  <c r="BF34" i="3"/>
  <c r="BG34" i="3"/>
  <c r="BH34" i="3"/>
  <c r="BI34" i="3"/>
  <c r="BJ34" i="3"/>
  <c r="BK34" i="3"/>
  <c r="BA34" i="3"/>
  <c r="BM34" i="3"/>
  <c r="BN34" i="3"/>
  <c r="BO34" i="3"/>
  <c r="BP34" i="3"/>
  <c r="BQ34" i="3"/>
  <c r="BR34" i="3"/>
  <c r="BS34" i="3"/>
  <c r="BT34" i="3"/>
  <c r="BL34" i="3"/>
  <c r="AZ34" i="3"/>
  <c r="BD35" i="3"/>
  <c r="BE35" i="3"/>
  <c r="BF35" i="3"/>
  <c r="BG35" i="3"/>
  <c r="BH35" i="3"/>
  <c r="BI35" i="3"/>
  <c r="BJ35" i="3"/>
  <c r="BK35" i="3"/>
  <c r="BA35" i="3"/>
  <c r="BM35" i="3"/>
  <c r="BN35" i="3"/>
  <c r="BO35" i="3"/>
  <c r="BP35" i="3"/>
  <c r="BQ35" i="3"/>
  <c r="BR35" i="3"/>
  <c r="BS35" i="3"/>
  <c r="BT35" i="3"/>
  <c r="BL35" i="3"/>
  <c r="AZ35" i="3"/>
  <c r="BD36" i="3"/>
  <c r="BE36" i="3"/>
  <c r="BF36" i="3"/>
  <c r="BG36" i="3"/>
  <c r="BH36" i="3"/>
  <c r="BI36" i="3"/>
  <c r="BJ36" i="3"/>
  <c r="BK36" i="3"/>
  <c r="BA36" i="3"/>
  <c r="BM36" i="3"/>
  <c r="BN36" i="3"/>
  <c r="BO36" i="3"/>
  <c r="BP36" i="3"/>
  <c r="BQ36" i="3"/>
  <c r="BR36" i="3"/>
  <c r="BS36" i="3"/>
  <c r="BT36" i="3"/>
  <c r="BL36" i="3"/>
  <c r="AZ36" i="3"/>
  <c r="BD37" i="3"/>
  <c r="BE37" i="3"/>
  <c r="BF37" i="3"/>
  <c r="BG37" i="3"/>
  <c r="BH37" i="3"/>
  <c r="BI37" i="3"/>
  <c r="BJ37" i="3"/>
  <c r="BK37" i="3"/>
  <c r="BA37" i="3"/>
  <c r="BM37" i="3"/>
  <c r="BN37" i="3"/>
  <c r="BO37" i="3"/>
  <c r="BP37" i="3"/>
  <c r="BQ37" i="3"/>
  <c r="BR37" i="3"/>
  <c r="BS37" i="3"/>
  <c r="BT37" i="3"/>
  <c r="BL37" i="3"/>
  <c r="AZ37" i="3"/>
  <c r="BD38" i="3"/>
  <c r="BE38" i="3"/>
  <c r="BF38" i="3"/>
  <c r="BG38" i="3"/>
  <c r="BH38" i="3"/>
  <c r="BI38" i="3"/>
  <c r="BJ38" i="3"/>
  <c r="BK38" i="3"/>
  <c r="BA38" i="3"/>
  <c r="BM38" i="3"/>
  <c r="BN38" i="3"/>
  <c r="BO38" i="3"/>
  <c r="BP38" i="3"/>
  <c r="BQ38" i="3"/>
  <c r="BR38" i="3"/>
  <c r="BS38" i="3"/>
  <c r="BT38" i="3"/>
  <c r="BL38" i="3"/>
  <c r="AZ38" i="3"/>
  <c r="BD39" i="3"/>
  <c r="BE39" i="3"/>
  <c r="BF39" i="3"/>
  <c r="BG39" i="3"/>
  <c r="BH39" i="3"/>
  <c r="BI39" i="3"/>
  <c r="BJ39" i="3"/>
  <c r="BK39" i="3"/>
  <c r="BA39" i="3"/>
  <c r="BM39" i="3"/>
  <c r="BN39" i="3"/>
  <c r="BO39" i="3"/>
  <c r="BP39" i="3"/>
  <c r="BQ39" i="3"/>
  <c r="BR39" i="3"/>
  <c r="BS39" i="3"/>
  <c r="BT39" i="3"/>
  <c r="BL39" i="3"/>
  <c r="AZ39" i="3"/>
  <c r="BD40" i="3"/>
  <c r="BE40" i="3"/>
  <c r="BF40" i="3"/>
  <c r="BG40" i="3"/>
  <c r="BH40" i="3"/>
  <c r="BI40" i="3"/>
  <c r="BJ40" i="3"/>
  <c r="BK40" i="3"/>
  <c r="BA40" i="3"/>
  <c r="BM40" i="3"/>
  <c r="BN40" i="3"/>
  <c r="BO40" i="3"/>
  <c r="BP40" i="3"/>
  <c r="BQ40" i="3"/>
  <c r="BR40" i="3"/>
  <c r="BS40" i="3"/>
  <c r="BT40" i="3"/>
  <c r="BL40" i="3"/>
  <c r="AZ40" i="3"/>
  <c r="BD41" i="3"/>
  <c r="BE41" i="3"/>
  <c r="BF41" i="3"/>
  <c r="BG41" i="3"/>
  <c r="BH41" i="3"/>
  <c r="BI41" i="3"/>
  <c r="BJ41" i="3"/>
  <c r="BK41" i="3"/>
  <c r="BA41" i="3"/>
  <c r="BM41" i="3"/>
  <c r="BN41" i="3"/>
  <c r="BO41" i="3"/>
  <c r="BP41" i="3"/>
  <c r="BQ41" i="3"/>
  <c r="BR41" i="3"/>
  <c r="BS41" i="3"/>
  <c r="BT41" i="3"/>
  <c r="BL41" i="3"/>
  <c r="AZ41" i="3"/>
  <c r="BD42" i="3"/>
  <c r="BE42" i="3"/>
  <c r="BF42" i="3"/>
  <c r="BG42" i="3"/>
  <c r="BH42" i="3"/>
  <c r="BI42" i="3"/>
  <c r="BJ42" i="3"/>
  <c r="BK42" i="3"/>
  <c r="BA42" i="3"/>
  <c r="BM42" i="3"/>
  <c r="BN42" i="3"/>
  <c r="BO42" i="3"/>
  <c r="BP42" i="3"/>
  <c r="BQ42" i="3"/>
  <c r="BR42" i="3"/>
  <c r="BS42" i="3"/>
  <c r="BT42" i="3"/>
  <c r="BL42" i="3"/>
  <c r="AZ42" i="3"/>
  <c r="BD43" i="3"/>
  <c r="BE43" i="3"/>
  <c r="BF43" i="3"/>
  <c r="BG43" i="3"/>
  <c r="BH43" i="3"/>
  <c r="BI43" i="3"/>
  <c r="BJ43" i="3"/>
  <c r="BK43" i="3"/>
  <c r="BA43" i="3"/>
  <c r="BM43" i="3"/>
  <c r="BN43" i="3"/>
  <c r="BO43" i="3"/>
  <c r="BP43" i="3"/>
  <c r="BQ43" i="3"/>
  <c r="BR43" i="3"/>
  <c r="BS43" i="3"/>
  <c r="BT43" i="3"/>
  <c r="BL43" i="3"/>
  <c r="AZ43" i="3"/>
  <c r="BD44" i="3"/>
  <c r="BE44" i="3"/>
  <c r="BF44" i="3"/>
  <c r="BG44" i="3"/>
  <c r="BH44" i="3"/>
  <c r="BI44" i="3"/>
  <c r="BJ44" i="3"/>
  <c r="BK44" i="3"/>
  <c r="BA44" i="3"/>
  <c r="BM44" i="3"/>
  <c r="BN44" i="3"/>
  <c r="BO44" i="3"/>
  <c r="BP44" i="3"/>
  <c r="BQ44" i="3"/>
  <c r="BR44" i="3"/>
  <c r="BS44" i="3"/>
  <c r="BT44" i="3"/>
  <c r="BL44" i="3"/>
  <c r="AZ44" i="3"/>
  <c r="BD45" i="3"/>
  <c r="BE45" i="3"/>
  <c r="BF45" i="3"/>
  <c r="BG45" i="3"/>
  <c r="BH45" i="3"/>
  <c r="BI45" i="3"/>
  <c r="BJ45" i="3"/>
  <c r="BK45" i="3"/>
  <c r="BA45" i="3"/>
  <c r="BM45" i="3"/>
  <c r="BN45" i="3"/>
  <c r="BO45" i="3"/>
  <c r="BP45" i="3"/>
  <c r="BQ45" i="3"/>
  <c r="BR45" i="3"/>
  <c r="BS45" i="3"/>
  <c r="BT45" i="3"/>
  <c r="BL45" i="3"/>
  <c r="AZ45" i="3"/>
  <c r="BD46" i="3"/>
  <c r="BE46" i="3"/>
  <c r="BF46" i="3"/>
  <c r="BG46" i="3"/>
  <c r="BH46" i="3"/>
  <c r="BI46" i="3"/>
  <c r="BJ46" i="3"/>
  <c r="BK46" i="3"/>
  <c r="BA46" i="3"/>
  <c r="BM46" i="3"/>
  <c r="BN46" i="3"/>
  <c r="BO46" i="3"/>
  <c r="BP46" i="3"/>
  <c r="BQ46" i="3"/>
  <c r="BR46" i="3"/>
  <c r="BS46" i="3"/>
  <c r="BT46" i="3"/>
  <c r="BL46" i="3"/>
  <c r="AZ46" i="3"/>
  <c r="BD47" i="3"/>
  <c r="BE47" i="3"/>
  <c r="BF47" i="3"/>
  <c r="BG47" i="3"/>
  <c r="BH47" i="3"/>
  <c r="BI47" i="3"/>
  <c r="BJ47" i="3"/>
  <c r="BK47" i="3"/>
  <c r="BA47" i="3"/>
  <c r="BM47" i="3"/>
  <c r="BN47" i="3"/>
  <c r="BO47" i="3"/>
  <c r="BP47" i="3"/>
  <c r="BQ47" i="3"/>
  <c r="BR47" i="3"/>
  <c r="BS47" i="3"/>
  <c r="BT47" i="3"/>
  <c r="BL47" i="3"/>
  <c r="AZ47" i="3"/>
  <c r="BD48" i="3"/>
  <c r="BE48" i="3"/>
  <c r="BF48" i="3"/>
  <c r="BG48" i="3"/>
  <c r="BH48" i="3"/>
  <c r="BI48" i="3"/>
  <c r="BJ48" i="3"/>
  <c r="BK48" i="3"/>
  <c r="BA48" i="3"/>
  <c r="BM48" i="3"/>
  <c r="BN48" i="3"/>
  <c r="BO48" i="3"/>
  <c r="BP48" i="3"/>
  <c r="BQ48" i="3"/>
  <c r="BR48" i="3"/>
  <c r="BS48" i="3"/>
  <c r="BT48" i="3"/>
  <c r="BL48" i="3"/>
  <c r="AZ48" i="3"/>
  <c r="BD49" i="3"/>
  <c r="BE49" i="3"/>
  <c r="BF49" i="3"/>
  <c r="BG49" i="3"/>
  <c r="BH49" i="3"/>
  <c r="BI49" i="3"/>
  <c r="BJ49" i="3"/>
  <c r="BK49" i="3"/>
  <c r="BA49" i="3"/>
  <c r="BM49" i="3"/>
  <c r="BN49" i="3"/>
  <c r="BO49" i="3"/>
  <c r="BP49" i="3"/>
  <c r="BQ49" i="3"/>
  <c r="BR49" i="3"/>
  <c r="BS49" i="3"/>
  <c r="BT49" i="3"/>
  <c r="BL49" i="3"/>
  <c r="AZ49" i="3"/>
  <c r="BD50" i="3"/>
  <c r="BE50" i="3"/>
  <c r="BF50" i="3"/>
  <c r="BG50" i="3"/>
  <c r="BH50" i="3"/>
  <c r="BI50" i="3"/>
  <c r="BJ50" i="3"/>
  <c r="BK50" i="3"/>
  <c r="BA50" i="3"/>
  <c r="BM50" i="3"/>
  <c r="BN50" i="3"/>
  <c r="BO50" i="3"/>
  <c r="BP50" i="3"/>
  <c r="BQ50" i="3"/>
  <c r="BR50" i="3"/>
  <c r="BS50" i="3"/>
  <c r="BT50" i="3"/>
  <c r="BL50" i="3"/>
  <c r="AZ50" i="3"/>
  <c r="BD51" i="3"/>
  <c r="BE51" i="3"/>
  <c r="BF51" i="3"/>
  <c r="BG51" i="3"/>
  <c r="BH51" i="3"/>
  <c r="BI51" i="3"/>
  <c r="BJ51" i="3"/>
  <c r="BK51" i="3"/>
  <c r="BA51" i="3"/>
  <c r="BM51" i="3"/>
  <c r="BN51" i="3"/>
  <c r="BO51" i="3"/>
  <c r="BP51" i="3"/>
  <c r="BQ51" i="3"/>
  <c r="BR51" i="3"/>
  <c r="BS51" i="3"/>
  <c r="BT51" i="3"/>
  <c r="BL51" i="3"/>
  <c r="AZ51" i="3"/>
  <c r="BD52" i="3"/>
  <c r="BE52" i="3"/>
  <c r="BF52" i="3"/>
  <c r="BG52" i="3"/>
  <c r="BH52" i="3"/>
  <c r="BI52" i="3"/>
  <c r="BJ52" i="3"/>
  <c r="BK52" i="3"/>
  <c r="BA52" i="3"/>
  <c r="BM52" i="3"/>
  <c r="BN52" i="3"/>
  <c r="BO52" i="3"/>
  <c r="BP52" i="3"/>
  <c r="BQ52" i="3"/>
  <c r="BR52" i="3"/>
  <c r="BS52" i="3"/>
  <c r="BT52" i="3"/>
  <c r="BL52" i="3"/>
  <c r="AZ52" i="3"/>
  <c r="BD53" i="3"/>
  <c r="BE53" i="3"/>
  <c r="BF53" i="3"/>
  <c r="BG53" i="3"/>
  <c r="BH53" i="3"/>
  <c r="BI53" i="3"/>
  <c r="BJ53" i="3"/>
  <c r="BK53" i="3"/>
  <c r="BA53" i="3"/>
  <c r="BM53" i="3"/>
  <c r="BN53" i="3"/>
  <c r="BO53" i="3"/>
  <c r="BP53" i="3"/>
  <c r="BQ53" i="3"/>
  <c r="BR53" i="3"/>
  <c r="BS53" i="3"/>
  <c r="BT53" i="3"/>
  <c r="BL53" i="3"/>
  <c r="AZ53" i="3"/>
  <c r="BD54" i="3"/>
  <c r="BE54" i="3"/>
  <c r="BF54" i="3"/>
  <c r="BG54" i="3"/>
  <c r="BH54" i="3"/>
  <c r="BI54" i="3"/>
  <c r="BJ54" i="3"/>
  <c r="BK54" i="3"/>
  <c r="BA54" i="3"/>
  <c r="BM54" i="3"/>
  <c r="BN54" i="3"/>
  <c r="BO54" i="3"/>
  <c r="BP54" i="3"/>
  <c r="BQ54" i="3"/>
  <c r="BR54" i="3"/>
  <c r="BS54" i="3"/>
  <c r="BT54" i="3"/>
  <c r="BL54" i="3"/>
  <c r="AZ54" i="3"/>
  <c r="BD55" i="3"/>
  <c r="BE55" i="3"/>
  <c r="BF55" i="3"/>
  <c r="BG55" i="3"/>
  <c r="BH55" i="3"/>
  <c r="BI55" i="3"/>
  <c r="BJ55" i="3"/>
  <c r="BK55" i="3"/>
  <c r="BA55" i="3"/>
  <c r="BM55" i="3"/>
  <c r="BN55" i="3"/>
  <c r="BO55" i="3"/>
  <c r="BP55" i="3"/>
  <c r="BQ55" i="3"/>
  <c r="BR55" i="3"/>
  <c r="BS55" i="3"/>
  <c r="BT55" i="3"/>
  <c r="BL55" i="3"/>
  <c r="AZ55" i="3"/>
  <c r="BD56" i="3"/>
  <c r="BE56" i="3"/>
  <c r="BF56" i="3"/>
  <c r="BG56" i="3"/>
  <c r="BH56" i="3"/>
  <c r="BI56" i="3"/>
  <c r="BJ56" i="3"/>
  <c r="BK56" i="3"/>
  <c r="BA56" i="3"/>
  <c r="BM56" i="3"/>
  <c r="BN56" i="3"/>
  <c r="BO56" i="3"/>
  <c r="BP56" i="3"/>
  <c r="BQ56" i="3"/>
  <c r="BR56" i="3"/>
  <c r="BS56" i="3"/>
  <c r="BT56" i="3"/>
  <c r="BL56" i="3"/>
  <c r="AZ56" i="3"/>
  <c r="BD57" i="3"/>
  <c r="BE57" i="3"/>
  <c r="BF57" i="3"/>
  <c r="BG57" i="3"/>
  <c r="BH57" i="3"/>
  <c r="BI57" i="3"/>
  <c r="BJ57" i="3"/>
  <c r="BK57" i="3"/>
  <c r="BA57" i="3"/>
  <c r="BM57" i="3"/>
  <c r="BN57" i="3"/>
  <c r="BO57" i="3"/>
  <c r="BP57" i="3"/>
  <c r="BQ57" i="3"/>
  <c r="BR57" i="3"/>
  <c r="BS57" i="3"/>
  <c r="BT57" i="3"/>
  <c r="BL57" i="3"/>
  <c r="AZ57" i="3"/>
  <c r="BD58" i="3"/>
  <c r="BE58" i="3"/>
  <c r="BF58" i="3"/>
  <c r="BG58" i="3"/>
  <c r="BH58" i="3"/>
  <c r="BI58" i="3"/>
  <c r="BJ58" i="3"/>
  <c r="BK58" i="3"/>
  <c r="BA58" i="3"/>
  <c r="BM58" i="3"/>
  <c r="BN58" i="3"/>
  <c r="BO58" i="3"/>
  <c r="BP58" i="3"/>
  <c r="BQ58" i="3"/>
  <c r="BR58" i="3"/>
  <c r="BS58" i="3"/>
  <c r="BT58" i="3"/>
  <c r="BL58" i="3"/>
  <c r="AZ58" i="3"/>
  <c r="BD59" i="3"/>
  <c r="BE59" i="3"/>
  <c r="BF59" i="3"/>
  <c r="BG59" i="3"/>
  <c r="BH59" i="3"/>
  <c r="BI59" i="3"/>
  <c r="BJ59" i="3"/>
  <c r="BK59" i="3"/>
  <c r="BA59" i="3"/>
  <c r="BM59" i="3"/>
  <c r="BN59" i="3"/>
  <c r="BO59" i="3"/>
  <c r="BP59" i="3"/>
  <c r="BQ59" i="3"/>
  <c r="BR59" i="3"/>
  <c r="BS59" i="3"/>
  <c r="BT59" i="3"/>
  <c r="BL59" i="3"/>
  <c r="AZ59" i="3"/>
  <c r="BD60" i="3"/>
  <c r="BE60" i="3"/>
  <c r="BF60" i="3"/>
  <c r="BG60" i="3"/>
  <c r="BH60" i="3"/>
  <c r="BI60" i="3"/>
  <c r="BJ60" i="3"/>
  <c r="BK60" i="3"/>
  <c r="BA60" i="3"/>
  <c r="BM60" i="3"/>
  <c r="BN60" i="3"/>
  <c r="BO60" i="3"/>
  <c r="BP60" i="3"/>
  <c r="BQ60" i="3"/>
  <c r="BR60" i="3"/>
  <c r="BS60" i="3"/>
  <c r="BT60" i="3"/>
  <c r="BL60" i="3"/>
  <c r="AZ60" i="3"/>
  <c r="BD61" i="3"/>
  <c r="BE61" i="3"/>
  <c r="BF61" i="3"/>
  <c r="BG61" i="3"/>
  <c r="BH61" i="3"/>
  <c r="BI61" i="3"/>
  <c r="BJ61" i="3"/>
  <c r="BK61" i="3"/>
  <c r="BA61" i="3"/>
  <c r="BM61" i="3"/>
  <c r="BN61" i="3"/>
  <c r="BO61" i="3"/>
  <c r="BP61" i="3"/>
  <c r="BQ61" i="3"/>
  <c r="BR61" i="3"/>
  <c r="BS61" i="3"/>
  <c r="BT61" i="3"/>
  <c r="BL61" i="3"/>
  <c r="AZ61" i="3"/>
  <c r="BD62" i="3"/>
  <c r="BE62" i="3"/>
  <c r="BF62" i="3"/>
  <c r="BG62" i="3"/>
  <c r="BH62" i="3"/>
  <c r="BI62" i="3"/>
  <c r="BJ62" i="3"/>
  <c r="BK62" i="3"/>
  <c r="BA62" i="3"/>
  <c r="BM62" i="3"/>
  <c r="BN62" i="3"/>
  <c r="BO62" i="3"/>
  <c r="BP62" i="3"/>
  <c r="BQ62" i="3"/>
  <c r="BR62" i="3"/>
  <c r="BS62" i="3"/>
  <c r="BT62" i="3"/>
  <c r="BL62" i="3"/>
  <c r="AZ62" i="3"/>
  <c r="BD63" i="3"/>
  <c r="BE63" i="3"/>
  <c r="BF63" i="3"/>
  <c r="BG63" i="3"/>
  <c r="BH63" i="3"/>
  <c r="BI63" i="3"/>
  <c r="BJ63" i="3"/>
  <c r="BK63" i="3"/>
  <c r="BA63" i="3"/>
  <c r="BM63" i="3"/>
  <c r="BN63" i="3"/>
  <c r="BO63" i="3"/>
  <c r="BP63" i="3"/>
  <c r="BQ63" i="3"/>
  <c r="BR63" i="3"/>
  <c r="BS63" i="3"/>
  <c r="BT63" i="3"/>
  <c r="BL63" i="3"/>
  <c r="AZ63" i="3"/>
  <c r="BD64" i="3"/>
  <c r="BE64" i="3"/>
  <c r="BF64" i="3"/>
  <c r="BG64" i="3"/>
  <c r="BH64" i="3"/>
  <c r="BI64" i="3"/>
  <c r="BJ64" i="3"/>
  <c r="BK64" i="3"/>
  <c r="BA64" i="3"/>
  <c r="BM64" i="3"/>
  <c r="BN64" i="3"/>
  <c r="BO64" i="3"/>
  <c r="BP64" i="3"/>
  <c r="BQ64" i="3"/>
  <c r="BR64" i="3"/>
  <c r="BS64" i="3"/>
  <c r="BT64" i="3"/>
  <c r="BL64" i="3"/>
  <c r="AZ64" i="3"/>
  <c r="BD65" i="3"/>
  <c r="BE65" i="3"/>
  <c r="BF65" i="3"/>
  <c r="BG65" i="3"/>
  <c r="BH65" i="3"/>
  <c r="BI65" i="3"/>
  <c r="BJ65" i="3"/>
  <c r="BK65" i="3"/>
  <c r="BA65" i="3"/>
  <c r="BM65" i="3"/>
  <c r="BN65" i="3"/>
  <c r="BO65" i="3"/>
  <c r="BP65" i="3"/>
  <c r="BQ65" i="3"/>
  <c r="BR65" i="3"/>
  <c r="BS65" i="3"/>
  <c r="BT65" i="3"/>
  <c r="BL65" i="3"/>
  <c r="AZ65" i="3"/>
  <c r="BD66" i="3"/>
  <c r="BE66" i="3"/>
  <c r="BF66" i="3"/>
  <c r="BG66" i="3"/>
  <c r="BH66" i="3"/>
  <c r="BI66" i="3"/>
  <c r="BJ66" i="3"/>
  <c r="BK66" i="3"/>
  <c r="BA66" i="3"/>
  <c r="BM66" i="3"/>
  <c r="BN66" i="3"/>
  <c r="BO66" i="3"/>
  <c r="BP66" i="3"/>
  <c r="BQ66" i="3"/>
  <c r="BR66" i="3"/>
  <c r="BS66" i="3"/>
  <c r="BT66" i="3"/>
  <c r="BL66" i="3"/>
  <c r="AZ66" i="3"/>
  <c r="BD67" i="3"/>
  <c r="BE67" i="3"/>
  <c r="BF67" i="3"/>
  <c r="BG67" i="3"/>
  <c r="BH67" i="3"/>
  <c r="BI67" i="3"/>
  <c r="BJ67" i="3"/>
  <c r="BK67" i="3"/>
  <c r="BA67" i="3"/>
  <c r="BM67" i="3"/>
  <c r="BN67" i="3"/>
  <c r="BO67" i="3"/>
  <c r="BP67" i="3"/>
  <c r="BQ67" i="3"/>
  <c r="BR67" i="3"/>
  <c r="BS67" i="3"/>
  <c r="BT67" i="3"/>
  <c r="BL67" i="3"/>
  <c r="AZ67" i="3"/>
  <c r="BD68" i="3"/>
  <c r="BE68" i="3"/>
  <c r="BF68" i="3"/>
  <c r="BG68" i="3"/>
  <c r="BH68" i="3"/>
  <c r="BI68" i="3"/>
  <c r="BJ68" i="3"/>
  <c r="BK68" i="3"/>
  <c r="BA68" i="3"/>
  <c r="BM68" i="3"/>
  <c r="BN68" i="3"/>
  <c r="BO68" i="3"/>
  <c r="BP68" i="3"/>
  <c r="BQ68" i="3"/>
  <c r="BR68" i="3"/>
  <c r="BS68" i="3"/>
  <c r="BT68" i="3"/>
  <c r="BL68" i="3"/>
  <c r="AZ68" i="3"/>
  <c r="BD69" i="3"/>
  <c r="BE69" i="3"/>
  <c r="BF69" i="3"/>
  <c r="BG69" i="3"/>
  <c r="BH69" i="3"/>
  <c r="BI69" i="3"/>
  <c r="BJ69" i="3"/>
  <c r="BK69" i="3"/>
  <c r="BA69" i="3"/>
  <c r="BM69" i="3"/>
  <c r="BN69" i="3"/>
  <c r="BO69" i="3"/>
  <c r="BP69" i="3"/>
  <c r="BQ69" i="3"/>
  <c r="BR69" i="3"/>
  <c r="BS69" i="3"/>
  <c r="BT69" i="3"/>
  <c r="BL69" i="3"/>
  <c r="AZ69" i="3"/>
  <c r="BD70" i="3"/>
  <c r="BE70" i="3"/>
  <c r="BF70" i="3"/>
  <c r="BG70" i="3"/>
  <c r="BH70" i="3"/>
  <c r="BI70" i="3"/>
  <c r="BJ70" i="3"/>
  <c r="BK70" i="3"/>
  <c r="BA70" i="3"/>
  <c r="BM70" i="3"/>
  <c r="BN70" i="3"/>
  <c r="BO70" i="3"/>
  <c r="BP70" i="3"/>
  <c r="BQ70" i="3"/>
  <c r="BR70" i="3"/>
  <c r="BS70" i="3"/>
  <c r="BT70" i="3"/>
  <c r="BL70" i="3"/>
  <c r="AZ70" i="3"/>
  <c r="BD71" i="3"/>
  <c r="BE71" i="3"/>
  <c r="BF71" i="3"/>
  <c r="BG71" i="3"/>
  <c r="BH71" i="3"/>
  <c r="BI71" i="3"/>
  <c r="BJ71" i="3"/>
  <c r="BK71" i="3"/>
  <c r="BA71" i="3"/>
  <c r="BM71" i="3"/>
  <c r="BN71" i="3"/>
  <c r="BO71" i="3"/>
  <c r="BP71" i="3"/>
  <c r="BQ71" i="3"/>
  <c r="BR71" i="3"/>
  <c r="BS71" i="3"/>
  <c r="BT71" i="3"/>
  <c r="BL71" i="3"/>
  <c r="AZ71" i="3"/>
  <c r="BD72" i="3"/>
  <c r="BE72" i="3"/>
  <c r="BF72" i="3"/>
  <c r="BG72" i="3"/>
  <c r="BH72" i="3"/>
  <c r="BI72" i="3"/>
  <c r="BJ72" i="3"/>
  <c r="BK72" i="3"/>
  <c r="BA72" i="3"/>
  <c r="BM72" i="3"/>
  <c r="BN72" i="3"/>
  <c r="BO72" i="3"/>
  <c r="BP72" i="3"/>
  <c r="BQ72" i="3"/>
  <c r="BR72" i="3"/>
  <c r="BS72" i="3"/>
  <c r="BT72" i="3"/>
  <c r="BL72" i="3"/>
  <c r="AZ72" i="3"/>
  <c r="BD73" i="3"/>
  <c r="BE73" i="3"/>
  <c r="BF73" i="3"/>
  <c r="BG73" i="3"/>
  <c r="BH73" i="3"/>
  <c r="BI73" i="3"/>
  <c r="BJ73" i="3"/>
  <c r="BK73" i="3"/>
  <c r="BA73" i="3"/>
  <c r="BM73" i="3"/>
  <c r="BN73" i="3"/>
  <c r="BO73" i="3"/>
  <c r="BP73" i="3"/>
  <c r="BQ73" i="3"/>
  <c r="BR73" i="3"/>
  <c r="BS73" i="3"/>
  <c r="BT73" i="3"/>
  <c r="BL73" i="3"/>
  <c r="AZ73" i="3"/>
  <c r="BD74" i="3"/>
  <c r="BE74" i="3"/>
  <c r="BF74" i="3"/>
  <c r="BG74" i="3"/>
  <c r="BH74" i="3"/>
  <c r="BI74" i="3"/>
  <c r="BJ74" i="3"/>
  <c r="BK74" i="3"/>
  <c r="BA74" i="3"/>
  <c r="BM74" i="3"/>
  <c r="BN74" i="3"/>
  <c r="BO74" i="3"/>
  <c r="BP74" i="3"/>
  <c r="BQ74" i="3"/>
  <c r="BR74" i="3"/>
  <c r="BS74" i="3"/>
  <c r="BT74" i="3"/>
  <c r="BL74" i="3"/>
  <c r="AZ74" i="3"/>
  <c r="BD75" i="3"/>
  <c r="BE75" i="3"/>
  <c r="BF75" i="3"/>
  <c r="BG75" i="3"/>
  <c r="BH75" i="3"/>
  <c r="BI75" i="3"/>
  <c r="BJ75" i="3"/>
  <c r="BK75" i="3"/>
  <c r="BA75" i="3"/>
  <c r="BM75" i="3"/>
  <c r="BN75" i="3"/>
  <c r="BO75" i="3"/>
  <c r="BP75" i="3"/>
  <c r="BQ75" i="3"/>
  <c r="BR75" i="3"/>
  <c r="BS75" i="3"/>
  <c r="BT75" i="3"/>
  <c r="BL75" i="3"/>
  <c r="AZ75" i="3"/>
  <c r="BD76" i="3"/>
  <c r="BE76" i="3"/>
  <c r="BF76" i="3"/>
  <c r="BG76" i="3"/>
  <c r="BH76" i="3"/>
  <c r="BI76" i="3"/>
  <c r="BJ76" i="3"/>
  <c r="BK76" i="3"/>
  <c r="BA76" i="3"/>
  <c r="BM76" i="3"/>
  <c r="BN76" i="3"/>
  <c r="BO76" i="3"/>
  <c r="BP76" i="3"/>
  <c r="BQ76" i="3"/>
  <c r="BR76" i="3"/>
  <c r="BS76" i="3"/>
  <c r="BT76" i="3"/>
  <c r="BL76" i="3"/>
  <c r="AZ76" i="3"/>
  <c r="BD77" i="3"/>
  <c r="BE77" i="3"/>
  <c r="BF77" i="3"/>
  <c r="BG77" i="3"/>
  <c r="BH77" i="3"/>
  <c r="BI77" i="3"/>
  <c r="BJ77" i="3"/>
  <c r="BK77" i="3"/>
  <c r="BA77" i="3"/>
  <c r="BM77" i="3"/>
  <c r="BN77" i="3"/>
  <c r="BO77" i="3"/>
  <c r="BP77" i="3"/>
  <c r="BQ77" i="3"/>
  <c r="BR77" i="3"/>
  <c r="BS77" i="3"/>
  <c r="BT77" i="3"/>
  <c r="BL77" i="3"/>
  <c r="AZ77" i="3"/>
  <c r="BD78" i="3"/>
  <c r="BE78" i="3"/>
  <c r="BF78" i="3"/>
  <c r="BG78" i="3"/>
  <c r="BH78" i="3"/>
  <c r="BI78" i="3"/>
  <c r="BJ78" i="3"/>
  <c r="BK78" i="3"/>
  <c r="BA78" i="3"/>
  <c r="BM78" i="3"/>
  <c r="BN78" i="3"/>
  <c r="BO78" i="3"/>
  <c r="BP78" i="3"/>
  <c r="BQ78" i="3"/>
  <c r="BR78" i="3"/>
  <c r="BS78" i="3"/>
  <c r="BT78" i="3"/>
  <c r="BL78" i="3"/>
  <c r="AZ78" i="3"/>
  <c r="BD79" i="3"/>
  <c r="BE79" i="3"/>
  <c r="BF79" i="3"/>
  <c r="BG79" i="3"/>
  <c r="BH79" i="3"/>
  <c r="BI79" i="3"/>
  <c r="BJ79" i="3"/>
  <c r="BK79" i="3"/>
  <c r="BA79" i="3"/>
  <c r="BM79" i="3"/>
  <c r="BN79" i="3"/>
  <c r="BO79" i="3"/>
  <c r="BP79" i="3"/>
  <c r="BQ79" i="3"/>
  <c r="BR79" i="3"/>
  <c r="BS79" i="3"/>
  <c r="BT79" i="3"/>
  <c r="BL79" i="3"/>
  <c r="AZ79" i="3"/>
  <c r="BD80" i="3"/>
  <c r="BE80" i="3"/>
  <c r="BF80" i="3"/>
  <c r="BG80" i="3"/>
  <c r="BH80" i="3"/>
  <c r="BI80" i="3"/>
  <c r="BJ80" i="3"/>
  <c r="BK80" i="3"/>
  <c r="BA80" i="3"/>
  <c r="BM80" i="3"/>
  <c r="BN80" i="3"/>
  <c r="BO80" i="3"/>
  <c r="BP80" i="3"/>
  <c r="BQ80" i="3"/>
  <c r="BR80" i="3"/>
  <c r="BS80" i="3"/>
  <c r="BT80" i="3"/>
  <c r="BL80" i="3"/>
  <c r="AZ80" i="3"/>
  <c r="BD81" i="3"/>
  <c r="BE81" i="3"/>
  <c r="BF81" i="3"/>
  <c r="BG81" i="3"/>
  <c r="BH81" i="3"/>
  <c r="BI81" i="3"/>
  <c r="BJ81" i="3"/>
  <c r="BK81" i="3"/>
  <c r="BA81" i="3"/>
  <c r="BM81" i="3"/>
  <c r="BN81" i="3"/>
  <c r="BO81" i="3"/>
  <c r="BP81" i="3"/>
  <c r="BQ81" i="3"/>
  <c r="BR81" i="3"/>
  <c r="BS81" i="3"/>
  <c r="BT81" i="3"/>
  <c r="BL81" i="3"/>
  <c r="AZ81" i="3"/>
  <c r="BD82" i="3"/>
  <c r="BE82" i="3"/>
  <c r="BF82" i="3"/>
  <c r="BG82" i="3"/>
  <c r="BH82" i="3"/>
  <c r="BI82" i="3"/>
  <c r="BJ82" i="3"/>
  <c r="BK82" i="3"/>
  <c r="BA82" i="3"/>
  <c r="BM82" i="3"/>
  <c r="BN82" i="3"/>
  <c r="BO82" i="3"/>
  <c r="BP82" i="3"/>
  <c r="BQ82" i="3"/>
  <c r="BR82" i="3"/>
  <c r="BS82" i="3"/>
  <c r="BT82" i="3"/>
  <c r="BL82" i="3"/>
  <c r="AZ82" i="3"/>
  <c r="BD83" i="3"/>
  <c r="BE83" i="3"/>
  <c r="BF83" i="3"/>
  <c r="BG83" i="3"/>
  <c r="BH83" i="3"/>
  <c r="BI83" i="3"/>
  <c r="BJ83" i="3"/>
  <c r="BK83" i="3"/>
  <c r="BA83" i="3"/>
  <c r="BM83" i="3"/>
  <c r="BN83" i="3"/>
  <c r="BO83" i="3"/>
  <c r="BP83" i="3"/>
  <c r="BQ83" i="3"/>
  <c r="BR83" i="3"/>
  <c r="BS83" i="3"/>
  <c r="BT83" i="3"/>
  <c r="BL83" i="3"/>
  <c r="AZ83" i="3"/>
  <c r="BD84" i="3"/>
  <c r="BE84" i="3"/>
  <c r="BF84" i="3"/>
  <c r="BG84" i="3"/>
  <c r="BH84" i="3"/>
  <c r="BI84" i="3"/>
  <c r="BJ84" i="3"/>
  <c r="BK84" i="3"/>
  <c r="BA84" i="3"/>
  <c r="BM84" i="3"/>
  <c r="BN84" i="3"/>
  <c r="BO84" i="3"/>
  <c r="BP84" i="3"/>
  <c r="BQ84" i="3"/>
  <c r="BR84" i="3"/>
  <c r="BS84" i="3"/>
  <c r="BT84" i="3"/>
  <c r="BL84" i="3"/>
  <c r="AZ84" i="3"/>
  <c r="BD85" i="3"/>
  <c r="BE85" i="3"/>
  <c r="BF85" i="3"/>
  <c r="BG85" i="3"/>
  <c r="BH85" i="3"/>
  <c r="BI85" i="3"/>
  <c r="BJ85" i="3"/>
  <c r="BK85" i="3"/>
  <c r="BA85" i="3"/>
  <c r="BM85" i="3"/>
  <c r="BN85" i="3"/>
  <c r="BO85" i="3"/>
  <c r="BP85" i="3"/>
  <c r="BQ85" i="3"/>
  <c r="BR85" i="3"/>
  <c r="BS85" i="3"/>
  <c r="BT85" i="3"/>
  <c r="BL85" i="3"/>
  <c r="AZ85" i="3"/>
  <c r="BD86" i="3"/>
  <c r="BE86" i="3"/>
  <c r="BF86" i="3"/>
  <c r="BG86" i="3"/>
  <c r="BH86" i="3"/>
  <c r="BI86" i="3"/>
  <c r="BJ86" i="3"/>
  <c r="BK86" i="3"/>
  <c r="BA86" i="3"/>
  <c r="BM86" i="3"/>
  <c r="BN86" i="3"/>
  <c r="BO86" i="3"/>
  <c r="BP86" i="3"/>
  <c r="BQ86" i="3"/>
  <c r="BR86" i="3"/>
  <c r="BS86" i="3"/>
  <c r="BT86" i="3"/>
  <c r="BL86" i="3"/>
  <c r="AZ86" i="3"/>
  <c r="BD87" i="3"/>
  <c r="BE87" i="3"/>
  <c r="BF87" i="3"/>
  <c r="BG87" i="3"/>
  <c r="BH87" i="3"/>
  <c r="BI87" i="3"/>
  <c r="BJ87" i="3"/>
  <c r="BK87" i="3"/>
  <c r="BA87" i="3"/>
  <c r="BM87" i="3"/>
  <c r="BN87" i="3"/>
  <c r="BO87" i="3"/>
  <c r="BP87" i="3"/>
  <c r="BQ87" i="3"/>
  <c r="BR87" i="3"/>
  <c r="BS87" i="3"/>
  <c r="BT87" i="3"/>
  <c r="BL87" i="3"/>
  <c r="AZ87" i="3"/>
  <c r="BD88" i="3"/>
  <c r="BE88" i="3"/>
  <c r="BF88" i="3"/>
  <c r="BG88" i="3"/>
  <c r="BH88" i="3"/>
  <c r="BI88" i="3"/>
  <c r="BJ88" i="3"/>
  <c r="BK88" i="3"/>
  <c r="BA88" i="3"/>
  <c r="BM88" i="3"/>
  <c r="BN88" i="3"/>
  <c r="BO88" i="3"/>
  <c r="BP88" i="3"/>
  <c r="BQ88" i="3"/>
  <c r="BR88" i="3"/>
  <c r="BS88" i="3"/>
  <c r="BT88" i="3"/>
  <c r="BL88" i="3"/>
  <c r="AZ88" i="3"/>
  <c r="BD89" i="3"/>
  <c r="BE89" i="3"/>
  <c r="BF89" i="3"/>
  <c r="BG89" i="3"/>
  <c r="BH89" i="3"/>
  <c r="BI89" i="3"/>
  <c r="BJ89" i="3"/>
  <c r="BK89" i="3"/>
  <c r="BA89" i="3"/>
  <c r="BM89" i="3"/>
  <c r="BN89" i="3"/>
  <c r="BO89" i="3"/>
  <c r="BP89" i="3"/>
  <c r="BQ89" i="3"/>
  <c r="BR89" i="3"/>
  <c r="BS89" i="3"/>
  <c r="BT89" i="3"/>
  <c r="BL89" i="3"/>
  <c r="AZ89" i="3"/>
  <c r="BD90" i="3"/>
  <c r="BE90" i="3"/>
  <c r="BF90" i="3"/>
  <c r="BG90" i="3"/>
  <c r="BH90" i="3"/>
  <c r="BI90" i="3"/>
  <c r="BJ90" i="3"/>
  <c r="BK90" i="3"/>
  <c r="BA90" i="3"/>
  <c r="BM90" i="3"/>
  <c r="BN90" i="3"/>
  <c r="BO90" i="3"/>
  <c r="BP90" i="3"/>
  <c r="BQ90" i="3"/>
  <c r="BR90" i="3"/>
  <c r="BS90" i="3"/>
  <c r="BT90" i="3"/>
  <c r="BL90" i="3"/>
  <c r="AZ90" i="3"/>
  <c r="BD91" i="3"/>
  <c r="BE91" i="3"/>
  <c r="BF91" i="3"/>
  <c r="BG91" i="3"/>
  <c r="BH91" i="3"/>
  <c r="BI91" i="3"/>
  <c r="BJ91" i="3"/>
  <c r="BK91" i="3"/>
  <c r="BA91" i="3"/>
  <c r="BM91" i="3"/>
  <c r="BN91" i="3"/>
  <c r="BO91" i="3"/>
  <c r="BP91" i="3"/>
  <c r="BQ91" i="3"/>
  <c r="BR91" i="3"/>
  <c r="BS91" i="3"/>
  <c r="BT91" i="3"/>
  <c r="BL91" i="3"/>
  <c r="AZ91" i="3"/>
  <c r="BD92" i="3"/>
  <c r="BE92" i="3"/>
  <c r="BF92" i="3"/>
  <c r="BG92" i="3"/>
  <c r="BH92" i="3"/>
  <c r="BI92" i="3"/>
  <c r="BJ92" i="3"/>
  <c r="BK92" i="3"/>
  <c r="BA92" i="3"/>
  <c r="BM92" i="3"/>
  <c r="BN92" i="3"/>
  <c r="BO92" i="3"/>
  <c r="BP92" i="3"/>
  <c r="BQ92" i="3"/>
  <c r="BR92" i="3"/>
  <c r="BS92" i="3"/>
  <c r="BT92" i="3"/>
  <c r="BL92" i="3"/>
  <c r="AZ92" i="3"/>
  <c r="BD93" i="3"/>
  <c r="BE93" i="3"/>
  <c r="BF93" i="3"/>
  <c r="BG93" i="3"/>
  <c r="BH93" i="3"/>
  <c r="BI93" i="3"/>
  <c r="BJ93" i="3"/>
  <c r="BK93" i="3"/>
  <c r="BA93" i="3"/>
  <c r="BM93" i="3"/>
  <c r="BN93" i="3"/>
  <c r="BO93" i="3"/>
  <c r="BP93" i="3"/>
  <c r="BQ93" i="3"/>
  <c r="BR93" i="3"/>
  <c r="BS93" i="3"/>
  <c r="BT93" i="3"/>
  <c r="BL93" i="3"/>
  <c r="AZ93" i="3"/>
  <c r="BD94" i="3"/>
  <c r="BE94" i="3"/>
  <c r="BF94" i="3"/>
  <c r="BG94" i="3"/>
  <c r="BH94" i="3"/>
  <c r="BI94" i="3"/>
  <c r="BJ94" i="3"/>
  <c r="BK94" i="3"/>
  <c r="BA94" i="3"/>
  <c r="BM94" i="3"/>
  <c r="BN94" i="3"/>
  <c r="BO94" i="3"/>
  <c r="BP94" i="3"/>
  <c r="BQ94" i="3"/>
  <c r="BR94" i="3"/>
  <c r="BS94" i="3"/>
  <c r="BT94" i="3"/>
  <c r="BL94" i="3"/>
  <c r="AZ94" i="3"/>
  <c r="BD95" i="3"/>
  <c r="BE95" i="3"/>
  <c r="BF95" i="3"/>
  <c r="BG95" i="3"/>
  <c r="BH95" i="3"/>
  <c r="BI95" i="3"/>
  <c r="BJ95" i="3"/>
  <c r="BK95" i="3"/>
  <c r="BA95" i="3"/>
  <c r="BM95" i="3"/>
  <c r="BN95" i="3"/>
  <c r="BO95" i="3"/>
  <c r="BP95" i="3"/>
  <c r="BQ95" i="3"/>
  <c r="BR95" i="3"/>
  <c r="BS95" i="3"/>
  <c r="BT95" i="3"/>
  <c r="BL95" i="3"/>
  <c r="AZ95" i="3"/>
  <c r="BD96" i="3"/>
  <c r="BE96" i="3"/>
  <c r="BF96" i="3"/>
  <c r="BG96" i="3"/>
  <c r="BH96" i="3"/>
  <c r="BI96" i="3"/>
  <c r="BJ96" i="3"/>
  <c r="BK96" i="3"/>
  <c r="BA96" i="3"/>
  <c r="BM96" i="3"/>
  <c r="BN96" i="3"/>
  <c r="BO96" i="3"/>
  <c r="BP96" i="3"/>
  <c r="BQ96" i="3"/>
  <c r="BR96" i="3"/>
  <c r="BS96" i="3"/>
  <c r="BT96" i="3"/>
  <c r="BL96" i="3"/>
  <c r="AZ96" i="3"/>
  <c r="BD97" i="3"/>
  <c r="BE97" i="3"/>
  <c r="BF97" i="3"/>
  <c r="BG97" i="3"/>
  <c r="BH97" i="3"/>
  <c r="BI97" i="3"/>
  <c r="BJ97" i="3"/>
  <c r="BK97" i="3"/>
  <c r="BA97" i="3"/>
  <c r="BM97" i="3"/>
  <c r="BN97" i="3"/>
  <c r="BO97" i="3"/>
  <c r="BP97" i="3"/>
  <c r="BQ97" i="3"/>
  <c r="BR97" i="3"/>
  <c r="BS97" i="3"/>
  <c r="BT97" i="3"/>
  <c r="BL97" i="3"/>
  <c r="AZ97" i="3"/>
  <c r="BD98" i="3"/>
  <c r="BE98" i="3"/>
  <c r="BF98" i="3"/>
  <c r="BG98" i="3"/>
  <c r="BH98" i="3"/>
  <c r="BI98" i="3"/>
  <c r="BJ98" i="3"/>
  <c r="BK98" i="3"/>
  <c r="BA98" i="3"/>
  <c r="BM98" i="3"/>
  <c r="BN98" i="3"/>
  <c r="BO98" i="3"/>
  <c r="BP98" i="3"/>
  <c r="BQ98" i="3"/>
  <c r="BR98" i="3"/>
  <c r="BS98" i="3"/>
  <c r="BT98" i="3"/>
  <c r="BL98" i="3"/>
  <c r="AZ98" i="3"/>
  <c r="BD99" i="3"/>
  <c r="BE99" i="3"/>
  <c r="BF99" i="3"/>
  <c r="BG99" i="3"/>
  <c r="BH99" i="3"/>
  <c r="BI99" i="3"/>
  <c r="BJ99" i="3"/>
  <c r="BK99" i="3"/>
  <c r="BA99" i="3"/>
  <c r="BM99" i="3"/>
  <c r="BN99" i="3"/>
  <c r="BO99" i="3"/>
  <c r="BP99" i="3"/>
  <c r="BQ99" i="3"/>
  <c r="BR99" i="3"/>
  <c r="BS99" i="3"/>
  <c r="BT99" i="3"/>
  <c r="BL99" i="3"/>
  <c r="AZ99" i="3"/>
  <c r="BD100" i="3"/>
  <c r="BE100" i="3"/>
  <c r="BF100" i="3"/>
  <c r="BG100" i="3"/>
  <c r="BH100" i="3"/>
  <c r="BI100" i="3"/>
  <c r="BJ100" i="3"/>
  <c r="BK100" i="3"/>
  <c r="BA100" i="3"/>
  <c r="BM100" i="3"/>
  <c r="BN100" i="3"/>
  <c r="BO100" i="3"/>
  <c r="BP100" i="3"/>
  <c r="BQ100" i="3"/>
  <c r="BR100" i="3"/>
  <c r="BS100" i="3"/>
  <c r="BT100" i="3"/>
  <c r="BL100" i="3"/>
  <c r="AZ100" i="3"/>
  <c r="BD101" i="3"/>
  <c r="BE101" i="3"/>
  <c r="BF101" i="3"/>
  <c r="BG101" i="3"/>
  <c r="BH101" i="3"/>
  <c r="BI101" i="3"/>
  <c r="BJ101" i="3"/>
  <c r="BK101" i="3"/>
  <c r="BA101" i="3"/>
  <c r="BM101" i="3"/>
  <c r="BN101" i="3"/>
  <c r="BO101" i="3"/>
  <c r="BP101" i="3"/>
  <c r="BQ101" i="3"/>
  <c r="BR101" i="3"/>
  <c r="BS101" i="3"/>
  <c r="BT101" i="3"/>
  <c r="BL101" i="3"/>
  <c r="AZ101" i="3"/>
  <c r="BD102" i="3"/>
  <c r="BE102" i="3"/>
  <c r="BF102" i="3"/>
  <c r="BG102" i="3"/>
  <c r="BH102" i="3"/>
  <c r="BI102" i="3"/>
  <c r="BJ102" i="3"/>
  <c r="BK102" i="3"/>
  <c r="BA102" i="3"/>
  <c r="BM102" i="3"/>
  <c r="BN102" i="3"/>
  <c r="BO102" i="3"/>
  <c r="BP102" i="3"/>
  <c r="BQ102" i="3"/>
  <c r="BR102" i="3"/>
  <c r="BS102" i="3"/>
  <c r="BT102" i="3"/>
  <c r="BL102" i="3"/>
  <c r="AZ102" i="3"/>
  <c r="BD103" i="3"/>
  <c r="BE103" i="3"/>
  <c r="BF103" i="3"/>
  <c r="BG103" i="3"/>
  <c r="BH103" i="3"/>
  <c r="BI103" i="3"/>
  <c r="BJ103" i="3"/>
  <c r="BK103" i="3"/>
  <c r="BA103" i="3"/>
  <c r="BM103" i="3"/>
  <c r="BN103" i="3"/>
  <c r="BO103" i="3"/>
  <c r="BP103" i="3"/>
  <c r="BQ103" i="3"/>
  <c r="BR103" i="3"/>
  <c r="BS103" i="3"/>
  <c r="BT103" i="3"/>
  <c r="BL103" i="3"/>
  <c r="AZ103" i="3"/>
  <c r="BD104" i="3"/>
  <c r="BE104" i="3"/>
  <c r="BF104" i="3"/>
  <c r="BG104" i="3"/>
  <c r="BH104" i="3"/>
  <c r="BI104" i="3"/>
  <c r="BJ104" i="3"/>
  <c r="BK104" i="3"/>
  <c r="BA104" i="3"/>
  <c r="BM104" i="3"/>
  <c r="BN104" i="3"/>
  <c r="BO104" i="3"/>
  <c r="BP104" i="3"/>
  <c r="BQ104" i="3"/>
  <c r="BR104" i="3"/>
  <c r="BS104" i="3"/>
  <c r="BT104" i="3"/>
  <c r="BL104" i="3"/>
  <c r="AZ104" i="3"/>
  <c r="BD105" i="3"/>
  <c r="BE105" i="3"/>
  <c r="BF105" i="3"/>
  <c r="BG105" i="3"/>
  <c r="BH105" i="3"/>
  <c r="BI105" i="3"/>
  <c r="BJ105" i="3"/>
  <c r="BK105" i="3"/>
  <c r="BA105" i="3"/>
  <c r="BM105" i="3"/>
  <c r="BN105" i="3"/>
  <c r="BO105" i="3"/>
  <c r="BP105" i="3"/>
  <c r="BQ105" i="3"/>
  <c r="BR105" i="3"/>
  <c r="BS105" i="3"/>
  <c r="BT105" i="3"/>
  <c r="BL105" i="3"/>
  <c r="AZ105" i="3"/>
  <c r="BD106" i="3"/>
  <c r="BE106" i="3"/>
  <c r="BF106" i="3"/>
  <c r="BG106" i="3"/>
  <c r="BH106" i="3"/>
  <c r="BI106" i="3"/>
  <c r="BJ106" i="3"/>
  <c r="BK106" i="3"/>
  <c r="BA106" i="3"/>
  <c r="BM106" i="3"/>
  <c r="BN106" i="3"/>
  <c r="BO106" i="3"/>
  <c r="BP106" i="3"/>
  <c r="BQ106" i="3"/>
  <c r="BR106" i="3"/>
  <c r="BS106" i="3"/>
  <c r="BT106" i="3"/>
  <c r="BL106" i="3"/>
  <c r="AZ106" i="3"/>
  <c r="BD107" i="3"/>
  <c r="BE107" i="3"/>
  <c r="BF107" i="3"/>
  <c r="BG107" i="3"/>
  <c r="BH107" i="3"/>
  <c r="BI107" i="3"/>
  <c r="BJ107" i="3"/>
  <c r="BK107" i="3"/>
  <c r="BA107" i="3"/>
  <c r="BM107" i="3"/>
  <c r="BN107" i="3"/>
  <c r="BO107" i="3"/>
  <c r="BP107" i="3"/>
  <c r="BQ107" i="3"/>
  <c r="BR107" i="3"/>
  <c r="BS107" i="3"/>
  <c r="BT107" i="3"/>
  <c r="BL107" i="3"/>
  <c r="AZ107" i="3"/>
  <c r="BD108" i="3"/>
  <c r="BE108" i="3"/>
  <c r="BF108" i="3"/>
  <c r="BG108" i="3"/>
  <c r="BH108" i="3"/>
  <c r="BI108" i="3"/>
  <c r="BJ108" i="3"/>
  <c r="BK108" i="3"/>
  <c r="BA108" i="3"/>
  <c r="BM108" i="3"/>
  <c r="BN108" i="3"/>
  <c r="BO108" i="3"/>
  <c r="BP108" i="3"/>
  <c r="BQ108" i="3"/>
  <c r="BR108" i="3"/>
  <c r="BS108" i="3"/>
  <c r="BT108" i="3"/>
  <c r="BL108" i="3"/>
  <c r="AZ108" i="3"/>
  <c r="BD109" i="3"/>
  <c r="BE109" i="3"/>
  <c r="BF109" i="3"/>
  <c r="BG109" i="3"/>
  <c r="BH109" i="3"/>
  <c r="BI109" i="3"/>
  <c r="BJ109" i="3"/>
  <c r="BK109" i="3"/>
  <c r="BA109" i="3"/>
  <c r="BM109" i="3"/>
  <c r="BN109" i="3"/>
  <c r="BO109" i="3"/>
  <c r="BP109" i="3"/>
  <c r="BQ109" i="3"/>
  <c r="BR109" i="3"/>
  <c r="BS109" i="3"/>
  <c r="BT109" i="3"/>
  <c r="BL109" i="3"/>
  <c r="AZ109" i="3"/>
  <c r="BD110" i="3"/>
  <c r="BE110" i="3"/>
  <c r="BF110" i="3"/>
  <c r="BG110" i="3"/>
  <c r="BH110" i="3"/>
  <c r="BI110" i="3"/>
  <c r="BJ110" i="3"/>
  <c r="BK110" i="3"/>
  <c r="BA110" i="3"/>
  <c r="BM110" i="3"/>
  <c r="BN110" i="3"/>
  <c r="BO110" i="3"/>
  <c r="BP110" i="3"/>
  <c r="BQ110" i="3"/>
  <c r="BR110" i="3"/>
  <c r="BS110" i="3"/>
  <c r="BT110" i="3"/>
  <c r="BL110" i="3"/>
  <c r="AZ110" i="3"/>
  <c r="BD111" i="3"/>
  <c r="BE111" i="3"/>
  <c r="BF111" i="3"/>
  <c r="BG111" i="3"/>
  <c r="BH111" i="3"/>
  <c r="BI111" i="3"/>
  <c r="BJ111" i="3"/>
  <c r="BK111" i="3"/>
  <c r="BA111" i="3"/>
  <c r="BM111" i="3"/>
  <c r="BN111" i="3"/>
  <c r="BO111" i="3"/>
  <c r="BP111" i="3"/>
  <c r="BQ111" i="3"/>
  <c r="BR111" i="3"/>
  <c r="BS111" i="3"/>
  <c r="BT111" i="3"/>
  <c r="BL111" i="3"/>
  <c r="AZ111" i="3"/>
  <c r="BD112" i="3"/>
  <c r="BE112" i="3"/>
  <c r="BF112" i="3"/>
  <c r="BG112" i="3"/>
  <c r="BH112" i="3"/>
  <c r="BI112" i="3"/>
  <c r="BJ112" i="3"/>
  <c r="BK112" i="3"/>
  <c r="BA112" i="3"/>
  <c r="BM112" i="3"/>
  <c r="BN112" i="3"/>
  <c r="BO112" i="3"/>
  <c r="BP112" i="3"/>
  <c r="BQ112" i="3"/>
  <c r="BR112" i="3"/>
  <c r="BS112" i="3"/>
  <c r="BT112" i="3"/>
  <c r="BL112" i="3"/>
  <c r="AZ112" i="3"/>
  <c r="BD113" i="3"/>
  <c r="BE113" i="3"/>
  <c r="BF113" i="3"/>
  <c r="BG113" i="3"/>
  <c r="BH113" i="3"/>
  <c r="BI113" i="3"/>
  <c r="BJ113" i="3"/>
  <c r="BK113" i="3"/>
  <c r="BA113" i="3"/>
  <c r="BM113" i="3"/>
  <c r="BN113" i="3"/>
  <c r="BO113" i="3"/>
  <c r="BP113" i="3"/>
  <c r="BQ113" i="3"/>
  <c r="BR113" i="3"/>
  <c r="BS113" i="3"/>
  <c r="BT113" i="3"/>
  <c r="BL113" i="3"/>
  <c r="AZ113" i="3"/>
  <c r="BD114" i="3"/>
  <c r="BE114" i="3"/>
  <c r="BF114" i="3"/>
  <c r="BG114" i="3"/>
  <c r="BH114" i="3"/>
  <c r="BI114" i="3"/>
  <c r="BJ114" i="3"/>
  <c r="BK114" i="3"/>
  <c r="BA114" i="3"/>
  <c r="BM114" i="3"/>
  <c r="BN114" i="3"/>
  <c r="BO114" i="3"/>
  <c r="BP114" i="3"/>
  <c r="BQ114" i="3"/>
  <c r="BR114" i="3"/>
  <c r="BS114" i="3"/>
  <c r="BT114" i="3"/>
  <c r="BL114" i="3"/>
  <c r="AZ114" i="3"/>
  <c r="BD115" i="3"/>
  <c r="BE115" i="3"/>
  <c r="BF115" i="3"/>
  <c r="BG115" i="3"/>
  <c r="BH115" i="3"/>
  <c r="BI115" i="3"/>
  <c r="BJ115" i="3"/>
  <c r="BK115" i="3"/>
  <c r="BA115" i="3"/>
  <c r="BM115" i="3"/>
  <c r="BN115" i="3"/>
  <c r="BO115" i="3"/>
  <c r="BP115" i="3"/>
  <c r="BQ115" i="3"/>
  <c r="BR115" i="3"/>
  <c r="BS115" i="3"/>
  <c r="BT115" i="3"/>
  <c r="BL115" i="3"/>
  <c r="AZ115" i="3"/>
  <c r="BD116" i="3"/>
  <c r="BE116" i="3"/>
  <c r="BF116" i="3"/>
  <c r="BG116" i="3"/>
  <c r="BH116" i="3"/>
  <c r="BI116" i="3"/>
  <c r="BJ116" i="3"/>
  <c r="BK116" i="3"/>
  <c r="BA116" i="3"/>
  <c r="BM116" i="3"/>
  <c r="BN116" i="3"/>
  <c r="BO116" i="3"/>
  <c r="BP116" i="3"/>
  <c r="BQ116" i="3"/>
  <c r="BR116" i="3"/>
  <c r="BS116" i="3"/>
  <c r="BT116" i="3"/>
  <c r="BL116" i="3"/>
  <c r="AZ116" i="3"/>
  <c r="BD117" i="3"/>
  <c r="BE117" i="3"/>
  <c r="BF117" i="3"/>
  <c r="BG117" i="3"/>
  <c r="BH117" i="3"/>
  <c r="BI117" i="3"/>
  <c r="BJ117" i="3"/>
  <c r="BK117" i="3"/>
  <c r="BA117" i="3"/>
  <c r="BM117" i="3"/>
  <c r="BN117" i="3"/>
  <c r="BO117" i="3"/>
  <c r="BP117" i="3"/>
  <c r="BQ117" i="3"/>
  <c r="BR117" i="3"/>
  <c r="BS117" i="3"/>
  <c r="BT117" i="3"/>
  <c r="BL117" i="3"/>
  <c r="AZ117" i="3"/>
  <c r="BD118" i="3"/>
  <c r="BE118" i="3"/>
  <c r="BF118" i="3"/>
  <c r="BG118" i="3"/>
  <c r="BH118" i="3"/>
  <c r="BI118" i="3"/>
  <c r="BJ118" i="3"/>
  <c r="BK118" i="3"/>
  <c r="BA118" i="3"/>
  <c r="BM118" i="3"/>
  <c r="BN118" i="3"/>
  <c r="BO118" i="3"/>
  <c r="BP118" i="3"/>
  <c r="BQ118" i="3"/>
  <c r="BR118" i="3"/>
  <c r="BS118" i="3"/>
  <c r="BT118" i="3"/>
  <c r="BL118" i="3"/>
  <c r="AZ118" i="3"/>
  <c r="BD119" i="3"/>
  <c r="BE119" i="3"/>
  <c r="BF119" i="3"/>
  <c r="BG119" i="3"/>
  <c r="BH119" i="3"/>
  <c r="BI119" i="3"/>
  <c r="BJ119" i="3"/>
  <c r="BK119" i="3"/>
  <c r="BA119" i="3"/>
  <c r="BM119" i="3"/>
  <c r="BN119" i="3"/>
  <c r="BO119" i="3"/>
  <c r="BP119" i="3"/>
  <c r="BQ119" i="3"/>
  <c r="BR119" i="3"/>
  <c r="BS119" i="3"/>
  <c r="BT119" i="3"/>
  <c r="BL119" i="3"/>
  <c r="AZ119" i="3"/>
  <c r="BD120" i="3"/>
  <c r="BE120" i="3"/>
  <c r="BF120" i="3"/>
  <c r="BG120" i="3"/>
  <c r="BH120" i="3"/>
  <c r="BI120" i="3"/>
  <c r="BJ120" i="3"/>
  <c r="BK120" i="3"/>
  <c r="BA120" i="3"/>
  <c r="BM120" i="3"/>
  <c r="BN120" i="3"/>
  <c r="BO120" i="3"/>
  <c r="BP120" i="3"/>
  <c r="BQ120" i="3"/>
  <c r="BR120" i="3"/>
  <c r="BS120" i="3"/>
  <c r="BT120" i="3"/>
  <c r="BL120" i="3"/>
  <c r="AZ120" i="3"/>
  <c r="BD121" i="3"/>
  <c r="BE121" i="3"/>
  <c r="BF121" i="3"/>
  <c r="BG121" i="3"/>
  <c r="BH121" i="3"/>
  <c r="BI121" i="3"/>
  <c r="BJ121" i="3"/>
  <c r="BK121" i="3"/>
  <c r="BA121" i="3"/>
  <c r="BM121" i="3"/>
  <c r="BN121" i="3"/>
  <c r="BO121" i="3"/>
  <c r="BP121" i="3"/>
  <c r="BQ121" i="3"/>
  <c r="BR121" i="3"/>
  <c r="BS121" i="3"/>
  <c r="BT121" i="3"/>
  <c r="BL121" i="3"/>
  <c r="AZ121" i="3"/>
  <c r="BD122" i="3"/>
  <c r="BE122" i="3"/>
  <c r="BF122" i="3"/>
  <c r="BG122" i="3"/>
  <c r="BH122" i="3"/>
  <c r="BI122" i="3"/>
  <c r="BJ122" i="3"/>
  <c r="BK122" i="3"/>
  <c r="BA122" i="3"/>
  <c r="BM122" i="3"/>
  <c r="BN122" i="3"/>
  <c r="BO122" i="3"/>
  <c r="BP122" i="3"/>
  <c r="BQ122" i="3"/>
  <c r="BR122" i="3"/>
  <c r="BS122" i="3"/>
  <c r="BT122" i="3"/>
  <c r="BL122" i="3"/>
  <c r="AZ122" i="3"/>
  <c r="BD123" i="3"/>
  <c r="BE123" i="3"/>
  <c r="BF123" i="3"/>
  <c r="BG123" i="3"/>
  <c r="BH123" i="3"/>
  <c r="BI123" i="3"/>
  <c r="BJ123" i="3"/>
  <c r="BK123" i="3"/>
  <c r="BA123" i="3"/>
  <c r="BM123" i="3"/>
  <c r="BN123" i="3"/>
  <c r="BO123" i="3"/>
  <c r="BP123" i="3"/>
  <c r="BQ123" i="3"/>
  <c r="BR123" i="3"/>
  <c r="BS123" i="3"/>
  <c r="BT123" i="3"/>
  <c r="BL123" i="3"/>
  <c r="AZ123" i="3"/>
  <c r="BD124" i="3"/>
  <c r="BE124" i="3"/>
  <c r="BF124" i="3"/>
  <c r="BG124" i="3"/>
  <c r="BH124" i="3"/>
  <c r="BI124" i="3"/>
  <c r="BJ124" i="3"/>
  <c r="BK124" i="3"/>
  <c r="BA124" i="3"/>
  <c r="BM124" i="3"/>
  <c r="BN124" i="3"/>
  <c r="BO124" i="3"/>
  <c r="BP124" i="3"/>
  <c r="BQ124" i="3"/>
  <c r="BR124" i="3"/>
  <c r="BS124" i="3"/>
  <c r="BT124" i="3"/>
  <c r="BL124" i="3"/>
  <c r="AZ124" i="3"/>
  <c r="BD125" i="3"/>
  <c r="BE125" i="3"/>
  <c r="BF125" i="3"/>
  <c r="BG125" i="3"/>
  <c r="BH125" i="3"/>
  <c r="BI125" i="3"/>
  <c r="BJ125" i="3"/>
  <c r="BK125" i="3"/>
  <c r="BA125" i="3"/>
  <c r="BM125" i="3"/>
  <c r="BN125" i="3"/>
  <c r="BO125" i="3"/>
  <c r="BP125" i="3"/>
  <c r="BQ125" i="3"/>
  <c r="BR125" i="3"/>
  <c r="BS125" i="3"/>
  <c r="BT125" i="3"/>
  <c r="BL125" i="3"/>
  <c r="AZ125" i="3"/>
  <c r="BD126" i="3"/>
  <c r="BE126" i="3"/>
  <c r="BF126" i="3"/>
  <c r="BG126" i="3"/>
  <c r="BH126" i="3"/>
  <c r="BI126" i="3"/>
  <c r="BJ126" i="3"/>
  <c r="BK126" i="3"/>
  <c r="BA126" i="3"/>
  <c r="BM126" i="3"/>
  <c r="BN126" i="3"/>
  <c r="BO126" i="3"/>
  <c r="BP126" i="3"/>
  <c r="BQ126" i="3"/>
  <c r="BR126" i="3"/>
  <c r="BS126" i="3"/>
  <c r="BT126" i="3"/>
  <c r="BL126" i="3"/>
  <c r="AZ126" i="3"/>
  <c r="BD127" i="3"/>
  <c r="BE127" i="3"/>
  <c r="BF127" i="3"/>
  <c r="BG127" i="3"/>
  <c r="BH127" i="3"/>
  <c r="BI127" i="3"/>
  <c r="BJ127" i="3"/>
  <c r="BK127" i="3"/>
  <c r="BA127" i="3"/>
  <c r="BM127" i="3"/>
  <c r="BN127" i="3"/>
  <c r="BO127" i="3"/>
  <c r="BP127" i="3"/>
  <c r="BQ127" i="3"/>
  <c r="BR127" i="3"/>
  <c r="BS127" i="3"/>
  <c r="BT127" i="3"/>
  <c r="BL127" i="3"/>
  <c r="AZ127" i="3"/>
  <c r="BD128" i="3"/>
  <c r="BE128" i="3"/>
  <c r="BF128" i="3"/>
  <c r="BG128" i="3"/>
  <c r="BH128" i="3"/>
  <c r="BI128" i="3"/>
  <c r="BJ128" i="3"/>
  <c r="BK128" i="3"/>
  <c r="BA128" i="3"/>
  <c r="BM128" i="3"/>
  <c r="BN128" i="3"/>
  <c r="BO128" i="3"/>
  <c r="BP128" i="3"/>
  <c r="BQ128" i="3"/>
  <c r="BR128" i="3"/>
  <c r="BS128" i="3"/>
  <c r="BT128" i="3"/>
  <c r="BL128" i="3"/>
  <c r="AZ128" i="3"/>
  <c r="BD129" i="3"/>
  <c r="BE129" i="3"/>
  <c r="BF129" i="3"/>
  <c r="BG129" i="3"/>
  <c r="BH129" i="3"/>
  <c r="BI129" i="3"/>
  <c r="BJ129" i="3"/>
  <c r="BK129" i="3"/>
  <c r="BA129" i="3"/>
  <c r="BM129" i="3"/>
  <c r="BN129" i="3"/>
  <c r="BO129" i="3"/>
  <c r="BP129" i="3"/>
  <c r="BQ129" i="3"/>
  <c r="BR129" i="3"/>
  <c r="BS129" i="3"/>
  <c r="BT129" i="3"/>
  <c r="BL129" i="3"/>
  <c r="AZ129" i="3"/>
  <c r="BD130" i="3"/>
  <c r="BE130" i="3"/>
  <c r="BF130" i="3"/>
  <c r="BG130" i="3"/>
  <c r="BH130" i="3"/>
  <c r="BI130" i="3"/>
  <c r="BJ130" i="3"/>
  <c r="BK130" i="3"/>
  <c r="BA130" i="3"/>
  <c r="BM130" i="3"/>
  <c r="BN130" i="3"/>
  <c r="BO130" i="3"/>
  <c r="BP130" i="3"/>
  <c r="BQ130" i="3"/>
  <c r="BR130" i="3"/>
  <c r="BS130" i="3"/>
  <c r="BT130" i="3"/>
  <c r="BL130" i="3"/>
  <c r="AZ130" i="3"/>
  <c r="BD131" i="3"/>
  <c r="BE131" i="3"/>
  <c r="BF131" i="3"/>
  <c r="BG131" i="3"/>
  <c r="BH131" i="3"/>
  <c r="BI131" i="3"/>
  <c r="BJ131" i="3"/>
  <c r="BK131" i="3"/>
  <c r="BA131" i="3"/>
  <c r="BM131" i="3"/>
  <c r="BN131" i="3"/>
  <c r="BO131" i="3"/>
  <c r="BP131" i="3"/>
  <c r="BQ131" i="3"/>
  <c r="BR131" i="3"/>
  <c r="BS131" i="3"/>
  <c r="BT131" i="3"/>
  <c r="BL131" i="3"/>
  <c r="AZ131" i="3"/>
  <c r="BD132" i="3"/>
  <c r="BE132" i="3"/>
  <c r="BF132" i="3"/>
  <c r="BG132" i="3"/>
  <c r="BH132" i="3"/>
  <c r="BI132" i="3"/>
  <c r="BJ132" i="3"/>
  <c r="BK132" i="3"/>
  <c r="BA132" i="3"/>
  <c r="BM132" i="3"/>
  <c r="BN132" i="3"/>
  <c r="BO132" i="3"/>
  <c r="BP132" i="3"/>
  <c r="BQ132" i="3"/>
  <c r="BR132" i="3"/>
  <c r="BS132" i="3"/>
  <c r="BT132" i="3"/>
  <c r="BL132" i="3"/>
  <c r="AZ132" i="3"/>
  <c r="BD133" i="3"/>
  <c r="BE133" i="3"/>
  <c r="BF133" i="3"/>
  <c r="BG133" i="3"/>
  <c r="BH133" i="3"/>
  <c r="BI133" i="3"/>
  <c r="BJ133" i="3"/>
  <c r="BK133" i="3"/>
  <c r="BA133" i="3"/>
  <c r="BM133" i="3"/>
  <c r="BN133" i="3"/>
  <c r="BO133" i="3"/>
  <c r="BP133" i="3"/>
  <c r="BQ133" i="3"/>
  <c r="BR133" i="3"/>
  <c r="BS133" i="3"/>
  <c r="BT133" i="3"/>
  <c r="BL133" i="3"/>
  <c r="AZ133" i="3"/>
  <c r="BD134" i="3"/>
  <c r="BE134" i="3"/>
  <c r="BF134" i="3"/>
  <c r="BG134" i="3"/>
  <c r="BH134" i="3"/>
  <c r="BI134" i="3"/>
  <c r="BJ134" i="3"/>
  <c r="BK134" i="3"/>
  <c r="BA134" i="3"/>
  <c r="BM134" i="3"/>
  <c r="BN134" i="3"/>
  <c r="BO134" i="3"/>
  <c r="BP134" i="3"/>
  <c r="BQ134" i="3"/>
  <c r="BR134" i="3"/>
  <c r="BS134" i="3"/>
  <c r="BT134" i="3"/>
  <c r="BL134" i="3"/>
  <c r="AZ134" i="3"/>
  <c r="BD135" i="3"/>
  <c r="BE135" i="3"/>
  <c r="BF135" i="3"/>
  <c r="BG135" i="3"/>
  <c r="BH135" i="3"/>
  <c r="BI135" i="3"/>
  <c r="BJ135" i="3"/>
  <c r="BK135" i="3"/>
  <c r="BA135" i="3"/>
  <c r="BM135" i="3"/>
  <c r="BN135" i="3"/>
  <c r="BO135" i="3"/>
  <c r="BP135" i="3"/>
  <c r="BQ135" i="3"/>
  <c r="BR135" i="3"/>
  <c r="BS135" i="3"/>
  <c r="BT135" i="3"/>
  <c r="BL135" i="3"/>
  <c r="AZ135" i="3"/>
  <c r="BD136" i="3"/>
  <c r="BE136" i="3"/>
  <c r="BF136" i="3"/>
  <c r="BG136" i="3"/>
  <c r="BH136" i="3"/>
  <c r="BI136" i="3"/>
  <c r="BJ136" i="3"/>
  <c r="BK136" i="3"/>
  <c r="BA136" i="3"/>
  <c r="BM136" i="3"/>
  <c r="BN136" i="3"/>
  <c r="BO136" i="3"/>
  <c r="BP136" i="3"/>
  <c r="BQ136" i="3"/>
  <c r="BR136" i="3"/>
  <c r="BS136" i="3"/>
  <c r="BT136" i="3"/>
  <c r="BL136" i="3"/>
  <c r="AZ136" i="3"/>
  <c r="BD137" i="3"/>
  <c r="BE137" i="3"/>
  <c r="BF137" i="3"/>
  <c r="BG137" i="3"/>
  <c r="BH137" i="3"/>
  <c r="BI137" i="3"/>
  <c r="BJ137" i="3"/>
  <c r="BK137" i="3"/>
  <c r="BA137" i="3"/>
  <c r="BM137" i="3"/>
  <c r="BN137" i="3"/>
  <c r="BO137" i="3"/>
  <c r="BP137" i="3"/>
  <c r="BQ137" i="3"/>
  <c r="BR137" i="3"/>
  <c r="BS137" i="3"/>
  <c r="BT137" i="3"/>
  <c r="BL137" i="3"/>
  <c r="AZ137" i="3"/>
  <c r="BD138" i="3"/>
  <c r="BE138" i="3"/>
  <c r="BF138" i="3"/>
  <c r="BG138" i="3"/>
  <c r="BH138" i="3"/>
  <c r="BI138" i="3"/>
  <c r="BJ138" i="3"/>
  <c r="BK138" i="3"/>
  <c r="BA138" i="3"/>
  <c r="BM138" i="3"/>
  <c r="BN138" i="3"/>
  <c r="BO138" i="3"/>
  <c r="BP138" i="3"/>
  <c r="BQ138" i="3"/>
  <c r="BR138" i="3"/>
  <c r="BS138" i="3"/>
  <c r="BT138" i="3"/>
  <c r="BL138" i="3"/>
  <c r="AZ138" i="3"/>
  <c r="BD139" i="3"/>
  <c r="BE139" i="3"/>
  <c r="BF139" i="3"/>
  <c r="BG139" i="3"/>
  <c r="BH139" i="3"/>
  <c r="BI139" i="3"/>
  <c r="BJ139" i="3"/>
  <c r="BK139" i="3"/>
  <c r="BA139" i="3"/>
  <c r="BM139" i="3"/>
  <c r="BN139" i="3"/>
  <c r="BO139" i="3"/>
  <c r="BP139" i="3"/>
  <c r="BQ139" i="3"/>
  <c r="BR139" i="3"/>
  <c r="BS139" i="3"/>
  <c r="BT139" i="3"/>
  <c r="BL139" i="3"/>
  <c r="AZ139" i="3"/>
  <c r="BD140" i="3"/>
  <c r="BE140" i="3"/>
  <c r="BF140" i="3"/>
  <c r="BG140" i="3"/>
  <c r="BH140" i="3"/>
  <c r="BI140" i="3"/>
  <c r="BJ140" i="3"/>
  <c r="BK140" i="3"/>
  <c r="BA140" i="3"/>
  <c r="BM140" i="3"/>
  <c r="BN140" i="3"/>
  <c r="BO140" i="3"/>
  <c r="BP140" i="3"/>
  <c r="BQ140" i="3"/>
  <c r="BR140" i="3"/>
  <c r="BS140" i="3"/>
  <c r="BT140" i="3"/>
  <c r="BL140" i="3"/>
  <c r="AZ140" i="3"/>
  <c r="BD141" i="3"/>
  <c r="BE141" i="3"/>
  <c r="BF141" i="3"/>
  <c r="BG141" i="3"/>
  <c r="BH141" i="3"/>
  <c r="BI141" i="3"/>
  <c r="BJ141" i="3"/>
  <c r="BK141" i="3"/>
  <c r="BA141" i="3"/>
  <c r="BM141" i="3"/>
  <c r="BN141" i="3"/>
  <c r="BO141" i="3"/>
  <c r="BP141" i="3"/>
  <c r="BQ141" i="3"/>
  <c r="BR141" i="3"/>
  <c r="BS141" i="3"/>
  <c r="BT141" i="3"/>
  <c r="BL141" i="3"/>
  <c r="AZ141" i="3"/>
  <c r="BD142" i="3"/>
  <c r="BE142" i="3"/>
  <c r="BF142" i="3"/>
  <c r="BG142" i="3"/>
  <c r="BH142" i="3"/>
  <c r="BI142" i="3"/>
  <c r="BJ142" i="3"/>
  <c r="BK142" i="3"/>
  <c r="BA142" i="3"/>
  <c r="BM142" i="3"/>
  <c r="BN142" i="3"/>
  <c r="BO142" i="3"/>
  <c r="BP142" i="3"/>
  <c r="BQ142" i="3"/>
  <c r="BR142" i="3"/>
  <c r="BS142" i="3"/>
  <c r="BT142" i="3"/>
  <c r="BL142" i="3"/>
  <c r="AZ142" i="3"/>
  <c r="BD143" i="3"/>
  <c r="BE143" i="3"/>
  <c r="BF143" i="3"/>
  <c r="BG143" i="3"/>
  <c r="BH143" i="3"/>
  <c r="BI143" i="3"/>
  <c r="BJ143" i="3"/>
  <c r="BK143" i="3"/>
  <c r="BA143" i="3"/>
  <c r="BM143" i="3"/>
  <c r="BN143" i="3"/>
  <c r="BO143" i="3"/>
  <c r="BP143" i="3"/>
  <c r="BQ143" i="3"/>
  <c r="BR143" i="3"/>
  <c r="BS143" i="3"/>
  <c r="BT143" i="3"/>
  <c r="BL143" i="3"/>
  <c r="AZ143" i="3"/>
  <c r="BD144" i="3"/>
  <c r="BE144" i="3"/>
  <c r="BF144" i="3"/>
  <c r="BG144" i="3"/>
  <c r="BH144" i="3"/>
  <c r="BI144" i="3"/>
  <c r="BJ144" i="3"/>
  <c r="BK144" i="3"/>
  <c r="BA144" i="3"/>
  <c r="BM144" i="3"/>
  <c r="BN144" i="3"/>
  <c r="BO144" i="3"/>
  <c r="BP144" i="3"/>
  <c r="BQ144" i="3"/>
  <c r="BR144" i="3"/>
  <c r="BS144" i="3"/>
  <c r="BT144" i="3"/>
  <c r="BL144" i="3"/>
  <c r="AZ144" i="3"/>
  <c r="BD145" i="3"/>
  <c r="BE145" i="3"/>
  <c r="BF145" i="3"/>
  <c r="BG145" i="3"/>
  <c r="BH145" i="3"/>
  <c r="BI145" i="3"/>
  <c r="BJ145" i="3"/>
  <c r="BK145" i="3"/>
  <c r="BA145" i="3"/>
  <c r="BM145" i="3"/>
  <c r="BN145" i="3"/>
  <c r="BO145" i="3"/>
  <c r="BP145" i="3"/>
  <c r="BQ145" i="3"/>
  <c r="BR145" i="3"/>
  <c r="BS145" i="3"/>
  <c r="BT145" i="3"/>
  <c r="BL145" i="3"/>
  <c r="AZ145" i="3"/>
  <c r="BD146" i="3"/>
  <c r="BE146" i="3"/>
  <c r="BF146" i="3"/>
  <c r="BG146" i="3"/>
  <c r="BH146" i="3"/>
  <c r="BI146" i="3"/>
  <c r="BJ146" i="3"/>
  <c r="BK146" i="3"/>
  <c r="BA146" i="3"/>
  <c r="BM146" i="3"/>
  <c r="BN146" i="3"/>
  <c r="BO146" i="3"/>
  <c r="BP146" i="3"/>
  <c r="BQ146" i="3"/>
  <c r="BR146" i="3"/>
  <c r="BS146" i="3"/>
  <c r="BT146" i="3"/>
  <c r="BL146" i="3"/>
  <c r="AZ146" i="3"/>
  <c r="BD147" i="3"/>
  <c r="BE147" i="3"/>
  <c r="BF147" i="3"/>
  <c r="BG147" i="3"/>
  <c r="BH147" i="3"/>
  <c r="BI147" i="3"/>
  <c r="BJ147" i="3"/>
  <c r="BK147" i="3"/>
  <c r="BA147" i="3"/>
  <c r="BM147" i="3"/>
  <c r="BN147" i="3"/>
  <c r="BO147" i="3"/>
  <c r="BP147" i="3"/>
  <c r="BQ147" i="3"/>
  <c r="BR147" i="3"/>
  <c r="BS147" i="3"/>
  <c r="BT147" i="3"/>
  <c r="BL147" i="3"/>
  <c r="AZ147" i="3"/>
  <c r="BD148" i="3"/>
  <c r="BE148" i="3"/>
  <c r="BF148" i="3"/>
  <c r="BG148" i="3"/>
  <c r="BH148" i="3"/>
  <c r="BI148" i="3"/>
  <c r="BJ148" i="3"/>
  <c r="BK148" i="3"/>
  <c r="BA148" i="3"/>
  <c r="BM148" i="3"/>
  <c r="BN148" i="3"/>
  <c r="BO148" i="3"/>
  <c r="BP148" i="3"/>
  <c r="BQ148" i="3"/>
  <c r="BR148" i="3"/>
  <c r="BS148" i="3"/>
  <c r="BT148" i="3"/>
  <c r="BL148" i="3"/>
  <c r="AZ148" i="3"/>
  <c r="BD149" i="3"/>
  <c r="BE149" i="3"/>
  <c r="BF149" i="3"/>
  <c r="BG149" i="3"/>
  <c r="BH149" i="3"/>
  <c r="BI149" i="3"/>
  <c r="BJ149" i="3"/>
  <c r="BK149" i="3"/>
  <c r="BA149" i="3"/>
  <c r="BM149" i="3"/>
  <c r="BN149" i="3"/>
  <c r="BO149" i="3"/>
  <c r="BP149" i="3"/>
  <c r="BQ149" i="3"/>
  <c r="BR149" i="3"/>
  <c r="BS149" i="3"/>
  <c r="BT149" i="3"/>
  <c r="BL149" i="3"/>
  <c r="AZ149" i="3"/>
  <c r="BD150" i="3"/>
  <c r="BE150" i="3"/>
  <c r="BF150" i="3"/>
  <c r="BG150" i="3"/>
  <c r="BH150" i="3"/>
  <c r="BI150" i="3"/>
  <c r="BJ150" i="3"/>
  <c r="BK150" i="3"/>
  <c r="BA150" i="3"/>
  <c r="BM150" i="3"/>
  <c r="BN150" i="3"/>
  <c r="BO150" i="3"/>
  <c r="BP150" i="3"/>
  <c r="BQ150" i="3"/>
  <c r="BR150" i="3"/>
  <c r="BS150" i="3"/>
  <c r="BT150" i="3"/>
  <c r="BL150" i="3"/>
  <c r="AZ150" i="3"/>
  <c r="BD151" i="3"/>
  <c r="BE151" i="3"/>
  <c r="BF151" i="3"/>
  <c r="BG151" i="3"/>
  <c r="BH151" i="3"/>
  <c r="BI151" i="3"/>
  <c r="BJ151" i="3"/>
  <c r="BK151" i="3"/>
  <c r="BA151" i="3"/>
  <c r="BM151" i="3"/>
  <c r="BN151" i="3"/>
  <c r="BO151" i="3"/>
  <c r="BP151" i="3"/>
  <c r="BQ151" i="3"/>
  <c r="BR151" i="3"/>
  <c r="BS151" i="3"/>
  <c r="BT151" i="3"/>
  <c r="BL151" i="3"/>
  <c r="AZ151" i="3"/>
  <c r="BD152" i="3"/>
  <c r="BE152" i="3"/>
  <c r="BF152" i="3"/>
  <c r="BG152" i="3"/>
  <c r="BH152" i="3"/>
  <c r="BI152" i="3"/>
  <c r="BJ152" i="3"/>
  <c r="BK152" i="3"/>
  <c r="BA152" i="3"/>
  <c r="BM152" i="3"/>
  <c r="BN152" i="3"/>
  <c r="BO152" i="3"/>
  <c r="BP152" i="3"/>
  <c r="BQ152" i="3"/>
  <c r="BR152" i="3"/>
  <c r="BS152" i="3"/>
  <c r="BT152" i="3"/>
  <c r="BL152" i="3"/>
  <c r="AZ152" i="3"/>
  <c r="BD153" i="3"/>
  <c r="BE153" i="3"/>
  <c r="BF153" i="3"/>
  <c r="BG153" i="3"/>
  <c r="BH153" i="3"/>
  <c r="BI153" i="3"/>
  <c r="BJ153" i="3"/>
  <c r="BK153" i="3"/>
  <c r="BA153" i="3"/>
  <c r="BM153" i="3"/>
  <c r="BN153" i="3"/>
  <c r="BO153" i="3"/>
  <c r="BP153" i="3"/>
  <c r="BQ153" i="3"/>
  <c r="BR153" i="3"/>
  <c r="BS153" i="3"/>
  <c r="BT153" i="3"/>
  <c r="BL153" i="3"/>
  <c r="AZ153" i="3"/>
  <c r="BD154" i="3"/>
  <c r="BE154" i="3"/>
  <c r="BF154" i="3"/>
  <c r="BG154" i="3"/>
  <c r="BH154" i="3"/>
  <c r="BI154" i="3"/>
  <c r="BJ154" i="3"/>
  <c r="BK154" i="3"/>
  <c r="BA154" i="3"/>
  <c r="BM154" i="3"/>
  <c r="BN154" i="3"/>
  <c r="BO154" i="3"/>
  <c r="BP154" i="3"/>
  <c r="BQ154" i="3"/>
  <c r="BR154" i="3"/>
  <c r="BS154" i="3"/>
  <c r="BT154" i="3"/>
  <c r="BL154" i="3"/>
  <c r="AZ154" i="3"/>
  <c r="BD155" i="3"/>
  <c r="BE155" i="3"/>
  <c r="BF155" i="3"/>
  <c r="BG155" i="3"/>
  <c r="BH155" i="3"/>
  <c r="BI155" i="3"/>
  <c r="BJ155" i="3"/>
  <c r="BK155" i="3"/>
  <c r="BA155" i="3"/>
  <c r="BM155" i="3"/>
  <c r="BN155" i="3"/>
  <c r="BO155" i="3"/>
  <c r="BP155" i="3"/>
  <c r="BQ155" i="3"/>
  <c r="BR155" i="3"/>
  <c r="BS155" i="3"/>
  <c r="BT155" i="3"/>
  <c r="BL155" i="3"/>
  <c r="AZ155" i="3"/>
  <c r="BD156" i="3"/>
  <c r="BE156" i="3"/>
  <c r="BF156" i="3"/>
  <c r="BG156" i="3"/>
  <c r="BH156" i="3"/>
  <c r="BI156" i="3"/>
  <c r="BJ156" i="3"/>
  <c r="BK156" i="3"/>
  <c r="BA156" i="3"/>
  <c r="BM156" i="3"/>
  <c r="BN156" i="3"/>
  <c r="BO156" i="3"/>
  <c r="BP156" i="3"/>
  <c r="BQ156" i="3"/>
  <c r="BR156" i="3"/>
  <c r="BS156" i="3"/>
  <c r="BT156" i="3"/>
  <c r="BL156" i="3"/>
  <c r="AZ156" i="3"/>
  <c r="BD157" i="3"/>
  <c r="BE157" i="3"/>
  <c r="BF157" i="3"/>
  <c r="BG157" i="3"/>
  <c r="BH157" i="3"/>
  <c r="BI157" i="3"/>
  <c r="BJ157" i="3"/>
  <c r="BK157" i="3"/>
  <c r="BA157" i="3"/>
  <c r="BM157" i="3"/>
  <c r="BN157" i="3"/>
  <c r="BO157" i="3"/>
  <c r="BP157" i="3"/>
  <c r="BQ157" i="3"/>
  <c r="BR157" i="3"/>
  <c r="BS157" i="3"/>
  <c r="BT157" i="3"/>
  <c r="BL157" i="3"/>
  <c r="AZ157" i="3"/>
  <c r="BD158" i="3"/>
  <c r="BE158" i="3"/>
  <c r="BF158" i="3"/>
  <c r="BG158" i="3"/>
  <c r="BH158" i="3"/>
  <c r="BI158" i="3"/>
  <c r="BJ158" i="3"/>
  <c r="BK158" i="3"/>
  <c r="BA158" i="3"/>
  <c r="BM158" i="3"/>
  <c r="BN158" i="3"/>
  <c r="BO158" i="3"/>
  <c r="BP158" i="3"/>
  <c r="BQ158" i="3"/>
  <c r="BR158" i="3"/>
  <c r="BS158" i="3"/>
  <c r="BT158" i="3"/>
  <c r="BL158" i="3"/>
  <c r="AZ158" i="3"/>
  <c r="BD159" i="3"/>
  <c r="BE159" i="3"/>
  <c r="BF159" i="3"/>
  <c r="BG159" i="3"/>
  <c r="BH159" i="3"/>
  <c r="BI159" i="3"/>
  <c r="BJ159" i="3"/>
  <c r="BK159" i="3"/>
  <c r="BA159" i="3"/>
  <c r="BM159" i="3"/>
  <c r="BN159" i="3"/>
  <c r="BO159" i="3"/>
  <c r="BP159" i="3"/>
  <c r="BQ159" i="3"/>
  <c r="BR159" i="3"/>
  <c r="BS159" i="3"/>
  <c r="BT159" i="3"/>
  <c r="BL159" i="3"/>
  <c r="AZ159" i="3"/>
  <c r="BD160" i="3"/>
  <c r="BE160" i="3"/>
  <c r="BF160" i="3"/>
  <c r="BG160" i="3"/>
  <c r="BH160" i="3"/>
  <c r="BI160" i="3"/>
  <c r="BJ160" i="3"/>
  <c r="BK160" i="3"/>
  <c r="BA160" i="3"/>
  <c r="BM160" i="3"/>
  <c r="BN160" i="3"/>
  <c r="BO160" i="3"/>
  <c r="BP160" i="3"/>
  <c r="BQ160" i="3"/>
  <c r="BR160" i="3"/>
  <c r="BS160" i="3"/>
  <c r="BT160" i="3"/>
  <c r="BL160" i="3"/>
  <c r="AZ160" i="3"/>
  <c r="BD161" i="3"/>
  <c r="BE161" i="3"/>
  <c r="BF161" i="3"/>
  <c r="BG161" i="3"/>
  <c r="BH161" i="3"/>
  <c r="BI161" i="3"/>
  <c r="BJ161" i="3"/>
  <c r="BK161" i="3"/>
  <c r="BA161" i="3"/>
  <c r="BM161" i="3"/>
  <c r="BN161" i="3"/>
  <c r="BO161" i="3"/>
  <c r="BP161" i="3"/>
  <c r="BQ161" i="3"/>
  <c r="BR161" i="3"/>
  <c r="BS161" i="3"/>
  <c r="BT161" i="3"/>
  <c r="BL161" i="3"/>
  <c r="AZ161" i="3"/>
  <c r="BD162" i="3"/>
  <c r="BE162" i="3"/>
  <c r="BF162" i="3"/>
  <c r="BG162" i="3"/>
  <c r="BH162" i="3"/>
  <c r="BI162" i="3"/>
  <c r="BJ162" i="3"/>
  <c r="BK162" i="3"/>
  <c r="BA162" i="3"/>
  <c r="BM162" i="3"/>
  <c r="BN162" i="3"/>
  <c r="BO162" i="3"/>
  <c r="BP162" i="3"/>
  <c r="BQ162" i="3"/>
  <c r="BR162" i="3"/>
  <c r="BS162" i="3"/>
  <c r="BT162" i="3"/>
  <c r="BL162" i="3"/>
  <c r="AZ162" i="3"/>
  <c r="BD163" i="3"/>
  <c r="BE163" i="3"/>
  <c r="BF163" i="3"/>
  <c r="BG163" i="3"/>
  <c r="BH163" i="3"/>
  <c r="BI163" i="3"/>
  <c r="BJ163" i="3"/>
  <c r="BK163" i="3"/>
  <c r="BA163" i="3"/>
  <c r="BM163" i="3"/>
  <c r="BN163" i="3"/>
  <c r="BO163" i="3"/>
  <c r="BP163" i="3"/>
  <c r="BQ163" i="3"/>
  <c r="BR163" i="3"/>
  <c r="BS163" i="3"/>
  <c r="BT163" i="3"/>
  <c r="BL163" i="3"/>
  <c r="AZ163" i="3"/>
  <c r="BD164" i="3"/>
  <c r="BE164" i="3"/>
  <c r="BF164" i="3"/>
  <c r="BG164" i="3"/>
  <c r="BH164" i="3"/>
  <c r="BI164" i="3"/>
  <c r="BJ164" i="3"/>
  <c r="BK164" i="3"/>
  <c r="BA164" i="3"/>
  <c r="BM164" i="3"/>
  <c r="BN164" i="3"/>
  <c r="BO164" i="3"/>
  <c r="BP164" i="3"/>
  <c r="BQ164" i="3"/>
  <c r="BR164" i="3"/>
  <c r="BS164" i="3"/>
  <c r="BT164" i="3"/>
  <c r="BL164" i="3"/>
  <c r="AZ164" i="3"/>
  <c r="BD165" i="3"/>
  <c r="BE165" i="3"/>
  <c r="BF165" i="3"/>
  <c r="BG165" i="3"/>
  <c r="BH165" i="3"/>
  <c r="BI165" i="3"/>
  <c r="BJ165" i="3"/>
  <c r="BK165" i="3"/>
  <c r="BA165" i="3"/>
  <c r="BM165" i="3"/>
  <c r="BN165" i="3"/>
  <c r="BO165" i="3"/>
  <c r="BP165" i="3"/>
  <c r="BQ165" i="3"/>
  <c r="BR165" i="3"/>
  <c r="BS165" i="3"/>
  <c r="BT165" i="3"/>
  <c r="BL165" i="3"/>
  <c r="AZ165" i="3"/>
  <c r="BD166" i="3"/>
  <c r="BE166" i="3"/>
  <c r="BF166" i="3"/>
  <c r="BG166" i="3"/>
  <c r="BH166" i="3"/>
  <c r="BI166" i="3"/>
  <c r="BJ166" i="3"/>
  <c r="BK166" i="3"/>
  <c r="BA166" i="3"/>
  <c r="BM166" i="3"/>
  <c r="BN166" i="3"/>
  <c r="BO166" i="3"/>
  <c r="BP166" i="3"/>
  <c r="BQ166" i="3"/>
  <c r="BR166" i="3"/>
  <c r="BS166" i="3"/>
  <c r="BT166" i="3"/>
  <c r="BL166" i="3"/>
  <c r="AZ166" i="3"/>
  <c r="BD167" i="3"/>
  <c r="BE167" i="3"/>
  <c r="BF167" i="3"/>
  <c r="BG167" i="3"/>
  <c r="BH167" i="3"/>
  <c r="BI167" i="3"/>
  <c r="BJ167" i="3"/>
  <c r="BK167" i="3"/>
  <c r="BA167" i="3"/>
  <c r="BM167" i="3"/>
  <c r="BN167" i="3"/>
  <c r="BO167" i="3"/>
  <c r="BP167" i="3"/>
  <c r="BQ167" i="3"/>
  <c r="BR167" i="3"/>
  <c r="BS167" i="3"/>
  <c r="BT167" i="3"/>
  <c r="BL167" i="3"/>
  <c r="AZ167" i="3"/>
  <c r="BD168" i="3"/>
  <c r="BE168" i="3"/>
  <c r="BF168" i="3"/>
  <c r="BG168" i="3"/>
  <c r="BH168" i="3"/>
  <c r="BI168" i="3"/>
  <c r="BJ168" i="3"/>
  <c r="BK168" i="3"/>
  <c r="BA168" i="3"/>
  <c r="BM168" i="3"/>
  <c r="BN168" i="3"/>
  <c r="BO168" i="3"/>
  <c r="BP168" i="3"/>
  <c r="BQ168" i="3"/>
  <c r="BR168" i="3"/>
  <c r="BS168" i="3"/>
  <c r="BT168" i="3"/>
  <c r="BL168" i="3"/>
  <c r="AZ168" i="3"/>
  <c r="BD169" i="3"/>
  <c r="BE169" i="3"/>
  <c r="BF169" i="3"/>
  <c r="BG169" i="3"/>
  <c r="BH169" i="3"/>
  <c r="BI169" i="3"/>
  <c r="BJ169" i="3"/>
  <c r="BK169" i="3"/>
  <c r="BA169" i="3"/>
  <c r="BM169" i="3"/>
  <c r="BN169" i="3"/>
  <c r="BO169" i="3"/>
  <c r="BP169" i="3"/>
  <c r="BQ169" i="3"/>
  <c r="BR169" i="3"/>
  <c r="BS169" i="3"/>
  <c r="BT169" i="3"/>
  <c r="BL169" i="3"/>
  <c r="AZ169" i="3"/>
  <c r="BD170" i="3"/>
  <c r="BE170" i="3"/>
  <c r="BF170" i="3"/>
  <c r="BG170" i="3"/>
  <c r="BH170" i="3"/>
  <c r="BI170" i="3"/>
  <c r="BJ170" i="3"/>
  <c r="BK170" i="3"/>
  <c r="BA170" i="3"/>
  <c r="BM170" i="3"/>
  <c r="BN170" i="3"/>
  <c r="BO170" i="3"/>
  <c r="BP170" i="3"/>
  <c r="BQ170" i="3"/>
  <c r="BR170" i="3"/>
  <c r="BS170" i="3"/>
  <c r="BT170" i="3"/>
  <c r="BL170" i="3"/>
  <c r="AZ170" i="3"/>
  <c r="BD171" i="3"/>
  <c r="BE171" i="3"/>
  <c r="BF171" i="3"/>
  <c r="BG171" i="3"/>
  <c r="BH171" i="3"/>
  <c r="BI171" i="3"/>
  <c r="BJ171" i="3"/>
  <c r="BK171" i="3"/>
  <c r="BA171" i="3"/>
  <c r="BM171" i="3"/>
  <c r="BN171" i="3"/>
  <c r="BO171" i="3"/>
  <c r="BP171" i="3"/>
  <c r="BQ171" i="3"/>
  <c r="BR171" i="3"/>
  <c r="BS171" i="3"/>
  <c r="BT171" i="3"/>
  <c r="BL171" i="3"/>
  <c r="AZ171" i="3"/>
  <c r="BD172" i="3"/>
  <c r="BE172" i="3"/>
  <c r="BF172" i="3"/>
  <c r="BG172" i="3"/>
  <c r="BH172" i="3"/>
  <c r="BI172" i="3"/>
  <c r="BJ172" i="3"/>
  <c r="BK172" i="3"/>
  <c r="BA172" i="3"/>
  <c r="BM172" i="3"/>
  <c r="BN172" i="3"/>
  <c r="BO172" i="3"/>
  <c r="BP172" i="3"/>
  <c r="BQ172" i="3"/>
  <c r="BR172" i="3"/>
  <c r="BS172" i="3"/>
  <c r="BT172" i="3"/>
  <c r="BL172" i="3"/>
  <c r="AZ172" i="3"/>
  <c r="BD173" i="3"/>
  <c r="BE173" i="3"/>
  <c r="BF173" i="3"/>
  <c r="BG173" i="3"/>
  <c r="BH173" i="3"/>
  <c r="BI173" i="3"/>
  <c r="BJ173" i="3"/>
  <c r="BK173" i="3"/>
  <c r="BA173" i="3"/>
  <c r="BM173" i="3"/>
  <c r="BN173" i="3"/>
  <c r="BO173" i="3"/>
  <c r="BP173" i="3"/>
  <c r="BQ173" i="3"/>
  <c r="BR173" i="3"/>
  <c r="BS173" i="3"/>
  <c r="BT173" i="3"/>
  <c r="BL173" i="3"/>
  <c r="AZ173" i="3"/>
  <c r="BD174" i="3"/>
  <c r="BE174" i="3"/>
  <c r="BF174" i="3"/>
  <c r="BG174" i="3"/>
  <c r="BH174" i="3"/>
  <c r="BI174" i="3"/>
  <c r="BJ174" i="3"/>
  <c r="BK174" i="3"/>
  <c r="BA174" i="3"/>
  <c r="BM174" i="3"/>
  <c r="BN174" i="3"/>
  <c r="BO174" i="3"/>
  <c r="BP174" i="3"/>
  <c r="BQ174" i="3"/>
  <c r="BR174" i="3"/>
  <c r="BS174" i="3"/>
  <c r="BT174" i="3"/>
  <c r="BL174" i="3"/>
  <c r="AZ174" i="3"/>
  <c r="BD175" i="3"/>
  <c r="BE175" i="3"/>
  <c r="BF175" i="3"/>
  <c r="BG175" i="3"/>
  <c r="BH175" i="3"/>
  <c r="BI175" i="3"/>
  <c r="BJ175" i="3"/>
  <c r="BK175" i="3"/>
  <c r="BA175" i="3"/>
  <c r="BM175" i="3"/>
  <c r="BN175" i="3"/>
  <c r="BO175" i="3"/>
  <c r="BP175" i="3"/>
  <c r="BQ175" i="3"/>
  <c r="BR175" i="3"/>
  <c r="BS175" i="3"/>
  <c r="BT175" i="3"/>
  <c r="BL175" i="3"/>
  <c r="AZ175" i="3"/>
  <c r="BD176" i="3"/>
  <c r="BE176" i="3"/>
  <c r="BF176" i="3"/>
  <c r="BG176" i="3"/>
  <c r="BH176" i="3"/>
  <c r="BI176" i="3"/>
  <c r="BJ176" i="3"/>
  <c r="BK176" i="3"/>
  <c r="BA176" i="3"/>
  <c r="BM176" i="3"/>
  <c r="BN176" i="3"/>
  <c r="BO176" i="3"/>
  <c r="BP176" i="3"/>
  <c r="BQ176" i="3"/>
  <c r="BR176" i="3"/>
  <c r="BS176" i="3"/>
  <c r="BT176" i="3"/>
  <c r="BL176" i="3"/>
  <c r="AZ176" i="3"/>
  <c r="BD177" i="3"/>
  <c r="BE177" i="3"/>
  <c r="BF177" i="3"/>
  <c r="BG177" i="3"/>
  <c r="BH177" i="3"/>
  <c r="BI177" i="3"/>
  <c r="BJ177" i="3"/>
  <c r="BK177" i="3"/>
  <c r="BA177" i="3"/>
  <c r="BM177" i="3"/>
  <c r="BN177" i="3"/>
  <c r="BO177" i="3"/>
  <c r="BP177" i="3"/>
  <c r="BQ177" i="3"/>
  <c r="BR177" i="3"/>
  <c r="BS177" i="3"/>
  <c r="BT177" i="3"/>
  <c r="BL177" i="3"/>
  <c r="AZ177" i="3"/>
  <c r="BD178" i="3"/>
  <c r="BE178" i="3"/>
  <c r="BF178" i="3"/>
  <c r="BG178" i="3"/>
  <c r="BH178" i="3"/>
  <c r="BI178" i="3"/>
  <c r="BJ178" i="3"/>
  <c r="BK178" i="3"/>
  <c r="BA178" i="3"/>
  <c r="BM178" i="3"/>
  <c r="BN178" i="3"/>
  <c r="BO178" i="3"/>
  <c r="BP178" i="3"/>
  <c r="BQ178" i="3"/>
  <c r="BR178" i="3"/>
  <c r="BS178" i="3"/>
  <c r="BT178" i="3"/>
  <c r="BL178" i="3"/>
  <c r="AZ178" i="3"/>
  <c r="BD179" i="3"/>
  <c r="BE179" i="3"/>
  <c r="BF179" i="3"/>
  <c r="BG179" i="3"/>
  <c r="BH179" i="3"/>
  <c r="BI179" i="3"/>
  <c r="BJ179" i="3"/>
  <c r="BK179" i="3"/>
  <c r="BA179" i="3"/>
  <c r="BM179" i="3"/>
  <c r="BN179" i="3"/>
  <c r="BO179" i="3"/>
  <c r="BP179" i="3"/>
  <c r="BQ179" i="3"/>
  <c r="BR179" i="3"/>
  <c r="BS179" i="3"/>
  <c r="BT179" i="3"/>
  <c r="BL179" i="3"/>
  <c r="AZ179" i="3"/>
  <c r="BD180" i="3"/>
  <c r="BE180" i="3"/>
  <c r="BF180" i="3"/>
  <c r="BG180" i="3"/>
  <c r="BH180" i="3"/>
  <c r="BI180" i="3"/>
  <c r="BJ180" i="3"/>
  <c r="BK180" i="3"/>
  <c r="BA180" i="3"/>
  <c r="BM180" i="3"/>
  <c r="BN180" i="3"/>
  <c r="BO180" i="3"/>
  <c r="BP180" i="3"/>
  <c r="BQ180" i="3"/>
  <c r="BR180" i="3"/>
  <c r="BS180" i="3"/>
  <c r="BT180" i="3"/>
  <c r="BL180" i="3"/>
  <c r="AZ180" i="3"/>
  <c r="BD181" i="3"/>
  <c r="BE181" i="3"/>
  <c r="BF181" i="3"/>
  <c r="BG181" i="3"/>
  <c r="BH181" i="3"/>
  <c r="BI181" i="3"/>
  <c r="BJ181" i="3"/>
  <c r="BK181" i="3"/>
  <c r="BA181" i="3"/>
  <c r="BM181" i="3"/>
  <c r="BN181" i="3"/>
  <c r="BO181" i="3"/>
  <c r="BP181" i="3"/>
  <c r="BQ181" i="3"/>
  <c r="BR181" i="3"/>
  <c r="BS181" i="3"/>
  <c r="BT181" i="3"/>
  <c r="BL181" i="3"/>
  <c r="AZ181" i="3"/>
  <c r="BD182" i="3"/>
  <c r="BE182" i="3"/>
  <c r="BF182" i="3"/>
  <c r="BG182" i="3"/>
  <c r="BH182" i="3"/>
  <c r="BI182" i="3"/>
  <c r="BJ182" i="3"/>
  <c r="BK182" i="3"/>
  <c r="BA182" i="3"/>
  <c r="BM182" i="3"/>
  <c r="BN182" i="3"/>
  <c r="BO182" i="3"/>
  <c r="BP182" i="3"/>
  <c r="BQ182" i="3"/>
  <c r="BR182" i="3"/>
  <c r="BS182" i="3"/>
  <c r="BT182" i="3"/>
  <c r="BL182" i="3"/>
  <c r="AZ182" i="3"/>
  <c r="BD183" i="3"/>
  <c r="BE183" i="3"/>
  <c r="BF183" i="3"/>
  <c r="BG183" i="3"/>
  <c r="BH183" i="3"/>
  <c r="BI183" i="3"/>
  <c r="BJ183" i="3"/>
  <c r="BK183" i="3"/>
  <c r="BA183" i="3"/>
  <c r="BM183" i="3"/>
  <c r="BN183" i="3"/>
  <c r="BO183" i="3"/>
  <c r="BP183" i="3"/>
  <c r="BQ183" i="3"/>
  <c r="BR183" i="3"/>
  <c r="BS183" i="3"/>
  <c r="BT183" i="3"/>
  <c r="BL183" i="3"/>
  <c r="AZ183" i="3"/>
  <c r="BD184" i="3"/>
  <c r="BE184" i="3"/>
  <c r="BF184" i="3"/>
  <c r="BG184" i="3"/>
  <c r="BH184" i="3"/>
  <c r="BI184" i="3"/>
  <c r="BJ184" i="3"/>
  <c r="BK184" i="3"/>
  <c r="BA184" i="3"/>
  <c r="BM184" i="3"/>
  <c r="BN184" i="3"/>
  <c r="BO184" i="3"/>
  <c r="BP184" i="3"/>
  <c r="BQ184" i="3"/>
  <c r="BR184" i="3"/>
  <c r="BS184" i="3"/>
  <c r="BT184" i="3"/>
  <c r="BL184" i="3"/>
  <c r="AZ184" i="3"/>
  <c r="BD185" i="3"/>
  <c r="BE185" i="3"/>
  <c r="BF185" i="3"/>
  <c r="BG185" i="3"/>
  <c r="BH185" i="3"/>
  <c r="BI185" i="3"/>
  <c r="BJ185" i="3"/>
  <c r="BK185" i="3"/>
  <c r="BA185" i="3"/>
  <c r="BM185" i="3"/>
  <c r="BN185" i="3"/>
  <c r="BO185" i="3"/>
  <c r="BP185" i="3"/>
  <c r="BQ185" i="3"/>
  <c r="BR185" i="3"/>
  <c r="BS185" i="3"/>
  <c r="BT185" i="3"/>
  <c r="BL185" i="3"/>
  <c r="AZ185" i="3"/>
  <c r="BD186" i="3"/>
  <c r="BE186" i="3"/>
  <c r="BF186" i="3"/>
  <c r="BG186" i="3"/>
  <c r="BH186" i="3"/>
  <c r="BI186" i="3"/>
  <c r="BJ186" i="3"/>
  <c r="BK186" i="3"/>
  <c r="BA186" i="3"/>
  <c r="BM186" i="3"/>
  <c r="BN186" i="3"/>
  <c r="BO186" i="3"/>
  <c r="BP186" i="3"/>
  <c r="BQ186" i="3"/>
  <c r="BR186" i="3"/>
  <c r="BS186" i="3"/>
  <c r="BT186" i="3"/>
  <c r="BL186" i="3"/>
  <c r="AZ186" i="3"/>
  <c r="BD187" i="3"/>
  <c r="BE187" i="3"/>
  <c r="BF187" i="3"/>
  <c r="BG187" i="3"/>
  <c r="BH187" i="3"/>
  <c r="BI187" i="3"/>
  <c r="BJ187" i="3"/>
  <c r="BK187" i="3"/>
  <c r="BA187" i="3"/>
  <c r="BM187" i="3"/>
  <c r="BN187" i="3"/>
  <c r="BO187" i="3"/>
  <c r="BP187" i="3"/>
  <c r="BQ187" i="3"/>
  <c r="BR187" i="3"/>
  <c r="BS187" i="3"/>
  <c r="BT187" i="3"/>
  <c r="BL187" i="3"/>
  <c r="AZ187" i="3"/>
  <c r="BD188" i="3"/>
  <c r="BE188" i="3"/>
  <c r="BF188" i="3"/>
  <c r="BG188" i="3"/>
  <c r="BH188" i="3"/>
  <c r="BI188" i="3"/>
  <c r="BJ188" i="3"/>
  <c r="BK188" i="3"/>
  <c r="BA188" i="3"/>
  <c r="BM188" i="3"/>
  <c r="BN188" i="3"/>
  <c r="BO188" i="3"/>
  <c r="BP188" i="3"/>
  <c r="BQ188" i="3"/>
  <c r="BR188" i="3"/>
  <c r="BS188" i="3"/>
  <c r="BT188" i="3"/>
  <c r="BL188" i="3"/>
  <c r="AZ188" i="3"/>
  <c r="BD189" i="3"/>
  <c r="BE189" i="3"/>
  <c r="BF189" i="3"/>
  <c r="BG189" i="3"/>
  <c r="BH189" i="3"/>
  <c r="BI189" i="3"/>
  <c r="BJ189" i="3"/>
  <c r="BK189" i="3"/>
  <c r="BA189" i="3"/>
  <c r="BM189" i="3"/>
  <c r="BN189" i="3"/>
  <c r="BO189" i="3"/>
  <c r="BP189" i="3"/>
  <c r="BQ189" i="3"/>
  <c r="BR189" i="3"/>
  <c r="BS189" i="3"/>
  <c r="BT189" i="3"/>
  <c r="BL189" i="3"/>
  <c r="AZ189" i="3"/>
  <c r="BD190" i="3"/>
  <c r="BE190" i="3"/>
  <c r="BF190" i="3"/>
  <c r="BG190" i="3"/>
  <c r="BH190" i="3"/>
  <c r="BI190" i="3"/>
  <c r="BJ190" i="3"/>
  <c r="BK190" i="3"/>
  <c r="BA190" i="3"/>
  <c r="BM190" i="3"/>
  <c r="BN190" i="3"/>
  <c r="BO190" i="3"/>
  <c r="BP190" i="3"/>
  <c r="BQ190" i="3"/>
  <c r="BR190" i="3"/>
  <c r="BS190" i="3"/>
  <c r="BT190" i="3"/>
  <c r="BL190" i="3"/>
  <c r="AZ190" i="3"/>
  <c r="BD191" i="3"/>
  <c r="BE191" i="3"/>
  <c r="BF191" i="3"/>
  <c r="BG191" i="3"/>
  <c r="BH191" i="3"/>
  <c r="BI191" i="3"/>
  <c r="BJ191" i="3"/>
  <c r="BK191" i="3"/>
  <c r="BA191" i="3"/>
  <c r="BM191" i="3"/>
  <c r="BN191" i="3"/>
  <c r="BO191" i="3"/>
  <c r="BP191" i="3"/>
  <c r="BQ191" i="3"/>
  <c r="BR191" i="3"/>
  <c r="BS191" i="3"/>
  <c r="BT191" i="3"/>
  <c r="BL191" i="3"/>
  <c r="AZ191" i="3"/>
  <c r="BD192" i="3"/>
  <c r="BE192" i="3"/>
  <c r="BF192" i="3"/>
  <c r="BG192" i="3"/>
  <c r="BH192" i="3"/>
  <c r="BI192" i="3"/>
  <c r="BJ192" i="3"/>
  <c r="BK192" i="3"/>
  <c r="BA192" i="3"/>
  <c r="BM192" i="3"/>
  <c r="BN192" i="3"/>
  <c r="BO192" i="3"/>
  <c r="BP192" i="3"/>
  <c r="BQ192" i="3"/>
  <c r="BR192" i="3"/>
  <c r="BS192" i="3"/>
  <c r="BT192" i="3"/>
  <c r="BL192" i="3"/>
  <c r="AZ192" i="3"/>
  <c r="BD193" i="3"/>
  <c r="BE193" i="3"/>
  <c r="BF193" i="3"/>
  <c r="BG193" i="3"/>
  <c r="BH193" i="3"/>
  <c r="BI193" i="3"/>
  <c r="BJ193" i="3"/>
  <c r="BK193" i="3"/>
  <c r="BA193" i="3"/>
  <c r="BM193" i="3"/>
  <c r="BN193" i="3"/>
  <c r="BO193" i="3"/>
  <c r="BP193" i="3"/>
  <c r="BQ193" i="3"/>
  <c r="BR193" i="3"/>
  <c r="BS193" i="3"/>
  <c r="BT193" i="3"/>
  <c r="BL193" i="3"/>
  <c r="AZ193" i="3"/>
  <c r="BD194" i="3"/>
  <c r="BE194" i="3"/>
  <c r="BF194" i="3"/>
  <c r="BG194" i="3"/>
  <c r="BH194" i="3"/>
  <c r="BI194" i="3"/>
  <c r="BJ194" i="3"/>
  <c r="BK194" i="3"/>
  <c r="BA194" i="3"/>
  <c r="BM194" i="3"/>
  <c r="BN194" i="3"/>
  <c r="BO194" i="3"/>
  <c r="BP194" i="3"/>
  <c r="BQ194" i="3"/>
  <c r="BR194" i="3"/>
  <c r="BS194" i="3"/>
  <c r="BT194" i="3"/>
  <c r="BL194" i="3"/>
  <c r="AZ194" i="3"/>
  <c r="BD195" i="3"/>
  <c r="BE195" i="3"/>
  <c r="BF195" i="3"/>
  <c r="BG195" i="3"/>
  <c r="BH195" i="3"/>
  <c r="BI195" i="3"/>
  <c r="BJ195" i="3"/>
  <c r="BK195" i="3"/>
  <c r="BA195" i="3"/>
  <c r="BM195" i="3"/>
  <c r="BN195" i="3"/>
  <c r="BO195" i="3"/>
  <c r="BP195" i="3"/>
  <c r="BQ195" i="3"/>
  <c r="BR195" i="3"/>
  <c r="BS195" i="3"/>
  <c r="BT195" i="3"/>
  <c r="BL195" i="3"/>
  <c r="AZ195" i="3"/>
  <c r="BD196" i="3"/>
  <c r="BE196" i="3"/>
  <c r="BF196" i="3"/>
  <c r="BG196" i="3"/>
  <c r="BH196" i="3"/>
  <c r="BI196" i="3"/>
  <c r="BJ196" i="3"/>
  <c r="BK196" i="3"/>
  <c r="BA196" i="3"/>
  <c r="BM196" i="3"/>
  <c r="BN196" i="3"/>
  <c r="BO196" i="3"/>
  <c r="BP196" i="3"/>
  <c r="BQ196" i="3"/>
  <c r="BR196" i="3"/>
  <c r="BS196" i="3"/>
  <c r="BT196" i="3"/>
  <c r="BL196" i="3"/>
  <c r="AZ196" i="3"/>
  <c r="BD197" i="3"/>
  <c r="BE197" i="3"/>
  <c r="BF197" i="3"/>
  <c r="BG197" i="3"/>
  <c r="BH197" i="3"/>
  <c r="BI197" i="3"/>
  <c r="BJ197" i="3"/>
  <c r="BK197" i="3"/>
  <c r="BA197" i="3"/>
  <c r="BM197" i="3"/>
  <c r="BN197" i="3"/>
  <c r="BO197" i="3"/>
  <c r="BP197" i="3"/>
  <c r="BQ197" i="3"/>
  <c r="BR197" i="3"/>
  <c r="BS197" i="3"/>
  <c r="BT197" i="3"/>
  <c r="BL197" i="3"/>
  <c r="AZ197" i="3"/>
  <c r="BD198" i="3"/>
  <c r="BE198" i="3"/>
  <c r="BF198" i="3"/>
  <c r="BG198" i="3"/>
  <c r="BH198" i="3"/>
  <c r="BI198" i="3"/>
  <c r="BJ198" i="3"/>
  <c r="BK198" i="3"/>
  <c r="BA198" i="3"/>
  <c r="BM198" i="3"/>
  <c r="BN198" i="3"/>
  <c r="BO198" i="3"/>
  <c r="BP198" i="3"/>
  <c r="BQ198" i="3"/>
  <c r="BR198" i="3"/>
  <c r="BS198" i="3"/>
  <c r="BT198" i="3"/>
  <c r="BL198" i="3"/>
  <c r="AZ198" i="3"/>
  <c r="BD199" i="3"/>
  <c r="BE199" i="3"/>
  <c r="BF199" i="3"/>
  <c r="BG199" i="3"/>
  <c r="BH199" i="3"/>
  <c r="BI199" i="3"/>
  <c r="BJ199" i="3"/>
  <c r="BK199" i="3"/>
  <c r="BA199" i="3"/>
  <c r="BM199" i="3"/>
  <c r="BN199" i="3"/>
  <c r="BO199" i="3"/>
  <c r="BP199" i="3"/>
  <c r="BQ199" i="3"/>
  <c r="BR199" i="3"/>
  <c r="BS199" i="3"/>
  <c r="BT199" i="3"/>
  <c r="BL199" i="3"/>
  <c r="AZ199" i="3"/>
  <c r="BD200" i="3"/>
  <c r="BE200" i="3"/>
  <c r="BF200" i="3"/>
  <c r="BG200" i="3"/>
  <c r="BH200" i="3"/>
  <c r="BI200" i="3"/>
  <c r="BJ200" i="3"/>
  <c r="BK200" i="3"/>
  <c r="BA200" i="3"/>
  <c r="BM200" i="3"/>
  <c r="BN200" i="3"/>
  <c r="BO200" i="3"/>
  <c r="BP200" i="3"/>
  <c r="BQ200" i="3"/>
  <c r="BR200" i="3"/>
  <c r="BS200" i="3"/>
  <c r="BT200" i="3"/>
  <c r="BL200" i="3"/>
  <c r="AZ200" i="3"/>
  <c r="BD201" i="3"/>
  <c r="BE201" i="3"/>
  <c r="BF201" i="3"/>
  <c r="BG201" i="3"/>
  <c r="BH201" i="3"/>
  <c r="BI201" i="3"/>
  <c r="BJ201" i="3"/>
  <c r="BK201" i="3"/>
  <c r="BA201" i="3"/>
  <c r="BM201" i="3"/>
  <c r="BN201" i="3"/>
  <c r="BO201" i="3"/>
  <c r="BP201" i="3"/>
  <c r="BQ201" i="3"/>
  <c r="BR201" i="3"/>
  <c r="BS201" i="3"/>
  <c r="BT201" i="3"/>
  <c r="BL201" i="3"/>
  <c r="AZ201" i="3"/>
  <c r="BD202" i="3"/>
  <c r="BE202" i="3"/>
  <c r="BF202" i="3"/>
  <c r="BG202" i="3"/>
  <c r="BH202" i="3"/>
  <c r="BI202" i="3"/>
  <c r="BJ202" i="3"/>
  <c r="BK202" i="3"/>
  <c r="BA202" i="3"/>
  <c r="BM202" i="3"/>
  <c r="BN202" i="3"/>
  <c r="BO202" i="3"/>
  <c r="BP202" i="3"/>
  <c r="BQ202" i="3"/>
  <c r="BR202" i="3"/>
  <c r="BS202" i="3"/>
  <c r="BT202" i="3"/>
  <c r="BL202" i="3"/>
  <c r="AZ202" i="3"/>
  <c r="BD203" i="3"/>
  <c r="BE203" i="3"/>
  <c r="BF203" i="3"/>
  <c r="BG203" i="3"/>
  <c r="BH203" i="3"/>
  <c r="BI203" i="3"/>
  <c r="BJ203" i="3"/>
  <c r="BK203" i="3"/>
  <c r="BA203" i="3"/>
  <c r="BM203" i="3"/>
  <c r="BN203" i="3"/>
  <c r="BO203" i="3"/>
  <c r="BP203" i="3"/>
  <c r="BQ203" i="3"/>
  <c r="BR203" i="3"/>
  <c r="BS203" i="3"/>
  <c r="BT203" i="3"/>
  <c r="BL203" i="3"/>
  <c r="AZ203" i="3"/>
  <c r="BD204" i="3"/>
  <c r="BE204" i="3"/>
  <c r="BF204" i="3"/>
  <c r="BG204" i="3"/>
  <c r="BH204" i="3"/>
  <c r="BI204" i="3"/>
  <c r="BJ204" i="3"/>
  <c r="BK204" i="3"/>
  <c r="BA204" i="3"/>
  <c r="BM204" i="3"/>
  <c r="BN204" i="3"/>
  <c r="BO204" i="3"/>
  <c r="BP204" i="3"/>
  <c r="BQ204" i="3"/>
  <c r="BR204" i="3"/>
  <c r="BS204" i="3"/>
  <c r="BT204" i="3"/>
  <c r="BL204" i="3"/>
  <c r="AZ204" i="3"/>
  <c r="BD205" i="3"/>
  <c r="BE205" i="3"/>
  <c r="BF205" i="3"/>
  <c r="BG205" i="3"/>
  <c r="BH205" i="3"/>
  <c r="BI205" i="3"/>
  <c r="BJ205" i="3"/>
  <c r="BK205" i="3"/>
  <c r="BA205" i="3"/>
  <c r="BM205" i="3"/>
  <c r="BN205" i="3"/>
  <c r="BO205" i="3"/>
  <c r="BP205" i="3"/>
  <c r="BQ205" i="3"/>
  <c r="BR205" i="3"/>
  <c r="BS205" i="3"/>
  <c r="BT205" i="3"/>
  <c r="BL205" i="3"/>
  <c r="AZ205" i="3"/>
  <c r="BD206" i="3"/>
  <c r="BE206" i="3"/>
  <c r="BF206" i="3"/>
  <c r="BG206" i="3"/>
  <c r="BH206" i="3"/>
  <c r="BI206" i="3"/>
  <c r="BJ206" i="3"/>
  <c r="BK206" i="3"/>
  <c r="BA206" i="3"/>
  <c r="BM206" i="3"/>
  <c r="BN206" i="3"/>
  <c r="BO206" i="3"/>
  <c r="BP206" i="3"/>
  <c r="BQ206" i="3"/>
  <c r="BR206" i="3"/>
  <c r="BS206" i="3"/>
  <c r="BT206" i="3"/>
  <c r="BL206" i="3"/>
  <c r="AZ206" i="3"/>
  <c r="BD207" i="3"/>
  <c r="BE207" i="3"/>
  <c r="BF207" i="3"/>
  <c r="BG207" i="3"/>
  <c r="BH207" i="3"/>
  <c r="BI207" i="3"/>
  <c r="BJ207" i="3"/>
  <c r="BK207" i="3"/>
  <c r="BA207" i="3"/>
  <c r="BM207" i="3"/>
  <c r="BN207" i="3"/>
  <c r="BO207" i="3"/>
  <c r="BP207" i="3"/>
  <c r="BQ207" i="3"/>
  <c r="BR207" i="3"/>
  <c r="BS207" i="3"/>
  <c r="BT207" i="3"/>
  <c r="BL207" i="3"/>
  <c r="AZ207" i="3"/>
  <c r="BD208" i="3"/>
  <c r="BE208" i="3"/>
  <c r="BF208" i="3"/>
  <c r="BG208" i="3"/>
  <c r="BH208" i="3"/>
  <c r="BI208" i="3"/>
  <c r="BJ208" i="3"/>
  <c r="BK208" i="3"/>
  <c r="BA208" i="3"/>
  <c r="BM208" i="3"/>
  <c r="BN208" i="3"/>
  <c r="BO208" i="3"/>
  <c r="BP208" i="3"/>
  <c r="BQ208" i="3"/>
  <c r="BR208" i="3"/>
  <c r="BS208" i="3"/>
  <c r="BT208" i="3"/>
  <c r="BL208" i="3"/>
  <c r="AZ208" i="3"/>
  <c r="BD209" i="3"/>
  <c r="BE209" i="3"/>
  <c r="BF209" i="3"/>
  <c r="BG209" i="3"/>
  <c r="BH209" i="3"/>
  <c r="BI209" i="3"/>
  <c r="BJ209" i="3"/>
  <c r="BK209" i="3"/>
  <c r="BA209" i="3"/>
  <c r="BM209" i="3"/>
  <c r="BN209" i="3"/>
  <c r="BO209" i="3"/>
  <c r="BP209" i="3"/>
  <c r="BQ209" i="3"/>
  <c r="BR209" i="3"/>
  <c r="BS209" i="3"/>
  <c r="BT209" i="3"/>
  <c r="BL209" i="3"/>
  <c r="AZ209" i="3"/>
  <c r="BD210" i="3"/>
  <c r="BE210" i="3"/>
  <c r="BF210" i="3"/>
  <c r="BG210" i="3"/>
  <c r="BH210" i="3"/>
  <c r="BI210" i="3"/>
  <c r="BJ210" i="3"/>
  <c r="BK210" i="3"/>
  <c r="BA210" i="3"/>
  <c r="BM210" i="3"/>
  <c r="BN210" i="3"/>
  <c r="BO210" i="3"/>
  <c r="BP210" i="3"/>
  <c r="BQ210" i="3"/>
  <c r="BR210" i="3"/>
  <c r="BS210" i="3"/>
  <c r="BT210" i="3"/>
  <c r="BL210" i="3"/>
  <c r="AZ210" i="3"/>
  <c r="BD211" i="3"/>
  <c r="BE211" i="3"/>
  <c r="BF211" i="3"/>
  <c r="BG211" i="3"/>
  <c r="BH211" i="3"/>
  <c r="BI211" i="3"/>
  <c r="BJ211" i="3"/>
  <c r="BK211" i="3"/>
  <c r="BA211" i="3"/>
  <c r="BM211" i="3"/>
  <c r="BN211" i="3"/>
  <c r="BO211" i="3"/>
  <c r="BP211" i="3"/>
  <c r="BQ211" i="3"/>
  <c r="BR211" i="3"/>
  <c r="BS211" i="3"/>
  <c r="BT211" i="3"/>
  <c r="BL211" i="3"/>
  <c r="AZ211" i="3"/>
  <c r="BD212" i="3"/>
  <c r="BE212" i="3"/>
  <c r="BF212" i="3"/>
  <c r="BG212" i="3"/>
  <c r="BH212" i="3"/>
  <c r="BI212" i="3"/>
  <c r="BJ212" i="3"/>
  <c r="BK212" i="3"/>
  <c r="BA212" i="3"/>
  <c r="BM212" i="3"/>
  <c r="BN212" i="3"/>
  <c r="BO212" i="3"/>
  <c r="BP212" i="3"/>
  <c r="BQ212" i="3"/>
  <c r="BR212" i="3"/>
  <c r="BS212" i="3"/>
  <c r="BT212" i="3"/>
  <c r="BL212" i="3"/>
  <c r="AZ212" i="3"/>
  <c r="BD213" i="3"/>
  <c r="BE213" i="3"/>
  <c r="BF213" i="3"/>
  <c r="BG213" i="3"/>
  <c r="BH213" i="3"/>
  <c r="BI213" i="3"/>
  <c r="BJ213" i="3"/>
  <c r="BK213" i="3"/>
  <c r="BA213" i="3"/>
  <c r="BM213" i="3"/>
  <c r="BN213" i="3"/>
  <c r="BO213" i="3"/>
  <c r="BP213" i="3"/>
  <c r="BQ213" i="3"/>
  <c r="BR213" i="3"/>
  <c r="BS213" i="3"/>
  <c r="BT213" i="3"/>
  <c r="BL213" i="3"/>
  <c r="AZ213" i="3"/>
  <c r="BD214" i="3"/>
  <c r="BE214" i="3"/>
  <c r="BF214" i="3"/>
  <c r="BG214" i="3"/>
  <c r="BH214" i="3"/>
  <c r="BI214" i="3"/>
  <c r="BJ214" i="3"/>
  <c r="BK214" i="3"/>
  <c r="BA214" i="3"/>
  <c r="BM214" i="3"/>
  <c r="BN214" i="3"/>
  <c r="BO214" i="3"/>
  <c r="BP214" i="3"/>
  <c r="BQ214" i="3"/>
  <c r="BR214" i="3"/>
  <c r="BS214" i="3"/>
  <c r="BT214" i="3"/>
  <c r="BL214" i="3"/>
  <c r="AZ214" i="3"/>
  <c r="BD215" i="3"/>
  <c r="BE215" i="3"/>
  <c r="BF215" i="3"/>
  <c r="BG215" i="3"/>
  <c r="BH215" i="3"/>
  <c r="BI215" i="3"/>
  <c r="BJ215" i="3"/>
  <c r="BK215" i="3"/>
  <c r="BA215" i="3"/>
  <c r="BM215" i="3"/>
  <c r="BN215" i="3"/>
  <c r="BO215" i="3"/>
  <c r="BP215" i="3"/>
  <c r="BQ215" i="3"/>
  <c r="BR215" i="3"/>
  <c r="BS215" i="3"/>
  <c r="BT215" i="3"/>
  <c r="BL215" i="3"/>
  <c r="AZ215" i="3"/>
  <c r="BD216" i="3"/>
  <c r="BE216" i="3"/>
  <c r="BF216" i="3"/>
  <c r="BG216" i="3"/>
  <c r="BH216" i="3"/>
  <c r="BI216" i="3"/>
  <c r="BJ216" i="3"/>
  <c r="BK216" i="3"/>
  <c r="BA216" i="3"/>
  <c r="BM216" i="3"/>
  <c r="BN216" i="3"/>
  <c r="BO216" i="3"/>
  <c r="BP216" i="3"/>
  <c r="BQ216" i="3"/>
  <c r="BR216" i="3"/>
  <c r="BS216" i="3"/>
  <c r="BT216" i="3"/>
  <c r="BL216" i="3"/>
  <c r="AZ216" i="3"/>
  <c r="BD217" i="3"/>
  <c r="BE217" i="3"/>
  <c r="BF217" i="3"/>
  <c r="BG217" i="3"/>
  <c r="BH217" i="3"/>
  <c r="BI217" i="3"/>
  <c r="BJ217" i="3"/>
  <c r="BK217" i="3"/>
  <c r="BA217" i="3"/>
  <c r="BM217" i="3"/>
  <c r="BN217" i="3"/>
  <c r="BO217" i="3"/>
  <c r="BP217" i="3"/>
  <c r="BQ217" i="3"/>
  <c r="BR217" i="3"/>
  <c r="BS217" i="3"/>
  <c r="BT217" i="3"/>
  <c r="BL217" i="3"/>
  <c r="AZ217" i="3"/>
  <c r="BD218" i="3"/>
  <c r="BE218" i="3"/>
  <c r="BF218" i="3"/>
  <c r="BG218" i="3"/>
  <c r="BH218" i="3"/>
  <c r="BI218" i="3"/>
  <c r="BJ218" i="3"/>
  <c r="BK218" i="3"/>
  <c r="BA218" i="3"/>
  <c r="BM218" i="3"/>
  <c r="BN218" i="3"/>
  <c r="BO218" i="3"/>
  <c r="BP218" i="3"/>
  <c r="BQ218" i="3"/>
  <c r="BR218" i="3"/>
  <c r="BS218" i="3"/>
  <c r="BT218" i="3"/>
  <c r="BL218" i="3"/>
  <c r="AZ218" i="3"/>
  <c r="BD219" i="3"/>
  <c r="BE219" i="3"/>
  <c r="BF219" i="3"/>
  <c r="BG219" i="3"/>
  <c r="BH219" i="3"/>
  <c r="BI219" i="3"/>
  <c r="BJ219" i="3"/>
  <c r="BK219" i="3"/>
  <c r="BA219" i="3"/>
  <c r="BM219" i="3"/>
  <c r="BN219" i="3"/>
  <c r="BO219" i="3"/>
  <c r="BP219" i="3"/>
  <c r="BQ219" i="3"/>
  <c r="BR219" i="3"/>
  <c r="BS219" i="3"/>
  <c r="BT219" i="3"/>
  <c r="BL219" i="3"/>
  <c r="AZ219" i="3"/>
  <c r="BD220" i="3"/>
  <c r="BE220" i="3"/>
  <c r="BF220" i="3"/>
  <c r="BG220" i="3"/>
  <c r="BH220" i="3"/>
  <c r="BI220" i="3"/>
  <c r="BJ220" i="3"/>
  <c r="BK220" i="3"/>
  <c r="BA220" i="3"/>
  <c r="BM220" i="3"/>
  <c r="BN220" i="3"/>
  <c r="BO220" i="3"/>
  <c r="BP220" i="3"/>
  <c r="BQ220" i="3"/>
  <c r="BR220" i="3"/>
  <c r="BS220" i="3"/>
  <c r="BT220" i="3"/>
  <c r="BL220" i="3"/>
  <c r="AZ220" i="3"/>
  <c r="BD221" i="3"/>
  <c r="BE221" i="3"/>
  <c r="BF221" i="3"/>
  <c r="BG221" i="3"/>
  <c r="BH221" i="3"/>
  <c r="BI221" i="3"/>
  <c r="BJ221" i="3"/>
  <c r="BK221" i="3"/>
  <c r="BA221" i="3"/>
  <c r="BM221" i="3"/>
  <c r="BN221" i="3"/>
  <c r="BO221" i="3"/>
  <c r="BP221" i="3"/>
  <c r="BQ221" i="3"/>
  <c r="BR221" i="3"/>
  <c r="BS221" i="3"/>
  <c r="BT221" i="3"/>
  <c r="BL221" i="3"/>
  <c r="AZ221" i="3"/>
  <c r="BD222" i="3"/>
  <c r="BE222" i="3"/>
  <c r="BF222" i="3"/>
  <c r="BG222" i="3"/>
  <c r="BH222" i="3"/>
  <c r="BI222" i="3"/>
  <c r="BJ222" i="3"/>
  <c r="BK222" i="3"/>
  <c r="BA222" i="3"/>
  <c r="BM222" i="3"/>
  <c r="BN222" i="3"/>
  <c r="BO222" i="3"/>
  <c r="BP222" i="3"/>
  <c r="BQ222" i="3"/>
  <c r="BR222" i="3"/>
  <c r="BS222" i="3"/>
  <c r="BT222" i="3"/>
  <c r="BL222" i="3"/>
  <c r="AZ222" i="3"/>
  <c r="BD223" i="3"/>
  <c r="BE223" i="3"/>
  <c r="BF223" i="3"/>
  <c r="BG223" i="3"/>
  <c r="BH223" i="3"/>
  <c r="BI223" i="3"/>
  <c r="BJ223" i="3"/>
  <c r="BK223" i="3"/>
  <c r="BA223" i="3"/>
  <c r="BM223" i="3"/>
  <c r="BN223" i="3"/>
  <c r="BO223" i="3"/>
  <c r="BP223" i="3"/>
  <c r="BQ223" i="3"/>
  <c r="BR223" i="3"/>
  <c r="BS223" i="3"/>
  <c r="BT223" i="3"/>
  <c r="BL223" i="3"/>
  <c r="AZ223" i="3"/>
  <c r="BD224" i="3"/>
  <c r="BE224" i="3"/>
  <c r="BF224" i="3"/>
  <c r="BG224" i="3"/>
  <c r="BH224" i="3"/>
  <c r="BI224" i="3"/>
  <c r="BJ224" i="3"/>
  <c r="BK224" i="3"/>
  <c r="BA224" i="3"/>
  <c r="BM224" i="3"/>
  <c r="BN224" i="3"/>
  <c r="BO224" i="3"/>
  <c r="BP224" i="3"/>
  <c r="BQ224" i="3"/>
  <c r="BR224" i="3"/>
  <c r="BS224" i="3"/>
  <c r="BT224" i="3"/>
  <c r="BL224" i="3"/>
  <c r="AZ224" i="3"/>
  <c r="BD225" i="3"/>
  <c r="BE225" i="3"/>
  <c r="BF225" i="3"/>
  <c r="BG225" i="3"/>
  <c r="BH225" i="3"/>
  <c r="BI225" i="3"/>
  <c r="BJ225" i="3"/>
  <c r="BK225" i="3"/>
  <c r="BA225" i="3"/>
  <c r="BM225" i="3"/>
  <c r="BN225" i="3"/>
  <c r="BO225" i="3"/>
  <c r="BP225" i="3"/>
  <c r="BQ225" i="3"/>
  <c r="BR225" i="3"/>
  <c r="BS225" i="3"/>
  <c r="BT225" i="3"/>
  <c r="BL225" i="3"/>
  <c r="AZ225" i="3"/>
  <c r="BD226" i="3"/>
  <c r="BE226" i="3"/>
  <c r="BF226" i="3"/>
  <c r="BG226" i="3"/>
  <c r="BH226" i="3"/>
  <c r="BI226" i="3"/>
  <c r="BJ226" i="3"/>
  <c r="BK226" i="3"/>
  <c r="BA226" i="3"/>
  <c r="BM226" i="3"/>
  <c r="BN226" i="3"/>
  <c r="BO226" i="3"/>
  <c r="BP226" i="3"/>
  <c r="BQ226" i="3"/>
  <c r="BR226" i="3"/>
  <c r="BS226" i="3"/>
  <c r="BT226" i="3"/>
  <c r="BL226" i="3"/>
  <c r="AZ226" i="3"/>
  <c r="BD227" i="3"/>
  <c r="BE227" i="3"/>
  <c r="BF227" i="3"/>
  <c r="BG227" i="3"/>
  <c r="BH227" i="3"/>
  <c r="BI227" i="3"/>
  <c r="BJ227" i="3"/>
  <c r="BK227" i="3"/>
  <c r="BA227" i="3"/>
  <c r="BM227" i="3"/>
  <c r="BN227" i="3"/>
  <c r="BO227" i="3"/>
  <c r="BP227" i="3"/>
  <c r="BQ227" i="3"/>
  <c r="BR227" i="3"/>
  <c r="BS227" i="3"/>
  <c r="BT227" i="3"/>
  <c r="BL227" i="3"/>
  <c r="AZ227" i="3"/>
  <c r="BD228" i="3"/>
  <c r="BE228" i="3"/>
  <c r="BF228" i="3"/>
  <c r="BG228" i="3"/>
  <c r="BH228" i="3"/>
  <c r="BI228" i="3"/>
  <c r="BJ228" i="3"/>
  <c r="BK228" i="3"/>
  <c r="BA228" i="3"/>
  <c r="BM228" i="3"/>
  <c r="BN228" i="3"/>
  <c r="BO228" i="3"/>
  <c r="BP228" i="3"/>
  <c r="BQ228" i="3"/>
  <c r="BR228" i="3"/>
  <c r="BS228" i="3"/>
  <c r="BT228" i="3"/>
  <c r="BL228" i="3"/>
  <c r="AZ228" i="3"/>
  <c r="BD229" i="3"/>
  <c r="BE229" i="3"/>
  <c r="BF229" i="3"/>
  <c r="BG229" i="3"/>
  <c r="BH229" i="3"/>
  <c r="BI229" i="3"/>
  <c r="BJ229" i="3"/>
  <c r="BK229" i="3"/>
  <c r="BA229" i="3"/>
  <c r="BM229" i="3"/>
  <c r="BN229" i="3"/>
  <c r="BO229" i="3"/>
  <c r="BP229" i="3"/>
  <c r="BQ229" i="3"/>
  <c r="BR229" i="3"/>
  <c r="BS229" i="3"/>
  <c r="BT229" i="3"/>
  <c r="BL229" i="3"/>
  <c r="AZ229" i="3"/>
  <c r="BD230" i="3"/>
  <c r="BE230" i="3"/>
  <c r="BF230" i="3"/>
  <c r="BG230" i="3"/>
  <c r="BH230" i="3"/>
  <c r="BI230" i="3"/>
  <c r="BJ230" i="3"/>
  <c r="BK230" i="3"/>
  <c r="BA230" i="3"/>
  <c r="BM230" i="3"/>
  <c r="BN230" i="3"/>
  <c r="BO230" i="3"/>
  <c r="BP230" i="3"/>
  <c r="BQ230" i="3"/>
  <c r="BR230" i="3"/>
  <c r="BS230" i="3"/>
  <c r="BT230" i="3"/>
  <c r="BL230" i="3"/>
  <c r="AZ230" i="3"/>
  <c r="BD231" i="3"/>
  <c r="BE231" i="3"/>
  <c r="BF231" i="3"/>
  <c r="BG231" i="3"/>
  <c r="BH231" i="3"/>
  <c r="BI231" i="3"/>
  <c r="BJ231" i="3"/>
  <c r="BK231" i="3"/>
  <c r="BA231" i="3"/>
  <c r="BM231" i="3"/>
  <c r="BN231" i="3"/>
  <c r="BO231" i="3"/>
  <c r="BP231" i="3"/>
  <c r="BQ231" i="3"/>
  <c r="BR231" i="3"/>
  <c r="BS231" i="3"/>
  <c r="BT231" i="3"/>
  <c r="BL231" i="3"/>
  <c r="AZ231" i="3"/>
  <c r="BD232" i="3"/>
  <c r="BE232" i="3"/>
  <c r="BF232" i="3"/>
  <c r="BG232" i="3"/>
  <c r="BH232" i="3"/>
  <c r="BI232" i="3"/>
  <c r="BJ232" i="3"/>
  <c r="BK232" i="3"/>
  <c r="BA232" i="3"/>
  <c r="BM232" i="3"/>
  <c r="BN232" i="3"/>
  <c r="BO232" i="3"/>
  <c r="BP232" i="3"/>
  <c r="BQ232" i="3"/>
  <c r="BR232" i="3"/>
  <c r="BS232" i="3"/>
  <c r="BT232" i="3"/>
  <c r="BL232" i="3"/>
  <c r="AZ232" i="3"/>
  <c r="BD233" i="3"/>
  <c r="BE233" i="3"/>
  <c r="BF233" i="3"/>
  <c r="BG233" i="3"/>
  <c r="BH233" i="3"/>
  <c r="BI233" i="3"/>
  <c r="BJ233" i="3"/>
  <c r="BK233" i="3"/>
  <c r="BA233" i="3"/>
  <c r="BM233" i="3"/>
  <c r="BN233" i="3"/>
  <c r="BO233" i="3"/>
  <c r="BP233" i="3"/>
  <c r="BQ233" i="3"/>
  <c r="BR233" i="3"/>
  <c r="BS233" i="3"/>
  <c r="BT233" i="3"/>
  <c r="BL233" i="3"/>
  <c r="AZ233" i="3"/>
  <c r="BD234" i="3"/>
  <c r="BE234" i="3"/>
  <c r="BF234" i="3"/>
  <c r="BG234" i="3"/>
  <c r="BH234" i="3"/>
  <c r="BI234" i="3"/>
  <c r="BJ234" i="3"/>
  <c r="BK234" i="3"/>
  <c r="BA234" i="3"/>
  <c r="BM234" i="3"/>
  <c r="BN234" i="3"/>
  <c r="BO234" i="3"/>
  <c r="BP234" i="3"/>
  <c r="BQ234" i="3"/>
  <c r="BR234" i="3"/>
  <c r="BS234" i="3"/>
  <c r="BT234" i="3"/>
  <c r="BL234" i="3"/>
  <c r="AZ234" i="3"/>
  <c r="BD235" i="3"/>
  <c r="BE235" i="3"/>
  <c r="BF235" i="3"/>
  <c r="BG235" i="3"/>
  <c r="BH235" i="3"/>
  <c r="BI235" i="3"/>
  <c r="BJ235" i="3"/>
  <c r="BK235" i="3"/>
  <c r="BA235" i="3"/>
  <c r="BM235" i="3"/>
  <c r="BN235" i="3"/>
  <c r="BO235" i="3"/>
  <c r="BP235" i="3"/>
  <c r="BQ235" i="3"/>
  <c r="BR235" i="3"/>
  <c r="BS235" i="3"/>
  <c r="BT235" i="3"/>
  <c r="BL235" i="3"/>
  <c r="AZ235" i="3"/>
  <c r="BD236" i="3"/>
  <c r="BE236" i="3"/>
  <c r="BF236" i="3"/>
  <c r="BG236" i="3"/>
  <c r="BH236" i="3"/>
  <c r="BI236" i="3"/>
  <c r="BJ236" i="3"/>
  <c r="BK236" i="3"/>
  <c r="BA236" i="3"/>
  <c r="BM236" i="3"/>
  <c r="BN236" i="3"/>
  <c r="BO236" i="3"/>
  <c r="BP236" i="3"/>
  <c r="BQ236" i="3"/>
  <c r="BR236" i="3"/>
  <c r="BS236" i="3"/>
  <c r="BT236" i="3"/>
  <c r="BL236" i="3"/>
  <c r="AZ236" i="3"/>
  <c r="BD237" i="3"/>
  <c r="BE237" i="3"/>
  <c r="BF237" i="3"/>
  <c r="BG237" i="3"/>
  <c r="BH237" i="3"/>
  <c r="BI237" i="3"/>
  <c r="BJ237" i="3"/>
  <c r="BK237" i="3"/>
  <c r="BA237" i="3"/>
  <c r="BM237" i="3"/>
  <c r="BN237" i="3"/>
  <c r="BO237" i="3"/>
  <c r="BP237" i="3"/>
  <c r="BQ237" i="3"/>
  <c r="BR237" i="3"/>
  <c r="BS237" i="3"/>
  <c r="BT237" i="3"/>
  <c r="BL237" i="3"/>
  <c r="AZ237" i="3"/>
  <c r="BD238" i="3"/>
  <c r="BE238" i="3"/>
  <c r="BF238" i="3"/>
  <c r="BG238" i="3"/>
  <c r="BH238" i="3"/>
  <c r="BI238" i="3"/>
  <c r="BJ238" i="3"/>
  <c r="BK238" i="3"/>
  <c r="BA238" i="3"/>
  <c r="BM238" i="3"/>
  <c r="BN238" i="3"/>
  <c r="BO238" i="3"/>
  <c r="BP238" i="3"/>
  <c r="BQ238" i="3"/>
  <c r="BR238" i="3"/>
  <c r="BS238" i="3"/>
  <c r="BT238" i="3"/>
  <c r="BL238" i="3"/>
  <c r="AZ238" i="3"/>
  <c r="BD239" i="3"/>
  <c r="BE239" i="3"/>
  <c r="BF239" i="3"/>
  <c r="BG239" i="3"/>
  <c r="BH239" i="3"/>
  <c r="BI239" i="3"/>
  <c r="BJ239" i="3"/>
  <c r="BK239" i="3"/>
  <c r="BA239" i="3"/>
  <c r="BM239" i="3"/>
  <c r="BN239" i="3"/>
  <c r="BO239" i="3"/>
  <c r="BP239" i="3"/>
  <c r="BQ239" i="3"/>
  <c r="BR239" i="3"/>
  <c r="BS239" i="3"/>
  <c r="BT239" i="3"/>
  <c r="BL239" i="3"/>
  <c r="AZ239" i="3"/>
  <c r="BD240" i="3"/>
  <c r="BE240" i="3"/>
  <c r="BF240" i="3"/>
  <c r="BG240" i="3"/>
  <c r="BH240" i="3"/>
  <c r="BI240" i="3"/>
  <c r="BJ240" i="3"/>
  <c r="BK240" i="3"/>
  <c r="BA240" i="3"/>
  <c r="BM240" i="3"/>
  <c r="BN240" i="3"/>
  <c r="BO240" i="3"/>
  <c r="BP240" i="3"/>
  <c r="BQ240" i="3"/>
  <c r="BR240" i="3"/>
  <c r="BS240" i="3"/>
  <c r="BT240" i="3"/>
  <c r="BL240" i="3"/>
  <c r="AZ240" i="3"/>
  <c r="BD241" i="3"/>
  <c r="BE241" i="3"/>
  <c r="BF241" i="3"/>
  <c r="BG241" i="3"/>
  <c r="BH241" i="3"/>
  <c r="BI241" i="3"/>
  <c r="BJ241" i="3"/>
  <c r="BK241" i="3"/>
  <c r="BA241" i="3"/>
  <c r="BM241" i="3"/>
  <c r="BN241" i="3"/>
  <c r="BO241" i="3"/>
  <c r="BP241" i="3"/>
  <c r="BQ241" i="3"/>
  <c r="BR241" i="3"/>
  <c r="BS241" i="3"/>
  <c r="BT241" i="3"/>
  <c r="BL241" i="3"/>
  <c r="AZ241" i="3"/>
  <c r="BD242" i="3"/>
  <c r="BE242" i="3"/>
  <c r="BF242" i="3"/>
  <c r="BG242" i="3"/>
  <c r="BH242" i="3"/>
  <c r="BI242" i="3"/>
  <c r="BJ242" i="3"/>
  <c r="BK242" i="3"/>
  <c r="BA242" i="3"/>
  <c r="BM242" i="3"/>
  <c r="BN242" i="3"/>
  <c r="BO242" i="3"/>
  <c r="BP242" i="3"/>
  <c r="BQ242" i="3"/>
  <c r="BR242" i="3"/>
  <c r="BS242" i="3"/>
  <c r="BT242" i="3"/>
  <c r="BL242" i="3"/>
  <c r="AZ242" i="3"/>
  <c r="BD243" i="3"/>
  <c r="BE243" i="3"/>
  <c r="BF243" i="3"/>
  <c r="BG243" i="3"/>
  <c r="BH243" i="3"/>
  <c r="BI243" i="3"/>
  <c r="BJ243" i="3"/>
  <c r="BK243" i="3"/>
  <c r="BA243" i="3"/>
  <c r="BM243" i="3"/>
  <c r="BN243" i="3"/>
  <c r="BO243" i="3"/>
  <c r="BP243" i="3"/>
  <c r="BQ243" i="3"/>
  <c r="BR243" i="3"/>
  <c r="BS243" i="3"/>
  <c r="BT243" i="3"/>
  <c r="BL243" i="3"/>
  <c r="AZ243" i="3"/>
  <c r="BD244" i="3"/>
  <c r="BE244" i="3"/>
  <c r="BF244" i="3"/>
  <c r="BG244" i="3"/>
  <c r="BH244" i="3"/>
  <c r="BI244" i="3"/>
  <c r="BJ244" i="3"/>
  <c r="BK244" i="3"/>
  <c r="BA244" i="3"/>
  <c r="BM244" i="3"/>
  <c r="BN244" i="3"/>
  <c r="BO244" i="3"/>
  <c r="BP244" i="3"/>
  <c r="BQ244" i="3"/>
  <c r="BR244" i="3"/>
  <c r="BS244" i="3"/>
  <c r="BT244" i="3"/>
  <c r="BL244" i="3"/>
  <c r="AZ244" i="3"/>
  <c r="BD245" i="3"/>
  <c r="BE245" i="3"/>
  <c r="BF245" i="3"/>
  <c r="BG245" i="3"/>
  <c r="BH245" i="3"/>
  <c r="BI245" i="3"/>
  <c r="BJ245" i="3"/>
  <c r="BK245" i="3"/>
  <c r="BA245" i="3"/>
  <c r="BM245" i="3"/>
  <c r="BN245" i="3"/>
  <c r="BO245" i="3"/>
  <c r="BP245" i="3"/>
  <c r="BQ245" i="3"/>
  <c r="BR245" i="3"/>
  <c r="BS245" i="3"/>
  <c r="BT245" i="3"/>
  <c r="BL245" i="3"/>
  <c r="AZ245" i="3"/>
  <c r="BD246" i="3"/>
  <c r="BE246" i="3"/>
  <c r="BF246" i="3"/>
  <c r="BG246" i="3"/>
  <c r="BH246" i="3"/>
  <c r="BI246" i="3"/>
  <c r="BJ246" i="3"/>
  <c r="BK246" i="3"/>
  <c r="BA246" i="3"/>
  <c r="BM246" i="3"/>
  <c r="BN246" i="3"/>
  <c r="BO246" i="3"/>
  <c r="BP246" i="3"/>
  <c r="BQ246" i="3"/>
  <c r="BR246" i="3"/>
  <c r="BS246" i="3"/>
  <c r="BT246" i="3"/>
  <c r="BL246" i="3"/>
  <c r="AZ246" i="3"/>
  <c r="BD247" i="3"/>
  <c r="BE247" i="3"/>
  <c r="BF247" i="3"/>
  <c r="BG247" i="3"/>
  <c r="BH247" i="3"/>
  <c r="BI247" i="3"/>
  <c r="BJ247" i="3"/>
  <c r="BK247" i="3"/>
  <c r="BA247" i="3"/>
  <c r="BM247" i="3"/>
  <c r="BN247" i="3"/>
  <c r="BO247" i="3"/>
  <c r="BP247" i="3"/>
  <c r="BQ247" i="3"/>
  <c r="BR247" i="3"/>
  <c r="BS247" i="3"/>
  <c r="BT247" i="3"/>
  <c r="BL247" i="3"/>
  <c r="AZ247" i="3"/>
  <c r="BD248" i="3"/>
  <c r="BE248" i="3"/>
  <c r="BF248" i="3"/>
  <c r="BG248" i="3"/>
  <c r="BH248" i="3"/>
  <c r="BI248" i="3"/>
  <c r="BJ248" i="3"/>
  <c r="BK248" i="3"/>
  <c r="BA248" i="3"/>
  <c r="BM248" i="3"/>
  <c r="BN248" i="3"/>
  <c r="BO248" i="3"/>
  <c r="BP248" i="3"/>
  <c r="BQ248" i="3"/>
  <c r="BR248" i="3"/>
  <c r="BS248" i="3"/>
  <c r="BT248" i="3"/>
  <c r="BL248" i="3"/>
  <c r="AZ248" i="3"/>
  <c r="BD249" i="3"/>
  <c r="BE249" i="3"/>
  <c r="BF249" i="3"/>
  <c r="BG249" i="3"/>
  <c r="BH249" i="3"/>
  <c r="BI249" i="3"/>
  <c r="BJ249" i="3"/>
  <c r="BK249" i="3"/>
  <c r="BA249" i="3"/>
  <c r="BM249" i="3"/>
  <c r="BN249" i="3"/>
  <c r="BO249" i="3"/>
  <c r="BP249" i="3"/>
  <c r="BQ249" i="3"/>
  <c r="BR249" i="3"/>
  <c r="BS249" i="3"/>
  <c r="BT249" i="3"/>
  <c r="BL249" i="3"/>
  <c r="AZ249" i="3"/>
  <c r="BD250" i="3"/>
  <c r="BE250" i="3"/>
  <c r="BF250" i="3"/>
  <c r="BG250" i="3"/>
  <c r="BH250" i="3"/>
  <c r="BI250" i="3"/>
  <c r="BJ250" i="3"/>
  <c r="BK250" i="3"/>
  <c r="BA250" i="3"/>
  <c r="BM250" i="3"/>
  <c r="BN250" i="3"/>
  <c r="BO250" i="3"/>
  <c r="BP250" i="3"/>
  <c r="BQ250" i="3"/>
  <c r="BR250" i="3"/>
  <c r="BS250" i="3"/>
  <c r="BT250" i="3"/>
  <c r="BL250" i="3"/>
  <c r="AZ250" i="3"/>
  <c r="BD251" i="3"/>
  <c r="BE251" i="3"/>
  <c r="BF251" i="3"/>
  <c r="BG251" i="3"/>
  <c r="BH251" i="3"/>
  <c r="BI251" i="3"/>
  <c r="BJ251" i="3"/>
  <c r="BK251" i="3"/>
  <c r="BA251" i="3"/>
  <c r="BM251" i="3"/>
  <c r="BN251" i="3"/>
  <c r="BO251" i="3"/>
  <c r="BP251" i="3"/>
  <c r="BQ251" i="3"/>
  <c r="BR251" i="3"/>
  <c r="BS251" i="3"/>
  <c r="BT251" i="3"/>
  <c r="BL251" i="3"/>
  <c r="AZ251" i="3"/>
  <c r="BD252" i="3"/>
  <c r="BE252" i="3"/>
  <c r="BF252" i="3"/>
  <c r="BG252" i="3"/>
  <c r="BH252" i="3"/>
  <c r="BI252" i="3"/>
  <c r="BJ252" i="3"/>
  <c r="BK252" i="3"/>
  <c r="BA252" i="3"/>
  <c r="BM252" i="3"/>
  <c r="BN252" i="3"/>
  <c r="BO252" i="3"/>
  <c r="BP252" i="3"/>
  <c r="BQ252" i="3"/>
  <c r="BR252" i="3"/>
  <c r="BS252" i="3"/>
  <c r="BT252" i="3"/>
  <c r="BL252" i="3"/>
  <c r="AZ252" i="3"/>
  <c r="BD253" i="3"/>
  <c r="BE253" i="3"/>
  <c r="BF253" i="3"/>
  <c r="BG253" i="3"/>
  <c r="BH253" i="3"/>
  <c r="BI253" i="3"/>
  <c r="BJ253" i="3"/>
  <c r="BK253" i="3"/>
  <c r="BA253" i="3"/>
  <c r="BM253" i="3"/>
  <c r="BN253" i="3"/>
  <c r="BO253" i="3"/>
  <c r="BP253" i="3"/>
  <c r="BQ253" i="3"/>
  <c r="BR253" i="3"/>
  <c r="BS253" i="3"/>
  <c r="BT253" i="3"/>
  <c r="BL253" i="3"/>
  <c r="AZ253" i="3"/>
  <c r="BD254" i="3"/>
  <c r="BE254" i="3"/>
  <c r="BF254" i="3"/>
  <c r="BG254" i="3"/>
  <c r="BH254" i="3"/>
  <c r="BI254" i="3"/>
  <c r="BJ254" i="3"/>
  <c r="BK254" i="3"/>
  <c r="BA254" i="3"/>
  <c r="BM254" i="3"/>
  <c r="BN254" i="3"/>
  <c r="BO254" i="3"/>
  <c r="BP254" i="3"/>
  <c r="BQ254" i="3"/>
  <c r="BR254" i="3"/>
  <c r="BS254" i="3"/>
  <c r="BT254" i="3"/>
  <c r="BL254" i="3"/>
  <c r="AZ254" i="3"/>
  <c r="BD255" i="3"/>
  <c r="BE255" i="3"/>
  <c r="BF255" i="3"/>
  <c r="BG255" i="3"/>
  <c r="BH255" i="3"/>
  <c r="BI255" i="3"/>
  <c r="BJ255" i="3"/>
  <c r="BK255" i="3"/>
  <c r="BA255" i="3"/>
  <c r="BM255" i="3"/>
  <c r="BN255" i="3"/>
  <c r="BO255" i="3"/>
  <c r="BP255" i="3"/>
  <c r="BQ255" i="3"/>
  <c r="BR255" i="3"/>
  <c r="BS255" i="3"/>
  <c r="BT255" i="3"/>
  <c r="BL255" i="3"/>
  <c r="AZ255" i="3"/>
  <c r="BD256" i="3"/>
  <c r="BE256" i="3"/>
  <c r="BF256" i="3"/>
  <c r="BG256" i="3"/>
  <c r="BH256" i="3"/>
  <c r="BI256" i="3"/>
  <c r="BJ256" i="3"/>
  <c r="BK256" i="3"/>
  <c r="BA256" i="3"/>
  <c r="BM256" i="3"/>
  <c r="BN256" i="3"/>
  <c r="BO256" i="3"/>
  <c r="BP256" i="3"/>
  <c r="BQ256" i="3"/>
  <c r="BR256" i="3"/>
  <c r="BS256" i="3"/>
  <c r="BT256" i="3"/>
  <c r="BL256" i="3"/>
  <c r="AZ256" i="3"/>
  <c r="BD257" i="3"/>
  <c r="BE257" i="3"/>
  <c r="BF257" i="3"/>
  <c r="BG257" i="3"/>
  <c r="BH257" i="3"/>
  <c r="BI257" i="3"/>
  <c r="BJ257" i="3"/>
  <c r="BK257" i="3"/>
  <c r="BA257" i="3"/>
  <c r="BM257" i="3"/>
  <c r="BN257" i="3"/>
  <c r="BO257" i="3"/>
  <c r="BP257" i="3"/>
  <c r="BQ257" i="3"/>
  <c r="BR257" i="3"/>
  <c r="BS257" i="3"/>
  <c r="BT257" i="3"/>
  <c r="BL257" i="3"/>
  <c r="AZ257" i="3"/>
  <c r="BD258" i="3"/>
  <c r="BE258" i="3"/>
  <c r="BF258" i="3"/>
  <c r="BG258" i="3"/>
  <c r="BH258" i="3"/>
  <c r="BI258" i="3"/>
  <c r="BJ258" i="3"/>
  <c r="BK258" i="3"/>
  <c r="BA258" i="3"/>
  <c r="BM258" i="3"/>
  <c r="BN258" i="3"/>
  <c r="BO258" i="3"/>
  <c r="BP258" i="3"/>
  <c r="BQ258" i="3"/>
  <c r="BR258" i="3"/>
  <c r="BS258" i="3"/>
  <c r="BT258" i="3"/>
  <c r="BL258" i="3"/>
  <c r="AZ258" i="3"/>
  <c r="BD259" i="3"/>
  <c r="BE259" i="3"/>
  <c r="BF259" i="3"/>
  <c r="BG259" i="3"/>
  <c r="BH259" i="3"/>
  <c r="BI259" i="3"/>
  <c r="BJ259" i="3"/>
  <c r="BK259" i="3"/>
  <c r="BA259" i="3"/>
  <c r="BM259" i="3"/>
  <c r="BN259" i="3"/>
  <c r="BO259" i="3"/>
  <c r="BP259" i="3"/>
  <c r="BQ259" i="3"/>
  <c r="BR259" i="3"/>
  <c r="BS259" i="3"/>
  <c r="BT259" i="3"/>
  <c r="BL259" i="3"/>
  <c r="AZ259" i="3"/>
  <c r="BD260" i="3"/>
  <c r="BE260" i="3"/>
  <c r="BF260" i="3"/>
  <c r="BG260" i="3"/>
  <c r="BH260" i="3"/>
  <c r="BI260" i="3"/>
  <c r="BJ260" i="3"/>
  <c r="BK260" i="3"/>
  <c r="BA260" i="3"/>
  <c r="BM260" i="3"/>
  <c r="BN260" i="3"/>
  <c r="BO260" i="3"/>
  <c r="BP260" i="3"/>
  <c r="BQ260" i="3"/>
  <c r="BR260" i="3"/>
  <c r="BS260" i="3"/>
  <c r="BT260" i="3"/>
  <c r="BL260" i="3"/>
  <c r="AZ260" i="3"/>
  <c r="BD261" i="3"/>
  <c r="BE261" i="3"/>
  <c r="BF261" i="3"/>
  <c r="BG261" i="3"/>
  <c r="BH261" i="3"/>
  <c r="BI261" i="3"/>
  <c r="BJ261" i="3"/>
  <c r="BK261" i="3"/>
  <c r="BA261" i="3"/>
  <c r="BM261" i="3"/>
  <c r="BN261" i="3"/>
  <c r="BO261" i="3"/>
  <c r="BP261" i="3"/>
  <c r="BQ261" i="3"/>
  <c r="BR261" i="3"/>
  <c r="BS261" i="3"/>
  <c r="BT261" i="3"/>
  <c r="BL261" i="3"/>
  <c r="AZ261" i="3"/>
  <c r="BD262" i="3"/>
  <c r="BE262" i="3"/>
  <c r="BF262" i="3"/>
  <c r="BG262" i="3"/>
  <c r="BH262" i="3"/>
  <c r="BI262" i="3"/>
  <c r="BJ262" i="3"/>
  <c r="BK262" i="3"/>
  <c r="BA262" i="3"/>
  <c r="BM262" i="3"/>
  <c r="BN262" i="3"/>
  <c r="BO262" i="3"/>
  <c r="BP262" i="3"/>
  <c r="BQ262" i="3"/>
  <c r="BR262" i="3"/>
  <c r="BS262" i="3"/>
  <c r="BT262" i="3"/>
  <c r="BL262" i="3"/>
  <c r="AZ262" i="3"/>
  <c r="BD263" i="3"/>
  <c r="BE263" i="3"/>
  <c r="BF263" i="3"/>
  <c r="BG263" i="3"/>
  <c r="BH263" i="3"/>
  <c r="BI263" i="3"/>
  <c r="BJ263" i="3"/>
  <c r="BK263" i="3"/>
  <c r="BA263" i="3"/>
  <c r="BM263" i="3"/>
  <c r="BN263" i="3"/>
  <c r="BO263" i="3"/>
  <c r="BP263" i="3"/>
  <c r="BQ263" i="3"/>
  <c r="BR263" i="3"/>
  <c r="BS263" i="3"/>
  <c r="BT263" i="3"/>
  <c r="BL263" i="3"/>
  <c r="AZ263" i="3"/>
  <c r="BD264" i="3"/>
  <c r="BE264" i="3"/>
  <c r="BF264" i="3"/>
  <c r="BG264" i="3"/>
  <c r="BH264" i="3"/>
  <c r="BI264" i="3"/>
  <c r="BJ264" i="3"/>
  <c r="BK264" i="3"/>
  <c r="BA264" i="3"/>
  <c r="BM264" i="3"/>
  <c r="BN264" i="3"/>
  <c r="BO264" i="3"/>
  <c r="BP264" i="3"/>
  <c r="BQ264" i="3"/>
  <c r="BR264" i="3"/>
  <c r="BS264" i="3"/>
  <c r="BT264" i="3"/>
  <c r="BL264" i="3"/>
  <c r="AZ264" i="3"/>
  <c r="BD265" i="3"/>
  <c r="BE265" i="3"/>
  <c r="BF265" i="3"/>
  <c r="BG265" i="3"/>
  <c r="BH265" i="3"/>
  <c r="BI265" i="3"/>
  <c r="BJ265" i="3"/>
  <c r="BK265" i="3"/>
  <c r="BA265" i="3"/>
  <c r="BM265" i="3"/>
  <c r="BN265" i="3"/>
  <c r="BO265" i="3"/>
  <c r="BP265" i="3"/>
  <c r="BQ265" i="3"/>
  <c r="BR265" i="3"/>
  <c r="BS265" i="3"/>
  <c r="BT265" i="3"/>
  <c r="BL265" i="3"/>
  <c r="AZ265" i="3"/>
  <c r="BD266" i="3"/>
  <c r="BE266" i="3"/>
  <c r="BF266" i="3"/>
  <c r="BG266" i="3"/>
  <c r="BH266" i="3"/>
  <c r="BI266" i="3"/>
  <c r="BJ266" i="3"/>
  <c r="BK266" i="3"/>
  <c r="BA266" i="3"/>
  <c r="BM266" i="3"/>
  <c r="BN266" i="3"/>
  <c r="BO266" i="3"/>
  <c r="BP266" i="3"/>
  <c r="BQ266" i="3"/>
  <c r="BR266" i="3"/>
  <c r="BS266" i="3"/>
  <c r="BT266" i="3"/>
  <c r="BL266" i="3"/>
  <c r="AZ266" i="3"/>
  <c r="BD267" i="3"/>
  <c r="BE267" i="3"/>
  <c r="BF267" i="3"/>
  <c r="BG267" i="3"/>
  <c r="BH267" i="3"/>
  <c r="BI267" i="3"/>
  <c r="BJ267" i="3"/>
  <c r="BK267" i="3"/>
  <c r="BA267" i="3"/>
  <c r="BM267" i="3"/>
  <c r="BN267" i="3"/>
  <c r="BO267" i="3"/>
  <c r="BP267" i="3"/>
  <c r="BQ267" i="3"/>
  <c r="BR267" i="3"/>
  <c r="BS267" i="3"/>
  <c r="BT267" i="3"/>
  <c r="BL267" i="3"/>
  <c r="AZ267" i="3"/>
  <c r="BD268" i="3"/>
  <c r="BE268" i="3"/>
  <c r="BF268" i="3"/>
  <c r="BG268" i="3"/>
  <c r="BH268" i="3"/>
  <c r="BI268" i="3"/>
  <c r="BJ268" i="3"/>
  <c r="BK268" i="3"/>
  <c r="BA268" i="3"/>
  <c r="BM268" i="3"/>
  <c r="BN268" i="3"/>
  <c r="BO268" i="3"/>
  <c r="BP268" i="3"/>
  <c r="BQ268" i="3"/>
  <c r="BR268" i="3"/>
  <c r="BS268" i="3"/>
  <c r="BT268" i="3"/>
  <c r="BL268" i="3"/>
  <c r="AZ268" i="3"/>
  <c r="BD269" i="3"/>
  <c r="BE269" i="3"/>
  <c r="BF269" i="3"/>
  <c r="BG269" i="3"/>
  <c r="BH269" i="3"/>
  <c r="BI269" i="3"/>
  <c r="BJ269" i="3"/>
  <c r="BK269" i="3"/>
  <c r="BA269" i="3"/>
  <c r="BM269" i="3"/>
  <c r="BN269" i="3"/>
  <c r="BO269" i="3"/>
  <c r="BP269" i="3"/>
  <c r="BQ269" i="3"/>
  <c r="BR269" i="3"/>
  <c r="BS269" i="3"/>
  <c r="BT269" i="3"/>
  <c r="BL269" i="3"/>
  <c r="AZ269" i="3"/>
  <c r="BD270" i="3"/>
  <c r="BE270" i="3"/>
  <c r="BF270" i="3"/>
  <c r="BG270" i="3"/>
  <c r="BH270" i="3"/>
  <c r="BI270" i="3"/>
  <c r="BJ270" i="3"/>
  <c r="BK270" i="3"/>
  <c r="BA270" i="3"/>
  <c r="BM270" i="3"/>
  <c r="BN270" i="3"/>
  <c r="BO270" i="3"/>
  <c r="BP270" i="3"/>
  <c r="BQ270" i="3"/>
  <c r="BR270" i="3"/>
  <c r="BS270" i="3"/>
  <c r="BT270" i="3"/>
  <c r="BL270" i="3"/>
  <c r="AZ270" i="3"/>
  <c r="BD271" i="3"/>
  <c r="BE271" i="3"/>
  <c r="BF271" i="3"/>
  <c r="BG271" i="3"/>
  <c r="BH271" i="3"/>
  <c r="BI271" i="3"/>
  <c r="BJ271" i="3"/>
  <c r="BK271" i="3"/>
  <c r="BA271" i="3"/>
  <c r="BM271" i="3"/>
  <c r="BN271" i="3"/>
  <c r="BO271" i="3"/>
  <c r="BP271" i="3"/>
  <c r="BQ271" i="3"/>
  <c r="BR271" i="3"/>
  <c r="BS271" i="3"/>
  <c r="BT271" i="3"/>
  <c r="BL271" i="3"/>
  <c r="AZ271" i="3"/>
  <c r="BD272" i="3"/>
  <c r="BE272" i="3"/>
  <c r="BF272" i="3"/>
  <c r="BG272" i="3"/>
  <c r="BH272" i="3"/>
  <c r="BI272" i="3"/>
  <c r="BJ272" i="3"/>
  <c r="BK272" i="3"/>
  <c r="BA272" i="3"/>
  <c r="BM272" i="3"/>
  <c r="BN272" i="3"/>
  <c r="BO272" i="3"/>
  <c r="BP272" i="3"/>
  <c r="BQ272" i="3"/>
  <c r="BR272" i="3"/>
  <c r="BS272" i="3"/>
  <c r="BT272" i="3"/>
  <c r="BL272" i="3"/>
  <c r="AZ272" i="3"/>
  <c r="BD273" i="3"/>
  <c r="BE273" i="3"/>
  <c r="BF273" i="3"/>
  <c r="BG273" i="3"/>
  <c r="BH273" i="3"/>
  <c r="BI273" i="3"/>
  <c r="BJ273" i="3"/>
  <c r="BK273" i="3"/>
  <c r="BA273" i="3"/>
  <c r="BM273" i="3"/>
  <c r="BN273" i="3"/>
  <c r="BO273" i="3"/>
  <c r="BP273" i="3"/>
  <c r="BQ273" i="3"/>
  <c r="BR273" i="3"/>
  <c r="BS273" i="3"/>
  <c r="BT273" i="3"/>
  <c r="BL273" i="3"/>
  <c r="AZ273" i="3"/>
  <c r="BD274" i="3"/>
  <c r="BE274" i="3"/>
  <c r="BF274" i="3"/>
  <c r="BG274" i="3"/>
  <c r="BH274" i="3"/>
  <c r="BI274" i="3"/>
  <c r="BJ274" i="3"/>
  <c r="BK274" i="3"/>
  <c r="BA274" i="3"/>
  <c r="BM274" i="3"/>
  <c r="BN274" i="3"/>
  <c r="BO274" i="3"/>
  <c r="BP274" i="3"/>
  <c r="BQ274" i="3"/>
  <c r="BR274" i="3"/>
  <c r="BS274" i="3"/>
  <c r="BT274" i="3"/>
  <c r="BL274" i="3"/>
  <c r="AZ274" i="3"/>
  <c r="BD275" i="3"/>
  <c r="BE275" i="3"/>
  <c r="BF275" i="3"/>
  <c r="BG275" i="3"/>
  <c r="BH275" i="3"/>
  <c r="BI275" i="3"/>
  <c r="BJ275" i="3"/>
  <c r="BK275" i="3"/>
  <c r="BA275" i="3"/>
  <c r="BM275" i="3"/>
  <c r="BN275" i="3"/>
  <c r="BO275" i="3"/>
  <c r="BP275" i="3"/>
  <c r="BQ275" i="3"/>
  <c r="BR275" i="3"/>
  <c r="BS275" i="3"/>
  <c r="BT275" i="3"/>
  <c r="BL275" i="3"/>
  <c r="AZ275" i="3"/>
  <c r="BD276" i="3"/>
  <c r="BE276" i="3"/>
  <c r="BF276" i="3"/>
  <c r="BG276" i="3"/>
  <c r="BH276" i="3"/>
  <c r="BI276" i="3"/>
  <c r="BJ276" i="3"/>
  <c r="BK276" i="3"/>
  <c r="BA276" i="3"/>
  <c r="BM276" i="3"/>
  <c r="BN276" i="3"/>
  <c r="BO276" i="3"/>
  <c r="BP276" i="3"/>
  <c r="BQ276" i="3"/>
  <c r="BR276" i="3"/>
  <c r="BS276" i="3"/>
  <c r="BT276" i="3"/>
  <c r="BL276" i="3"/>
  <c r="AZ276" i="3"/>
  <c r="BD277" i="3"/>
  <c r="BE277" i="3"/>
  <c r="BF277" i="3"/>
  <c r="BG277" i="3"/>
  <c r="BH277" i="3"/>
  <c r="BI277" i="3"/>
  <c r="BJ277" i="3"/>
  <c r="BK277" i="3"/>
  <c r="BA277" i="3"/>
  <c r="BM277" i="3"/>
  <c r="BN277" i="3"/>
  <c r="BO277" i="3"/>
  <c r="BP277" i="3"/>
  <c r="BQ277" i="3"/>
  <c r="BR277" i="3"/>
  <c r="BS277" i="3"/>
  <c r="BT277" i="3"/>
  <c r="BL277" i="3"/>
  <c r="AZ277" i="3"/>
  <c r="BD278" i="3"/>
  <c r="BE278" i="3"/>
  <c r="BF278" i="3"/>
  <c r="BG278" i="3"/>
  <c r="BH278" i="3"/>
  <c r="BI278" i="3"/>
  <c r="BJ278" i="3"/>
  <c r="BK278" i="3"/>
  <c r="BA278" i="3"/>
  <c r="BM278" i="3"/>
  <c r="BN278" i="3"/>
  <c r="BO278" i="3"/>
  <c r="BP278" i="3"/>
  <c r="BQ278" i="3"/>
  <c r="BR278" i="3"/>
  <c r="BS278" i="3"/>
  <c r="BT278" i="3"/>
  <c r="BL278" i="3"/>
  <c r="AZ278" i="3"/>
  <c r="BD279" i="3"/>
  <c r="BE279" i="3"/>
  <c r="BF279" i="3"/>
  <c r="BG279" i="3"/>
  <c r="BH279" i="3"/>
  <c r="BI279" i="3"/>
  <c r="BJ279" i="3"/>
  <c r="BK279" i="3"/>
  <c r="BA279" i="3"/>
  <c r="BM279" i="3"/>
  <c r="BN279" i="3"/>
  <c r="BO279" i="3"/>
  <c r="BP279" i="3"/>
  <c r="BQ279" i="3"/>
  <c r="BR279" i="3"/>
  <c r="BS279" i="3"/>
  <c r="BT279" i="3"/>
  <c r="BL279" i="3"/>
  <c r="AZ279" i="3"/>
  <c r="BD280" i="3"/>
  <c r="BE280" i="3"/>
  <c r="BF280" i="3"/>
  <c r="BG280" i="3"/>
  <c r="BH280" i="3"/>
  <c r="BI280" i="3"/>
  <c r="BJ280" i="3"/>
  <c r="BK280" i="3"/>
  <c r="BA280" i="3"/>
  <c r="BM280" i="3"/>
  <c r="BN280" i="3"/>
  <c r="BO280" i="3"/>
  <c r="BP280" i="3"/>
  <c r="BQ280" i="3"/>
  <c r="BR280" i="3"/>
  <c r="BS280" i="3"/>
  <c r="BT280" i="3"/>
  <c r="BL280" i="3"/>
  <c r="AZ280" i="3"/>
  <c r="BD281" i="3"/>
  <c r="BE281" i="3"/>
  <c r="BF281" i="3"/>
  <c r="BG281" i="3"/>
  <c r="BH281" i="3"/>
  <c r="BI281" i="3"/>
  <c r="BJ281" i="3"/>
  <c r="BK281" i="3"/>
  <c r="BA281" i="3"/>
  <c r="BM281" i="3"/>
  <c r="BN281" i="3"/>
  <c r="BO281" i="3"/>
  <c r="BP281" i="3"/>
  <c r="BQ281" i="3"/>
  <c r="BR281" i="3"/>
  <c r="BS281" i="3"/>
  <c r="BT281" i="3"/>
  <c r="BL281" i="3"/>
  <c r="AZ281" i="3"/>
  <c r="BD282" i="3"/>
  <c r="BE282" i="3"/>
  <c r="BF282" i="3"/>
  <c r="BG282" i="3"/>
  <c r="BH282" i="3"/>
  <c r="BI282" i="3"/>
  <c r="BJ282" i="3"/>
  <c r="BK282" i="3"/>
  <c r="BA282" i="3"/>
  <c r="BM282" i="3"/>
  <c r="BN282" i="3"/>
  <c r="BO282" i="3"/>
  <c r="BP282" i="3"/>
  <c r="BQ282" i="3"/>
  <c r="BR282" i="3"/>
  <c r="BS282" i="3"/>
  <c r="BT282" i="3"/>
  <c r="BL282" i="3"/>
  <c r="AZ282" i="3"/>
  <c r="BD283" i="3"/>
  <c r="BE283" i="3"/>
  <c r="BF283" i="3"/>
  <c r="BG283" i="3"/>
  <c r="BH283" i="3"/>
  <c r="BI283" i="3"/>
  <c r="BJ283" i="3"/>
  <c r="BK283" i="3"/>
  <c r="BA283" i="3"/>
  <c r="BM283" i="3"/>
  <c r="BN283" i="3"/>
  <c r="BO283" i="3"/>
  <c r="BP283" i="3"/>
  <c r="BQ283" i="3"/>
  <c r="BR283" i="3"/>
  <c r="BS283" i="3"/>
  <c r="BT283" i="3"/>
  <c r="BL283" i="3"/>
  <c r="AZ283" i="3"/>
  <c r="BD284" i="3"/>
  <c r="BE284" i="3"/>
  <c r="BF284" i="3"/>
  <c r="BG284" i="3"/>
  <c r="BH284" i="3"/>
  <c r="BI284" i="3"/>
  <c r="BJ284" i="3"/>
  <c r="BK284" i="3"/>
  <c r="BA284" i="3"/>
  <c r="BM284" i="3"/>
  <c r="BN284" i="3"/>
  <c r="BO284" i="3"/>
  <c r="BP284" i="3"/>
  <c r="BQ284" i="3"/>
  <c r="BR284" i="3"/>
  <c r="BS284" i="3"/>
  <c r="BT284" i="3"/>
  <c r="BL284" i="3"/>
  <c r="AZ284" i="3"/>
  <c r="BD285" i="3"/>
  <c r="BE285" i="3"/>
  <c r="BF285" i="3"/>
  <c r="BG285" i="3"/>
  <c r="BH285" i="3"/>
  <c r="BI285" i="3"/>
  <c r="BJ285" i="3"/>
  <c r="BK285" i="3"/>
  <c r="BA285" i="3"/>
  <c r="BM285" i="3"/>
  <c r="BN285" i="3"/>
  <c r="BO285" i="3"/>
  <c r="BP285" i="3"/>
  <c r="BQ285" i="3"/>
  <c r="BR285" i="3"/>
  <c r="BS285" i="3"/>
  <c r="BT285" i="3"/>
  <c r="BL285" i="3"/>
  <c r="AZ285" i="3"/>
  <c r="BD286" i="3"/>
  <c r="BE286" i="3"/>
  <c r="BF286" i="3"/>
  <c r="BG286" i="3"/>
  <c r="BH286" i="3"/>
  <c r="BI286" i="3"/>
  <c r="BJ286" i="3"/>
  <c r="BK286" i="3"/>
  <c r="BA286" i="3"/>
  <c r="BM286" i="3"/>
  <c r="BN286" i="3"/>
  <c r="BO286" i="3"/>
  <c r="BP286" i="3"/>
  <c r="BQ286" i="3"/>
  <c r="BR286" i="3"/>
  <c r="BS286" i="3"/>
  <c r="BT286" i="3"/>
  <c r="BL286" i="3"/>
  <c r="AZ286" i="3"/>
  <c r="BD287" i="3"/>
  <c r="BE287" i="3"/>
  <c r="BF287" i="3"/>
  <c r="BG287" i="3"/>
  <c r="BH287" i="3"/>
  <c r="BI287" i="3"/>
  <c r="BJ287" i="3"/>
  <c r="BK287" i="3"/>
  <c r="BA287" i="3"/>
  <c r="BM287" i="3"/>
  <c r="BN287" i="3"/>
  <c r="BO287" i="3"/>
  <c r="BP287" i="3"/>
  <c r="BQ287" i="3"/>
  <c r="BR287" i="3"/>
  <c r="BS287" i="3"/>
  <c r="BT287" i="3"/>
  <c r="BL287" i="3"/>
  <c r="AZ287" i="3"/>
  <c r="BD288" i="3"/>
  <c r="BE288" i="3"/>
  <c r="BF288" i="3"/>
  <c r="BG288" i="3"/>
  <c r="BH288" i="3"/>
  <c r="BI288" i="3"/>
  <c r="BJ288" i="3"/>
  <c r="BK288" i="3"/>
  <c r="BA288" i="3"/>
  <c r="BM288" i="3"/>
  <c r="BN288" i="3"/>
  <c r="BO288" i="3"/>
  <c r="BP288" i="3"/>
  <c r="BQ288" i="3"/>
  <c r="BR288" i="3"/>
  <c r="BS288" i="3"/>
  <c r="BT288" i="3"/>
  <c r="BL288" i="3"/>
  <c r="AZ288" i="3"/>
  <c r="BD289" i="3"/>
  <c r="BE289" i="3"/>
  <c r="BF289" i="3"/>
  <c r="BG289" i="3"/>
  <c r="BH289" i="3"/>
  <c r="BI289" i="3"/>
  <c r="BJ289" i="3"/>
  <c r="BK289" i="3"/>
  <c r="BA289" i="3"/>
  <c r="BM289" i="3"/>
  <c r="BN289" i="3"/>
  <c r="BO289" i="3"/>
  <c r="BP289" i="3"/>
  <c r="BQ289" i="3"/>
  <c r="BR289" i="3"/>
  <c r="BS289" i="3"/>
  <c r="BT289" i="3"/>
  <c r="BL289" i="3"/>
  <c r="AZ289" i="3"/>
  <c r="BD290" i="3"/>
  <c r="BE290" i="3"/>
  <c r="BF290" i="3"/>
  <c r="BG290" i="3"/>
  <c r="BH290" i="3"/>
  <c r="BI290" i="3"/>
  <c r="BJ290" i="3"/>
  <c r="BK290" i="3"/>
  <c r="BA290" i="3"/>
  <c r="BM290" i="3"/>
  <c r="BN290" i="3"/>
  <c r="BO290" i="3"/>
  <c r="BP290" i="3"/>
  <c r="BQ290" i="3"/>
  <c r="BR290" i="3"/>
  <c r="BS290" i="3"/>
  <c r="BT290" i="3"/>
  <c r="BL290" i="3"/>
  <c r="AZ290" i="3"/>
  <c r="BD291" i="3"/>
  <c r="BE291" i="3"/>
  <c r="BF291" i="3"/>
  <c r="BG291" i="3"/>
  <c r="BH291" i="3"/>
  <c r="BI291" i="3"/>
  <c r="BJ291" i="3"/>
  <c r="BK291" i="3"/>
  <c r="BA291" i="3"/>
  <c r="BM291" i="3"/>
  <c r="BN291" i="3"/>
  <c r="BO291" i="3"/>
  <c r="BP291" i="3"/>
  <c r="BQ291" i="3"/>
  <c r="BR291" i="3"/>
  <c r="BS291" i="3"/>
  <c r="BT291" i="3"/>
  <c r="BL291" i="3"/>
  <c r="AZ291" i="3"/>
  <c r="BD292" i="3"/>
  <c r="BE292" i="3"/>
  <c r="BF292" i="3"/>
  <c r="BG292" i="3"/>
  <c r="BH292" i="3"/>
  <c r="BI292" i="3"/>
  <c r="BJ292" i="3"/>
  <c r="BK292" i="3"/>
  <c r="BA292" i="3"/>
  <c r="BM292" i="3"/>
  <c r="BN292" i="3"/>
  <c r="BO292" i="3"/>
  <c r="BP292" i="3"/>
  <c r="BQ292" i="3"/>
  <c r="BR292" i="3"/>
  <c r="BS292" i="3"/>
  <c r="BT292" i="3"/>
  <c r="BL292" i="3"/>
  <c r="AZ292" i="3"/>
  <c r="BD293" i="3"/>
  <c r="BE293" i="3"/>
  <c r="BF293" i="3"/>
  <c r="BG293" i="3"/>
  <c r="BH293" i="3"/>
  <c r="BI293" i="3"/>
  <c r="BJ293" i="3"/>
  <c r="BK293" i="3"/>
  <c r="BA293" i="3"/>
  <c r="BM293" i="3"/>
  <c r="BN293" i="3"/>
  <c r="BO293" i="3"/>
  <c r="BP293" i="3"/>
  <c r="BQ293" i="3"/>
  <c r="BR293" i="3"/>
  <c r="BS293" i="3"/>
  <c r="BT293" i="3"/>
  <c r="BL293" i="3"/>
  <c r="AZ293" i="3"/>
  <c r="BD294" i="3"/>
  <c r="BE294" i="3"/>
  <c r="BF294" i="3"/>
  <c r="BG294" i="3"/>
  <c r="BH294" i="3"/>
  <c r="BI294" i="3"/>
  <c r="BJ294" i="3"/>
  <c r="BK294" i="3"/>
  <c r="BA294" i="3"/>
  <c r="BM294" i="3"/>
  <c r="BN294" i="3"/>
  <c r="BO294" i="3"/>
  <c r="BP294" i="3"/>
  <c r="BQ294" i="3"/>
  <c r="BR294" i="3"/>
  <c r="BS294" i="3"/>
  <c r="BT294" i="3"/>
  <c r="BL294" i="3"/>
  <c r="AZ294" i="3"/>
  <c r="BD295" i="3"/>
  <c r="BE295" i="3"/>
  <c r="BF295" i="3"/>
  <c r="BG295" i="3"/>
  <c r="BH295" i="3"/>
  <c r="BI295" i="3"/>
  <c r="BJ295" i="3"/>
  <c r="BK295" i="3"/>
  <c r="BA295" i="3"/>
  <c r="BM295" i="3"/>
  <c r="BN295" i="3"/>
  <c r="BO295" i="3"/>
  <c r="BP295" i="3"/>
  <c r="BQ295" i="3"/>
  <c r="BR295" i="3"/>
  <c r="BS295" i="3"/>
  <c r="BT295" i="3"/>
  <c r="BL295" i="3"/>
  <c r="AZ295" i="3"/>
  <c r="BD296" i="3"/>
  <c r="BE296" i="3"/>
  <c r="BF296" i="3"/>
  <c r="BG296" i="3"/>
  <c r="BH296" i="3"/>
  <c r="BI296" i="3"/>
  <c r="BJ296" i="3"/>
  <c r="BK296" i="3"/>
  <c r="BA296" i="3"/>
  <c r="BM296" i="3"/>
  <c r="BN296" i="3"/>
  <c r="BO296" i="3"/>
  <c r="BP296" i="3"/>
  <c r="BQ296" i="3"/>
  <c r="BR296" i="3"/>
  <c r="BS296" i="3"/>
  <c r="BT296" i="3"/>
  <c r="BL296" i="3"/>
  <c r="AZ296" i="3"/>
  <c r="BD297" i="3"/>
  <c r="BE297" i="3"/>
  <c r="BF297" i="3"/>
  <c r="BG297" i="3"/>
  <c r="BH297" i="3"/>
  <c r="BI297" i="3"/>
  <c r="BJ297" i="3"/>
  <c r="BK297" i="3"/>
  <c r="BA297" i="3"/>
  <c r="BM297" i="3"/>
  <c r="BN297" i="3"/>
  <c r="BO297" i="3"/>
  <c r="BP297" i="3"/>
  <c r="BQ297" i="3"/>
  <c r="BR297" i="3"/>
  <c r="BS297" i="3"/>
  <c r="BT297" i="3"/>
  <c r="BL297" i="3"/>
  <c r="AZ297" i="3"/>
  <c r="BD298" i="3"/>
  <c r="BE298" i="3"/>
  <c r="BF298" i="3"/>
  <c r="BG298" i="3"/>
  <c r="BH298" i="3"/>
  <c r="BI298" i="3"/>
  <c r="BJ298" i="3"/>
  <c r="BK298" i="3"/>
  <c r="BA298" i="3"/>
  <c r="BM298" i="3"/>
  <c r="BN298" i="3"/>
  <c r="BO298" i="3"/>
  <c r="BP298" i="3"/>
  <c r="BQ298" i="3"/>
  <c r="BR298" i="3"/>
  <c r="BS298" i="3"/>
  <c r="BT298" i="3"/>
  <c r="BL298" i="3"/>
  <c r="AZ298" i="3"/>
  <c r="BD299" i="3"/>
  <c r="BE299" i="3"/>
  <c r="BF299" i="3"/>
  <c r="BG299" i="3"/>
  <c r="BH299" i="3"/>
  <c r="BI299" i="3"/>
  <c r="BJ299" i="3"/>
  <c r="BK299" i="3"/>
  <c r="BA299" i="3"/>
  <c r="BM299" i="3"/>
  <c r="BN299" i="3"/>
  <c r="BO299" i="3"/>
  <c r="BP299" i="3"/>
  <c r="BQ299" i="3"/>
  <c r="BR299" i="3"/>
  <c r="BS299" i="3"/>
  <c r="BT299" i="3"/>
  <c r="BL299" i="3"/>
  <c r="AZ299" i="3"/>
  <c r="BD300" i="3"/>
  <c r="BE300" i="3"/>
  <c r="BF300" i="3"/>
  <c r="BG300" i="3"/>
  <c r="BH300" i="3"/>
  <c r="BI300" i="3"/>
  <c r="BJ300" i="3"/>
  <c r="BK300" i="3"/>
  <c r="BA300" i="3"/>
  <c r="BM300" i="3"/>
  <c r="BN300" i="3"/>
  <c r="BO300" i="3"/>
  <c r="BP300" i="3"/>
  <c r="BQ300" i="3"/>
  <c r="BR300" i="3"/>
  <c r="BS300" i="3"/>
  <c r="BT300" i="3"/>
  <c r="BL300" i="3"/>
  <c r="AZ300" i="3"/>
  <c r="BD301" i="3"/>
  <c r="BE301" i="3"/>
  <c r="BF301" i="3"/>
  <c r="BG301" i="3"/>
  <c r="BH301" i="3"/>
  <c r="BI301" i="3"/>
  <c r="BJ301" i="3"/>
  <c r="BK301" i="3"/>
  <c r="BA301" i="3"/>
  <c r="BM301" i="3"/>
  <c r="BN301" i="3"/>
  <c r="BO301" i="3"/>
  <c r="BP301" i="3"/>
  <c r="BQ301" i="3"/>
  <c r="BR301" i="3"/>
  <c r="BS301" i="3"/>
  <c r="BT301" i="3"/>
  <c r="BL301" i="3"/>
  <c r="AZ301" i="3"/>
  <c r="BD302" i="3"/>
  <c r="BE302" i="3"/>
  <c r="BF302" i="3"/>
  <c r="BG302" i="3"/>
  <c r="BH302" i="3"/>
  <c r="BI302" i="3"/>
  <c r="BJ302" i="3"/>
  <c r="BK302" i="3"/>
  <c r="BA302" i="3"/>
  <c r="BM302" i="3"/>
  <c r="BN302" i="3"/>
  <c r="BO302" i="3"/>
  <c r="BP302" i="3"/>
  <c r="BQ302" i="3"/>
  <c r="BR302" i="3"/>
  <c r="BS302" i="3"/>
  <c r="BT302" i="3"/>
  <c r="BL302" i="3"/>
  <c r="AZ302" i="3"/>
  <c r="BD303" i="3"/>
  <c r="BE303" i="3"/>
  <c r="BF303" i="3"/>
  <c r="BG303" i="3"/>
  <c r="BH303" i="3"/>
  <c r="BI303" i="3"/>
  <c r="BJ303" i="3"/>
  <c r="BK303" i="3"/>
  <c r="BA303" i="3"/>
  <c r="BM303" i="3"/>
  <c r="BN303" i="3"/>
  <c r="BO303" i="3"/>
  <c r="BP303" i="3"/>
  <c r="BQ303" i="3"/>
  <c r="BR303" i="3"/>
  <c r="BS303" i="3"/>
  <c r="BT303" i="3"/>
  <c r="BL303" i="3"/>
  <c r="AZ303" i="3"/>
  <c r="BD304" i="3"/>
  <c r="BE304" i="3"/>
  <c r="BF304" i="3"/>
  <c r="BG304" i="3"/>
  <c r="BH304" i="3"/>
  <c r="BI304" i="3"/>
  <c r="BJ304" i="3"/>
  <c r="BK304" i="3"/>
  <c r="BA304" i="3"/>
  <c r="BM304" i="3"/>
  <c r="BN304" i="3"/>
  <c r="BO304" i="3"/>
  <c r="BP304" i="3"/>
  <c r="BQ304" i="3"/>
  <c r="BR304" i="3"/>
  <c r="BS304" i="3"/>
  <c r="BT304" i="3"/>
  <c r="BL304" i="3"/>
  <c r="AZ304" i="3"/>
  <c r="BD305" i="3"/>
  <c r="BE305" i="3"/>
  <c r="BF305" i="3"/>
  <c r="BG305" i="3"/>
  <c r="BH305" i="3"/>
  <c r="BI305" i="3"/>
  <c r="BJ305" i="3"/>
  <c r="BK305" i="3"/>
  <c r="BA305" i="3"/>
  <c r="BM305" i="3"/>
  <c r="BN305" i="3"/>
  <c r="BO305" i="3"/>
  <c r="BP305" i="3"/>
  <c r="BQ305" i="3"/>
  <c r="BR305" i="3"/>
  <c r="BS305" i="3"/>
  <c r="BT305" i="3"/>
  <c r="BL305" i="3"/>
  <c r="AZ305" i="3"/>
  <c r="BD306" i="3"/>
  <c r="BE306" i="3"/>
  <c r="BF306" i="3"/>
  <c r="BG306" i="3"/>
  <c r="BH306" i="3"/>
  <c r="BI306" i="3"/>
  <c r="BJ306" i="3"/>
  <c r="BK306" i="3"/>
  <c r="BA306" i="3"/>
  <c r="BM306" i="3"/>
  <c r="BN306" i="3"/>
  <c r="BO306" i="3"/>
  <c r="BP306" i="3"/>
  <c r="BQ306" i="3"/>
  <c r="BR306" i="3"/>
  <c r="BS306" i="3"/>
  <c r="BT306" i="3"/>
  <c r="BL306" i="3"/>
  <c r="AZ306" i="3"/>
  <c r="BD307" i="3"/>
  <c r="BE307" i="3"/>
  <c r="BF307" i="3"/>
  <c r="BG307" i="3"/>
  <c r="BH307" i="3"/>
  <c r="BI307" i="3"/>
  <c r="BJ307" i="3"/>
  <c r="BK307" i="3"/>
  <c r="BA307" i="3"/>
  <c r="BM307" i="3"/>
  <c r="BN307" i="3"/>
  <c r="BO307" i="3"/>
  <c r="BP307" i="3"/>
  <c r="BQ307" i="3"/>
  <c r="BR307" i="3"/>
  <c r="BS307" i="3"/>
  <c r="BT307" i="3"/>
  <c r="BL307" i="3"/>
  <c r="AZ307" i="3"/>
  <c r="BD308" i="3"/>
  <c r="BE308" i="3"/>
  <c r="BF308" i="3"/>
  <c r="BG308" i="3"/>
  <c r="BH308" i="3"/>
  <c r="BI308" i="3"/>
  <c r="BJ308" i="3"/>
  <c r="BK308" i="3"/>
  <c r="BA308" i="3"/>
  <c r="BM308" i="3"/>
  <c r="BN308" i="3"/>
  <c r="BO308" i="3"/>
  <c r="BP308" i="3"/>
  <c r="BQ308" i="3"/>
  <c r="BR308" i="3"/>
  <c r="BS308" i="3"/>
  <c r="BT308" i="3"/>
  <c r="BL308" i="3"/>
  <c r="AZ308" i="3"/>
  <c r="BD309" i="3"/>
  <c r="BE309" i="3"/>
  <c r="BF309" i="3"/>
  <c r="BG309" i="3"/>
  <c r="BH309" i="3"/>
  <c r="BI309" i="3"/>
  <c r="BJ309" i="3"/>
  <c r="BK309" i="3"/>
  <c r="BA309" i="3"/>
  <c r="BM309" i="3"/>
  <c r="BN309" i="3"/>
  <c r="BO309" i="3"/>
  <c r="BP309" i="3"/>
  <c r="BQ309" i="3"/>
  <c r="BR309" i="3"/>
  <c r="BS309" i="3"/>
  <c r="BT309" i="3"/>
  <c r="BL309" i="3"/>
  <c r="AZ309" i="3"/>
  <c r="BD310" i="3"/>
  <c r="BE310" i="3"/>
  <c r="BF310" i="3"/>
  <c r="BG310" i="3"/>
  <c r="BH310" i="3"/>
  <c r="BI310" i="3"/>
  <c r="BJ310" i="3"/>
  <c r="BK310" i="3"/>
  <c r="BA310" i="3"/>
  <c r="BM310" i="3"/>
  <c r="BN310" i="3"/>
  <c r="BO310" i="3"/>
  <c r="BP310" i="3"/>
  <c r="BQ310" i="3"/>
  <c r="BR310" i="3"/>
  <c r="BS310" i="3"/>
  <c r="BT310" i="3"/>
  <c r="BL310" i="3"/>
  <c r="AZ310" i="3"/>
  <c r="BD311" i="3"/>
  <c r="BE311" i="3"/>
  <c r="BF311" i="3"/>
  <c r="BG311" i="3"/>
  <c r="BH311" i="3"/>
  <c r="BI311" i="3"/>
  <c r="BJ311" i="3"/>
  <c r="BK311" i="3"/>
  <c r="BA311" i="3"/>
  <c r="BM311" i="3"/>
  <c r="BN311" i="3"/>
  <c r="BO311" i="3"/>
  <c r="BP311" i="3"/>
  <c r="BQ311" i="3"/>
  <c r="BR311" i="3"/>
  <c r="BS311" i="3"/>
  <c r="BT311" i="3"/>
  <c r="BL311" i="3"/>
  <c r="AZ311" i="3"/>
  <c r="BD312" i="3"/>
  <c r="BE312" i="3"/>
  <c r="BF312" i="3"/>
  <c r="BG312" i="3"/>
  <c r="BH312" i="3"/>
  <c r="BI312" i="3"/>
  <c r="BJ312" i="3"/>
  <c r="BK312" i="3"/>
  <c r="BA312" i="3"/>
  <c r="BM312" i="3"/>
  <c r="BN312" i="3"/>
  <c r="BO312" i="3"/>
  <c r="BP312" i="3"/>
  <c r="BQ312" i="3"/>
  <c r="BR312" i="3"/>
  <c r="BS312" i="3"/>
  <c r="BT312" i="3"/>
  <c r="BL312" i="3"/>
  <c r="AZ312" i="3"/>
  <c r="BD313" i="3"/>
  <c r="BE313" i="3"/>
  <c r="BF313" i="3"/>
  <c r="BG313" i="3"/>
  <c r="BH313" i="3"/>
  <c r="BI313" i="3"/>
  <c r="BJ313" i="3"/>
  <c r="BK313" i="3"/>
  <c r="BA313" i="3"/>
  <c r="BM313" i="3"/>
  <c r="BN313" i="3"/>
  <c r="BO313" i="3"/>
  <c r="BP313" i="3"/>
  <c r="BQ313" i="3"/>
  <c r="BR313" i="3"/>
  <c r="BS313" i="3"/>
  <c r="BT313" i="3"/>
  <c r="BL313" i="3"/>
  <c r="AZ313" i="3"/>
  <c r="BD314" i="3"/>
  <c r="BE314" i="3"/>
  <c r="BF314" i="3"/>
  <c r="BG314" i="3"/>
  <c r="BH314" i="3"/>
  <c r="BI314" i="3"/>
  <c r="BJ314" i="3"/>
  <c r="BK314" i="3"/>
  <c r="BA314" i="3"/>
  <c r="BM314" i="3"/>
  <c r="BN314" i="3"/>
  <c r="BO314" i="3"/>
  <c r="BP314" i="3"/>
  <c r="BQ314" i="3"/>
  <c r="BR314" i="3"/>
  <c r="BS314" i="3"/>
  <c r="BT314" i="3"/>
  <c r="BL314" i="3"/>
  <c r="AZ314" i="3"/>
  <c r="BD315" i="3"/>
  <c r="BE315" i="3"/>
  <c r="BF315" i="3"/>
  <c r="BG315" i="3"/>
  <c r="BH315" i="3"/>
  <c r="BI315" i="3"/>
  <c r="BJ315" i="3"/>
  <c r="BK315" i="3"/>
  <c r="BA315" i="3"/>
  <c r="BM315" i="3"/>
  <c r="BN315" i="3"/>
  <c r="BO315" i="3"/>
  <c r="BP315" i="3"/>
  <c r="BQ315" i="3"/>
  <c r="BR315" i="3"/>
  <c r="BS315" i="3"/>
  <c r="BT315" i="3"/>
  <c r="BL315" i="3"/>
  <c r="AZ315" i="3"/>
  <c r="BD316" i="3"/>
  <c r="BE316" i="3"/>
  <c r="BF316" i="3"/>
  <c r="BG316" i="3"/>
  <c r="BH316" i="3"/>
  <c r="BI316" i="3"/>
  <c r="BJ316" i="3"/>
  <c r="BK316" i="3"/>
  <c r="BA316" i="3"/>
  <c r="BM316" i="3"/>
  <c r="BN316" i="3"/>
  <c r="BO316" i="3"/>
  <c r="BP316" i="3"/>
  <c r="BQ316" i="3"/>
  <c r="BR316" i="3"/>
  <c r="BS316" i="3"/>
  <c r="BT316" i="3"/>
  <c r="BL316" i="3"/>
  <c r="AZ316" i="3"/>
  <c r="BD317" i="3"/>
  <c r="BE317" i="3"/>
  <c r="BF317" i="3"/>
  <c r="BG317" i="3"/>
  <c r="BH317" i="3"/>
  <c r="BI317" i="3"/>
  <c r="BJ317" i="3"/>
  <c r="BK317" i="3"/>
  <c r="BA317" i="3"/>
  <c r="BM317" i="3"/>
  <c r="BN317" i="3"/>
  <c r="BO317" i="3"/>
  <c r="BP317" i="3"/>
  <c r="BQ317" i="3"/>
  <c r="BR317" i="3"/>
  <c r="BS317" i="3"/>
  <c r="BT317" i="3"/>
  <c r="BL317" i="3"/>
  <c r="AZ317" i="3"/>
  <c r="BD318" i="3"/>
  <c r="BE318" i="3"/>
  <c r="BF318" i="3"/>
  <c r="BG318" i="3"/>
  <c r="BH318" i="3"/>
  <c r="BI318" i="3"/>
  <c r="BJ318" i="3"/>
  <c r="BK318" i="3"/>
  <c r="BA318" i="3"/>
  <c r="BM318" i="3"/>
  <c r="BN318" i="3"/>
  <c r="BO318" i="3"/>
  <c r="BP318" i="3"/>
  <c r="BQ318" i="3"/>
  <c r="BR318" i="3"/>
  <c r="BS318" i="3"/>
  <c r="BT318" i="3"/>
  <c r="BL318" i="3"/>
  <c r="AZ318" i="3"/>
  <c r="BD319" i="3"/>
  <c r="BE319" i="3"/>
  <c r="BF319" i="3"/>
  <c r="BG319" i="3"/>
  <c r="BH319" i="3"/>
  <c r="BI319" i="3"/>
  <c r="BJ319" i="3"/>
  <c r="BK319" i="3"/>
  <c r="BA319" i="3"/>
  <c r="BM319" i="3"/>
  <c r="BN319" i="3"/>
  <c r="BO319" i="3"/>
  <c r="BP319" i="3"/>
  <c r="BQ319" i="3"/>
  <c r="BR319" i="3"/>
  <c r="BS319" i="3"/>
  <c r="BT319" i="3"/>
  <c r="BL319" i="3"/>
  <c r="AZ319" i="3"/>
  <c r="BD320" i="3"/>
  <c r="BE320" i="3"/>
  <c r="BF320" i="3"/>
  <c r="BG320" i="3"/>
  <c r="BH320" i="3"/>
  <c r="BI320" i="3"/>
  <c r="BJ320" i="3"/>
  <c r="BK320" i="3"/>
  <c r="BA320" i="3"/>
  <c r="BM320" i="3"/>
  <c r="BN320" i="3"/>
  <c r="BO320" i="3"/>
  <c r="BP320" i="3"/>
  <c r="BQ320" i="3"/>
  <c r="BR320" i="3"/>
  <c r="BS320" i="3"/>
  <c r="BT320" i="3"/>
  <c r="BL320" i="3"/>
  <c r="AZ320" i="3"/>
  <c r="BD321" i="3"/>
  <c r="BE321" i="3"/>
  <c r="BF321" i="3"/>
  <c r="BG321" i="3"/>
  <c r="BH321" i="3"/>
  <c r="BI321" i="3"/>
  <c r="BJ321" i="3"/>
  <c r="BK321" i="3"/>
  <c r="BA321" i="3"/>
  <c r="BM321" i="3"/>
  <c r="BN321" i="3"/>
  <c r="BO321" i="3"/>
  <c r="BP321" i="3"/>
  <c r="BQ321" i="3"/>
  <c r="BR321" i="3"/>
  <c r="BS321" i="3"/>
  <c r="BT321" i="3"/>
  <c r="BL321" i="3"/>
  <c r="AZ321" i="3"/>
  <c r="BD322" i="3"/>
  <c r="BE322" i="3"/>
  <c r="BF322" i="3"/>
  <c r="BG322" i="3"/>
  <c r="BH322" i="3"/>
  <c r="BI322" i="3"/>
  <c r="BJ322" i="3"/>
  <c r="BK322" i="3"/>
  <c r="BA322" i="3"/>
  <c r="BM322" i="3"/>
  <c r="BN322" i="3"/>
  <c r="BO322" i="3"/>
  <c r="BP322" i="3"/>
  <c r="BQ322" i="3"/>
  <c r="BR322" i="3"/>
  <c r="BS322" i="3"/>
  <c r="BT322" i="3"/>
  <c r="BL322" i="3"/>
  <c r="AZ322" i="3"/>
  <c r="BD323" i="3"/>
  <c r="BE323" i="3"/>
  <c r="BF323" i="3"/>
  <c r="BG323" i="3"/>
  <c r="BH323" i="3"/>
  <c r="BI323" i="3"/>
  <c r="BJ323" i="3"/>
  <c r="BK323" i="3"/>
  <c r="BA323" i="3"/>
  <c r="BM323" i="3"/>
  <c r="BN323" i="3"/>
  <c r="BO323" i="3"/>
  <c r="BP323" i="3"/>
  <c r="BQ323" i="3"/>
  <c r="BR323" i="3"/>
  <c r="BS323" i="3"/>
  <c r="BT323" i="3"/>
  <c r="BL323" i="3"/>
  <c r="AZ323" i="3"/>
  <c r="BD324" i="3"/>
  <c r="BE324" i="3"/>
  <c r="BF324" i="3"/>
  <c r="BG324" i="3"/>
  <c r="BH324" i="3"/>
  <c r="BI324" i="3"/>
  <c r="BJ324" i="3"/>
  <c r="BK324" i="3"/>
  <c r="BA324" i="3"/>
  <c r="BM324" i="3"/>
  <c r="BN324" i="3"/>
  <c r="BO324" i="3"/>
  <c r="BP324" i="3"/>
  <c r="BQ324" i="3"/>
  <c r="BR324" i="3"/>
  <c r="BS324" i="3"/>
  <c r="BT324" i="3"/>
  <c r="BL324" i="3"/>
  <c r="AZ324" i="3"/>
  <c r="BD325" i="3"/>
  <c r="BE325" i="3"/>
  <c r="BF325" i="3"/>
  <c r="BG325" i="3"/>
  <c r="BH325" i="3"/>
  <c r="BI325" i="3"/>
  <c r="BJ325" i="3"/>
  <c r="BK325" i="3"/>
  <c r="BA325" i="3"/>
  <c r="BM325" i="3"/>
  <c r="BN325" i="3"/>
  <c r="BO325" i="3"/>
  <c r="BP325" i="3"/>
  <c r="BQ325" i="3"/>
  <c r="BR325" i="3"/>
  <c r="BS325" i="3"/>
  <c r="BT325" i="3"/>
  <c r="BL325" i="3"/>
  <c r="AZ325" i="3"/>
  <c r="BD326" i="3"/>
  <c r="BE326" i="3"/>
  <c r="BF326" i="3"/>
  <c r="BG326" i="3"/>
  <c r="BH326" i="3"/>
  <c r="BI326" i="3"/>
  <c r="BJ326" i="3"/>
  <c r="BK326" i="3"/>
  <c r="BA326" i="3"/>
  <c r="BM326" i="3"/>
  <c r="BN326" i="3"/>
  <c r="BO326" i="3"/>
  <c r="BP326" i="3"/>
  <c r="BQ326" i="3"/>
  <c r="BR326" i="3"/>
  <c r="BS326" i="3"/>
  <c r="BT326" i="3"/>
  <c r="BL326" i="3"/>
  <c r="AZ326" i="3"/>
  <c r="BD327" i="3"/>
  <c r="BE327" i="3"/>
  <c r="BF327" i="3"/>
  <c r="BG327" i="3"/>
  <c r="BH327" i="3"/>
  <c r="BI327" i="3"/>
  <c r="BJ327" i="3"/>
  <c r="BK327" i="3"/>
  <c r="BA327" i="3"/>
  <c r="BM327" i="3"/>
  <c r="BN327" i="3"/>
  <c r="BO327" i="3"/>
  <c r="BP327" i="3"/>
  <c r="BQ327" i="3"/>
  <c r="BR327" i="3"/>
  <c r="BS327" i="3"/>
  <c r="BT327" i="3"/>
  <c r="BL327" i="3"/>
  <c r="AZ327" i="3"/>
  <c r="BD328" i="3"/>
  <c r="BE328" i="3"/>
  <c r="BF328" i="3"/>
  <c r="BG328" i="3"/>
  <c r="BH328" i="3"/>
  <c r="BI328" i="3"/>
  <c r="BJ328" i="3"/>
  <c r="BK328" i="3"/>
  <c r="BA328" i="3"/>
  <c r="BM328" i="3"/>
  <c r="BN328" i="3"/>
  <c r="BO328" i="3"/>
  <c r="BP328" i="3"/>
  <c r="BQ328" i="3"/>
  <c r="BR328" i="3"/>
  <c r="BS328" i="3"/>
  <c r="BT328" i="3"/>
  <c r="BL328" i="3"/>
  <c r="AZ328" i="3"/>
  <c r="BD329" i="3"/>
  <c r="BE329" i="3"/>
  <c r="BF329" i="3"/>
  <c r="BG329" i="3"/>
  <c r="BH329" i="3"/>
  <c r="BI329" i="3"/>
  <c r="BJ329" i="3"/>
  <c r="BK329" i="3"/>
  <c r="BA329" i="3"/>
  <c r="BM329" i="3"/>
  <c r="BN329" i="3"/>
  <c r="BO329" i="3"/>
  <c r="BP329" i="3"/>
  <c r="BQ329" i="3"/>
  <c r="BR329" i="3"/>
  <c r="BS329" i="3"/>
  <c r="BT329" i="3"/>
  <c r="BL329" i="3"/>
  <c r="AZ329" i="3"/>
  <c r="BD330" i="3"/>
  <c r="BE330" i="3"/>
  <c r="BF330" i="3"/>
  <c r="BG330" i="3"/>
  <c r="BH330" i="3"/>
  <c r="BI330" i="3"/>
  <c r="BJ330" i="3"/>
  <c r="BK330" i="3"/>
  <c r="BA330" i="3"/>
  <c r="BM330" i="3"/>
  <c r="BN330" i="3"/>
  <c r="BO330" i="3"/>
  <c r="BP330" i="3"/>
  <c r="BQ330" i="3"/>
  <c r="BR330" i="3"/>
  <c r="BS330" i="3"/>
  <c r="BT330" i="3"/>
  <c r="BL330" i="3"/>
  <c r="AZ330" i="3"/>
  <c r="BD331" i="3"/>
  <c r="BE331" i="3"/>
  <c r="BF331" i="3"/>
  <c r="BG331" i="3"/>
  <c r="BH331" i="3"/>
  <c r="BI331" i="3"/>
  <c r="BJ331" i="3"/>
  <c r="BK331" i="3"/>
  <c r="BA331" i="3"/>
  <c r="BM331" i="3"/>
  <c r="BN331" i="3"/>
  <c r="BO331" i="3"/>
  <c r="BP331" i="3"/>
  <c r="BQ331" i="3"/>
  <c r="BR331" i="3"/>
  <c r="BS331" i="3"/>
  <c r="BT331" i="3"/>
  <c r="BL331" i="3"/>
  <c r="AZ331" i="3"/>
  <c r="BD332" i="3"/>
  <c r="BE332" i="3"/>
  <c r="BF332" i="3"/>
  <c r="BG332" i="3"/>
  <c r="BH332" i="3"/>
  <c r="BI332" i="3"/>
  <c r="BJ332" i="3"/>
  <c r="BK332" i="3"/>
  <c r="BA332" i="3"/>
  <c r="BM332" i="3"/>
  <c r="BN332" i="3"/>
  <c r="BO332" i="3"/>
  <c r="BP332" i="3"/>
  <c r="BQ332" i="3"/>
  <c r="BR332" i="3"/>
  <c r="BS332" i="3"/>
  <c r="BT332" i="3"/>
  <c r="BL332" i="3"/>
  <c r="AZ332" i="3"/>
  <c r="BD333" i="3"/>
  <c r="BE333" i="3"/>
  <c r="BF333" i="3"/>
  <c r="BG333" i="3"/>
  <c r="BH333" i="3"/>
  <c r="BI333" i="3"/>
  <c r="BJ333" i="3"/>
  <c r="BK333" i="3"/>
  <c r="BA333" i="3"/>
  <c r="BM333" i="3"/>
  <c r="BN333" i="3"/>
  <c r="BO333" i="3"/>
  <c r="BP333" i="3"/>
  <c r="BQ333" i="3"/>
  <c r="BR333" i="3"/>
  <c r="BS333" i="3"/>
  <c r="BT333" i="3"/>
  <c r="BL333" i="3"/>
  <c r="AZ333" i="3"/>
  <c r="BD334" i="3"/>
  <c r="BE334" i="3"/>
  <c r="BF334" i="3"/>
  <c r="BG334" i="3"/>
  <c r="BH334" i="3"/>
  <c r="BI334" i="3"/>
  <c r="BJ334" i="3"/>
  <c r="BK334" i="3"/>
  <c r="BA334" i="3"/>
  <c r="BM334" i="3"/>
  <c r="BN334" i="3"/>
  <c r="BO334" i="3"/>
  <c r="BP334" i="3"/>
  <c r="BQ334" i="3"/>
  <c r="BR334" i="3"/>
  <c r="BS334" i="3"/>
  <c r="BT334" i="3"/>
  <c r="BL334" i="3"/>
  <c r="AZ334" i="3"/>
  <c r="BD335" i="3"/>
  <c r="BE335" i="3"/>
  <c r="BF335" i="3"/>
  <c r="BG335" i="3"/>
  <c r="BH335" i="3"/>
  <c r="BI335" i="3"/>
  <c r="BJ335" i="3"/>
  <c r="BK335" i="3"/>
  <c r="BA335" i="3"/>
  <c r="BM335" i="3"/>
  <c r="BN335" i="3"/>
  <c r="BO335" i="3"/>
  <c r="BP335" i="3"/>
  <c r="BQ335" i="3"/>
  <c r="BR335" i="3"/>
  <c r="BS335" i="3"/>
  <c r="BT335" i="3"/>
  <c r="BL335" i="3"/>
  <c r="AZ335" i="3"/>
  <c r="BD336" i="3"/>
  <c r="BE336" i="3"/>
  <c r="BF336" i="3"/>
  <c r="BG336" i="3"/>
  <c r="BH336" i="3"/>
  <c r="BI336" i="3"/>
  <c r="BJ336" i="3"/>
  <c r="BK336" i="3"/>
  <c r="BA336" i="3"/>
  <c r="BM336" i="3"/>
  <c r="BN336" i="3"/>
  <c r="BO336" i="3"/>
  <c r="BP336" i="3"/>
  <c r="BQ336" i="3"/>
  <c r="BR336" i="3"/>
  <c r="BS336" i="3"/>
  <c r="BT336" i="3"/>
  <c r="BL336" i="3"/>
  <c r="AZ336" i="3"/>
  <c r="BD337" i="3"/>
  <c r="BE337" i="3"/>
  <c r="BF337" i="3"/>
  <c r="BG337" i="3"/>
  <c r="BH337" i="3"/>
  <c r="BI337" i="3"/>
  <c r="BJ337" i="3"/>
  <c r="BK337" i="3"/>
  <c r="BA337" i="3"/>
  <c r="BM337" i="3"/>
  <c r="BN337" i="3"/>
  <c r="BO337" i="3"/>
  <c r="BP337" i="3"/>
  <c r="BQ337" i="3"/>
  <c r="BR337" i="3"/>
  <c r="BS337" i="3"/>
  <c r="BT337" i="3"/>
  <c r="BL337" i="3"/>
  <c r="AZ337" i="3"/>
  <c r="BD338" i="3"/>
  <c r="BE338" i="3"/>
  <c r="BF338" i="3"/>
  <c r="BG338" i="3"/>
  <c r="BH338" i="3"/>
  <c r="BI338" i="3"/>
  <c r="BJ338" i="3"/>
  <c r="BK338" i="3"/>
  <c r="BA338" i="3"/>
  <c r="BM338" i="3"/>
  <c r="BN338" i="3"/>
  <c r="BO338" i="3"/>
  <c r="BP338" i="3"/>
  <c r="BQ338" i="3"/>
  <c r="BR338" i="3"/>
  <c r="BS338" i="3"/>
  <c r="BT338" i="3"/>
  <c r="BL338" i="3"/>
  <c r="AZ338" i="3"/>
  <c r="BD339" i="3"/>
  <c r="BE339" i="3"/>
  <c r="BF339" i="3"/>
  <c r="BG339" i="3"/>
  <c r="BH339" i="3"/>
  <c r="BI339" i="3"/>
  <c r="BJ339" i="3"/>
  <c r="BK339" i="3"/>
  <c r="BA339" i="3"/>
  <c r="BM339" i="3"/>
  <c r="BN339" i="3"/>
  <c r="BO339" i="3"/>
  <c r="BP339" i="3"/>
  <c r="BQ339" i="3"/>
  <c r="BR339" i="3"/>
  <c r="BS339" i="3"/>
  <c r="BT339" i="3"/>
  <c r="BL339" i="3"/>
  <c r="AZ339" i="3"/>
  <c r="BD340" i="3"/>
  <c r="BE340" i="3"/>
  <c r="BF340" i="3"/>
  <c r="BG340" i="3"/>
  <c r="BH340" i="3"/>
  <c r="BI340" i="3"/>
  <c r="BJ340" i="3"/>
  <c r="BK340" i="3"/>
  <c r="BA340" i="3"/>
  <c r="BM340" i="3"/>
  <c r="BN340" i="3"/>
  <c r="BO340" i="3"/>
  <c r="BP340" i="3"/>
  <c r="BQ340" i="3"/>
  <c r="BR340" i="3"/>
  <c r="BS340" i="3"/>
  <c r="BT340" i="3"/>
  <c r="BL340" i="3"/>
  <c r="AZ340" i="3"/>
  <c r="BD341" i="3"/>
  <c r="BE341" i="3"/>
  <c r="BF341" i="3"/>
  <c r="BG341" i="3"/>
  <c r="BH341" i="3"/>
  <c r="BI341" i="3"/>
  <c r="BJ341" i="3"/>
  <c r="BK341" i="3"/>
  <c r="BA341" i="3"/>
  <c r="BM341" i="3"/>
  <c r="BN341" i="3"/>
  <c r="BO341" i="3"/>
  <c r="BP341" i="3"/>
  <c r="BQ341" i="3"/>
  <c r="BR341" i="3"/>
  <c r="BS341" i="3"/>
  <c r="BT341" i="3"/>
  <c r="BL341" i="3"/>
  <c r="AZ341" i="3"/>
  <c r="BD342" i="3"/>
  <c r="BE342" i="3"/>
  <c r="BF342" i="3"/>
  <c r="BG342" i="3"/>
  <c r="BH342" i="3"/>
  <c r="BI342" i="3"/>
  <c r="BJ342" i="3"/>
  <c r="BK342" i="3"/>
  <c r="BA342" i="3"/>
  <c r="BM342" i="3"/>
  <c r="BN342" i="3"/>
  <c r="BO342" i="3"/>
  <c r="BP342" i="3"/>
  <c r="BQ342" i="3"/>
  <c r="BR342" i="3"/>
  <c r="BS342" i="3"/>
  <c r="BT342" i="3"/>
  <c r="BL342" i="3"/>
  <c r="AZ342" i="3"/>
  <c r="BD343" i="3"/>
  <c r="BE343" i="3"/>
  <c r="BF343" i="3"/>
  <c r="BG343" i="3"/>
  <c r="BH343" i="3"/>
  <c r="BI343" i="3"/>
  <c r="BJ343" i="3"/>
  <c r="BK343" i="3"/>
  <c r="BA343" i="3"/>
  <c r="BM343" i="3"/>
  <c r="BN343" i="3"/>
  <c r="BO343" i="3"/>
  <c r="BP343" i="3"/>
  <c r="BQ343" i="3"/>
  <c r="BR343" i="3"/>
  <c r="BS343" i="3"/>
  <c r="BT343" i="3"/>
  <c r="BL343" i="3"/>
  <c r="AZ343" i="3"/>
  <c r="BD344" i="3"/>
  <c r="BE344" i="3"/>
  <c r="BF344" i="3"/>
  <c r="BG344" i="3"/>
  <c r="BH344" i="3"/>
  <c r="BI344" i="3"/>
  <c r="BJ344" i="3"/>
  <c r="BK344" i="3"/>
  <c r="BA344" i="3"/>
  <c r="BM344" i="3"/>
  <c r="BN344" i="3"/>
  <c r="BO344" i="3"/>
  <c r="BP344" i="3"/>
  <c r="BQ344" i="3"/>
  <c r="BR344" i="3"/>
  <c r="BS344" i="3"/>
  <c r="BT344" i="3"/>
  <c r="BL344" i="3"/>
  <c r="AZ344" i="3"/>
  <c r="BD345" i="3"/>
  <c r="BE345" i="3"/>
  <c r="BF345" i="3"/>
  <c r="BG345" i="3"/>
  <c r="BH345" i="3"/>
  <c r="BI345" i="3"/>
  <c r="BJ345" i="3"/>
  <c r="BK345" i="3"/>
  <c r="BA345" i="3"/>
  <c r="BM345" i="3"/>
  <c r="BN345" i="3"/>
  <c r="BO345" i="3"/>
  <c r="BP345" i="3"/>
  <c r="BQ345" i="3"/>
  <c r="BR345" i="3"/>
  <c r="BS345" i="3"/>
  <c r="BT345" i="3"/>
  <c r="BL345" i="3"/>
  <c r="AZ345" i="3"/>
  <c r="BD346" i="3"/>
  <c r="BE346" i="3"/>
  <c r="BF346" i="3"/>
  <c r="BG346" i="3"/>
  <c r="BH346" i="3"/>
  <c r="BI346" i="3"/>
  <c r="BJ346" i="3"/>
  <c r="BK346" i="3"/>
  <c r="BA346" i="3"/>
  <c r="BM346" i="3"/>
  <c r="BN346" i="3"/>
  <c r="BO346" i="3"/>
  <c r="BP346" i="3"/>
  <c r="BQ346" i="3"/>
  <c r="BR346" i="3"/>
  <c r="BS346" i="3"/>
  <c r="BT346" i="3"/>
  <c r="BL346" i="3"/>
  <c r="AZ346" i="3"/>
  <c r="BD347" i="3"/>
  <c r="BE347" i="3"/>
  <c r="BF347" i="3"/>
  <c r="BG347" i="3"/>
  <c r="BH347" i="3"/>
  <c r="BI347" i="3"/>
  <c r="BJ347" i="3"/>
  <c r="BK347" i="3"/>
  <c r="BA347" i="3"/>
  <c r="BM347" i="3"/>
  <c r="BN347" i="3"/>
  <c r="BO347" i="3"/>
  <c r="BP347" i="3"/>
  <c r="BQ347" i="3"/>
  <c r="BR347" i="3"/>
  <c r="BS347" i="3"/>
  <c r="BT347" i="3"/>
  <c r="BL347" i="3"/>
  <c r="AZ347" i="3"/>
  <c r="BD348" i="3"/>
  <c r="BE348" i="3"/>
  <c r="BF348" i="3"/>
  <c r="BG348" i="3"/>
  <c r="BH348" i="3"/>
  <c r="BI348" i="3"/>
  <c r="BJ348" i="3"/>
  <c r="BK348" i="3"/>
  <c r="BA348" i="3"/>
  <c r="BM348" i="3"/>
  <c r="BN348" i="3"/>
  <c r="BO348" i="3"/>
  <c r="BP348" i="3"/>
  <c r="BQ348" i="3"/>
  <c r="BR348" i="3"/>
  <c r="BS348" i="3"/>
  <c r="BT348" i="3"/>
  <c r="BL348" i="3"/>
  <c r="AZ348" i="3"/>
  <c r="BD349" i="3"/>
  <c r="BE349" i="3"/>
  <c r="BF349" i="3"/>
  <c r="BG349" i="3"/>
  <c r="BH349" i="3"/>
  <c r="BI349" i="3"/>
  <c r="BJ349" i="3"/>
  <c r="BK349" i="3"/>
  <c r="BA349" i="3"/>
  <c r="BM349" i="3"/>
  <c r="BN349" i="3"/>
  <c r="BO349" i="3"/>
  <c r="BP349" i="3"/>
  <c r="BQ349" i="3"/>
  <c r="BR349" i="3"/>
  <c r="BS349" i="3"/>
  <c r="BT349" i="3"/>
  <c r="BL349" i="3"/>
  <c r="AZ349" i="3"/>
  <c r="BD350" i="3"/>
  <c r="BE350" i="3"/>
  <c r="BF350" i="3"/>
  <c r="BG350" i="3"/>
  <c r="BH350" i="3"/>
  <c r="BI350" i="3"/>
  <c r="BJ350" i="3"/>
  <c r="BK350" i="3"/>
  <c r="BA350" i="3"/>
  <c r="BM350" i="3"/>
  <c r="BN350" i="3"/>
  <c r="BO350" i="3"/>
  <c r="BP350" i="3"/>
  <c r="BQ350" i="3"/>
  <c r="BR350" i="3"/>
  <c r="BS350" i="3"/>
  <c r="BT350" i="3"/>
  <c r="BL350" i="3"/>
  <c r="AZ350" i="3"/>
  <c r="BD351" i="3"/>
  <c r="BE351" i="3"/>
  <c r="BF351" i="3"/>
  <c r="BG351" i="3"/>
  <c r="BH351" i="3"/>
  <c r="BI351" i="3"/>
  <c r="BJ351" i="3"/>
  <c r="BK351" i="3"/>
  <c r="BA351" i="3"/>
  <c r="BM351" i="3"/>
  <c r="BN351" i="3"/>
  <c r="BO351" i="3"/>
  <c r="BP351" i="3"/>
  <c r="BQ351" i="3"/>
  <c r="BR351" i="3"/>
  <c r="BS351" i="3"/>
  <c r="BT351" i="3"/>
  <c r="BL351" i="3"/>
  <c r="AZ351" i="3"/>
  <c r="BD352" i="3"/>
  <c r="BE352" i="3"/>
  <c r="BF352" i="3"/>
  <c r="BG352" i="3"/>
  <c r="BH352" i="3"/>
  <c r="BI352" i="3"/>
  <c r="BJ352" i="3"/>
  <c r="BK352" i="3"/>
  <c r="BA352" i="3"/>
  <c r="BM352" i="3"/>
  <c r="BN352" i="3"/>
  <c r="BO352" i="3"/>
  <c r="BP352" i="3"/>
  <c r="BQ352" i="3"/>
  <c r="BR352" i="3"/>
  <c r="BS352" i="3"/>
  <c r="BT352" i="3"/>
  <c r="BL352" i="3"/>
  <c r="AZ352" i="3"/>
  <c r="BD353" i="3"/>
  <c r="BE353" i="3"/>
  <c r="BF353" i="3"/>
  <c r="BG353" i="3"/>
  <c r="BH353" i="3"/>
  <c r="BI353" i="3"/>
  <c r="BJ353" i="3"/>
  <c r="BK353" i="3"/>
  <c r="BA353" i="3"/>
  <c r="BM353" i="3"/>
  <c r="BN353" i="3"/>
  <c r="BO353" i="3"/>
  <c r="BP353" i="3"/>
  <c r="BQ353" i="3"/>
  <c r="BR353" i="3"/>
  <c r="BS353" i="3"/>
  <c r="BT353" i="3"/>
  <c r="BL353" i="3"/>
  <c r="AZ353" i="3"/>
  <c r="BD354" i="3"/>
  <c r="BE354" i="3"/>
  <c r="BF354" i="3"/>
  <c r="BG354" i="3"/>
  <c r="BH354" i="3"/>
  <c r="BI354" i="3"/>
  <c r="BJ354" i="3"/>
  <c r="BK354" i="3"/>
  <c r="BA354" i="3"/>
  <c r="BM354" i="3"/>
  <c r="BN354" i="3"/>
  <c r="BO354" i="3"/>
  <c r="BP354" i="3"/>
  <c r="BQ354" i="3"/>
  <c r="BR354" i="3"/>
  <c r="BS354" i="3"/>
  <c r="BT354" i="3"/>
  <c r="BL354" i="3"/>
  <c r="AZ354" i="3"/>
  <c r="BD355" i="3"/>
  <c r="BE355" i="3"/>
  <c r="BF355" i="3"/>
  <c r="BG355" i="3"/>
  <c r="BH355" i="3"/>
  <c r="BI355" i="3"/>
  <c r="BJ355" i="3"/>
  <c r="BK355" i="3"/>
  <c r="BA355" i="3"/>
  <c r="BM355" i="3"/>
  <c r="BN355" i="3"/>
  <c r="BO355" i="3"/>
  <c r="BP355" i="3"/>
  <c r="BQ355" i="3"/>
  <c r="BR355" i="3"/>
  <c r="BS355" i="3"/>
  <c r="BT355" i="3"/>
  <c r="BL355" i="3"/>
  <c r="AZ355" i="3"/>
  <c r="BD356" i="3"/>
  <c r="BE356" i="3"/>
  <c r="BF356" i="3"/>
  <c r="BG356" i="3"/>
  <c r="BH356" i="3"/>
  <c r="BI356" i="3"/>
  <c r="BJ356" i="3"/>
  <c r="BK356" i="3"/>
  <c r="BA356" i="3"/>
  <c r="BM356" i="3"/>
  <c r="BN356" i="3"/>
  <c r="BO356" i="3"/>
  <c r="BP356" i="3"/>
  <c r="BQ356" i="3"/>
  <c r="BR356" i="3"/>
  <c r="BS356" i="3"/>
  <c r="BT356" i="3"/>
  <c r="BL356" i="3"/>
  <c r="AZ356" i="3"/>
  <c r="BD357" i="3"/>
  <c r="BE357" i="3"/>
  <c r="BF357" i="3"/>
  <c r="BG357" i="3"/>
  <c r="BH357" i="3"/>
  <c r="BI357" i="3"/>
  <c r="BJ357" i="3"/>
  <c r="BK357" i="3"/>
  <c r="BA357" i="3"/>
  <c r="BM357" i="3"/>
  <c r="BN357" i="3"/>
  <c r="BO357" i="3"/>
  <c r="BP357" i="3"/>
  <c r="BQ357" i="3"/>
  <c r="BR357" i="3"/>
  <c r="BS357" i="3"/>
  <c r="BT357" i="3"/>
  <c r="BL357" i="3"/>
  <c r="AZ357" i="3"/>
  <c r="BD358" i="3"/>
  <c r="BE358" i="3"/>
  <c r="BF358" i="3"/>
  <c r="BG358" i="3"/>
  <c r="BH358" i="3"/>
  <c r="BI358" i="3"/>
  <c r="BJ358" i="3"/>
  <c r="BK358" i="3"/>
  <c r="BA358" i="3"/>
  <c r="BM358" i="3"/>
  <c r="BN358" i="3"/>
  <c r="BO358" i="3"/>
  <c r="BP358" i="3"/>
  <c r="BQ358" i="3"/>
  <c r="BR358" i="3"/>
  <c r="BS358" i="3"/>
  <c r="BT358" i="3"/>
  <c r="BL358" i="3"/>
  <c r="AZ358" i="3"/>
  <c r="BD359" i="3"/>
  <c r="BE359" i="3"/>
  <c r="BF359" i="3"/>
  <c r="BG359" i="3"/>
  <c r="BH359" i="3"/>
  <c r="BI359" i="3"/>
  <c r="BJ359" i="3"/>
  <c r="BK359" i="3"/>
  <c r="BA359" i="3"/>
  <c r="BM359" i="3"/>
  <c r="BN359" i="3"/>
  <c r="BO359" i="3"/>
  <c r="BP359" i="3"/>
  <c r="BQ359" i="3"/>
  <c r="BR359" i="3"/>
  <c r="BS359" i="3"/>
  <c r="BT359" i="3"/>
  <c r="BL359" i="3"/>
  <c r="AZ359" i="3"/>
  <c r="BD360" i="3"/>
  <c r="BE360" i="3"/>
  <c r="BF360" i="3"/>
  <c r="BG360" i="3"/>
  <c r="BH360" i="3"/>
  <c r="BI360" i="3"/>
  <c r="BJ360" i="3"/>
  <c r="BK360" i="3"/>
  <c r="BA360" i="3"/>
  <c r="BM360" i="3"/>
  <c r="BN360" i="3"/>
  <c r="BO360" i="3"/>
  <c r="BP360" i="3"/>
  <c r="BQ360" i="3"/>
  <c r="BR360" i="3"/>
  <c r="BS360" i="3"/>
  <c r="BT360" i="3"/>
  <c r="BL360" i="3"/>
  <c r="AZ360" i="3"/>
  <c r="BD361" i="3"/>
  <c r="BE361" i="3"/>
  <c r="BF361" i="3"/>
  <c r="BG361" i="3"/>
  <c r="BH361" i="3"/>
  <c r="BI361" i="3"/>
  <c r="BJ361" i="3"/>
  <c r="BK361" i="3"/>
  <c r="BA361" i="3"/>
  <c r="BM361" i="3"/>
  <c r="BN361" i="3"/>
  <c r="BO361" i="3"/>
  <c r="BP361" i="3"/>
  <c r="BQ361" i="3"/>
  <c r="BR361" i="3"/>
  <c r="BS361" i="3"/>
  <c r="BT361" i="3"/>
  <c r="BL361" i="3"/>
  <c r="AZ361" i="3"/>
  <c r="BD362" i="3"/>
  <c r="BE362" i="3"/>
  <c r="BF362" i="3"/>
  <c r="BG362" i="3"/>
  <c r="BH362" i="3"/>
  <c r="BI362" i="3"/>
  <c r="BJ362" i="3"/>
  <c r="BK362" i="3"/>
  <c r="BA362" i="3"/>
  <c r="BM362" i="3"/>
  <c r="BN362" i="3"/>
  <c r="BO362" i="3"/>
  <c r="BP362" i="3"/>
  <c r="BQ362" i="3"/>
  <c r="BR362" i="3"/>
  <c r="BS362" i="3"/>
  <c r="BT362" i="3"/>
  <c r="BL362" i="3"/>
  <c r="AZ362" i="3"/>
  <c r="BD363" i="3"/>
  <c r="BE363" i="3"/>
  <c r="BF363" i="3"/>
  <c r="BG363" i="3"/>
  <c r="BH363" i="3"/>
  <c r="BI363" i="3"/>
  <c r="BJ363" i="3"/>
  <c r="BK363" i="3"/>
  <c r="BA363" i="3"/>
  <c r="BM363" i="3"/>
  <c r="BN363" i="3"/>
  <c r="BO363" i="3"/>
  <c r="BP363" i="3"/>
  <c r="BQ363" i="3"/>
  <c r="BR363" i="3"/>
  <c r="BS363" i="3"/>
  <c r="BT363" i="3"/>
  <c r="BL363" i="3"/>
  <c r="AZ363" i="3"/>
  <c r="BD364" i="3"/>
  <c r="BE364" i="3"/>
  <c r="BF364" i="3"/>
  <c r="BG364" i="3"/>
  <c r="BH364" i="3"/>
  <c r="BI364" i="3"/>
  <c r="BJ364" i="3"/>
  <c r="BK364" i="3"/>
  <c r="BA364" i="3"/>
  <c r="BM364" i="3"/>
  <c r="BN364" i="3"/>
  <c r="BO364" i="3"/>
  <c r="BP364" i="3"/>
  <c r="BQ364" i="3"/>
  <c r="BR364" i="3"/>
  <c r="BS364" i="3"/>
  <c r="BT364" i="3"/>
  <c r="BL364" i="3"/>
  <c r="AZ364" i="3"/>
  <c r="BD365" i="3"/>
  <c r="BE365" i="3"/>
  <c r="BF365" i="3"/>
  <c r="BG365" i="3"/>
  <c r="BH365" i="3"/>
  <c r="BI365" i="3"/>
  <c r="BJ365" i="3"/>
  <c r="BK365" i="3"/>
  <c r="BA365" i="3"/>
  <c r="BM365" i="3"/>
  <c r="BN365" i="3"/>
  <c r="BO365" i="3"/>
  <c r="BP365" i="3"/>
  <c r="BQ365" i="3"/>
  <c r="BR365" i="3"/>
  <c r="BS365" i="3"/>
  <c r="BT365" i="3"/>
  <c r="BL365" i="3"/>
  <c r="AZ365" i="3"/>
  <c r="BD366" i="3"/>
  <c r="BE366" i="3"/>
  <c r="BF366" i="3"/>
  <c r="BG366" i="3"/>
  <c r="BH366" i="3"/>
  <c r="BI366" i="3"/>
  <c r="BJ366" i="3"/>
  <c r="BK366" i="3"/>
  <c r="BA366" i="3"/>
  <c r="BM366" i="3"/>
  <c r="BN366" i="3"/>
  <c r="BO366" i="3"/>
  <c r="BP366" i="3"/>
  <c r="BQ366" i="3"/>
  <c r="BR366" i="3"/>
  <c r="BS366" i="3"/>
  <c r="BT366" i="3"/>
  <c r="BL366" i="3"/>
  <c r="AZ366" i="3"/>
  <c r="BD367" i="3"/>
  <c r="BE367" i="3"/>
  <c r="BF367" i="3"/>
  <c r="BG367" i="3"/>
  <c r="BH367" i="3"/>
  <c r="BI367" i="3"/>
  <c r="BJ367" i="3"/>
  <c r="BK367" i="3"/>
  <c r="BA367" i="3"/>
  <c r="BM367" i="3"/>
  <c r="BN367" i="3"/>
  <c r="BO367" i="3"/>
  <c r="BP367" i="3"/>
  <c r="BQ367" i="3"/>
  <c r="BR367" i="3"/>
  <c r="BS367" i="3"/>
  <c r="BT367" i="3"/>
  <c r="BL367" i="3"/>
  <c r="AZ367" i="3"/>
  <c r="BD368" i="3"/>
  <c r="BE368" i="3"/>
  <c r="BF368" i="3"/>
  <c r="BG368" i="3"/>
  <c r="BH368" i="3"/>
  <c r="BI368" i="3"/>
  <c r="BJ368" i="3"/>
  <c r="BK368" i="3"/>
  <c r="BA368" i="3"/>
  <c r="BM368" i="3"/>
  <c r="BN368" i="3"/>
  <c r="BO368" i="3"/>
  <c r="BP368" i="3"/>
  <c r="BQ368" i="3"/>
  <c r="BR368" i="3"/>
  <c r="BS368" i="3"/>
  <c r="BT368" i="3"/>
  <c r="BL368" i="3"/>
  <c r="AZ368" i="3"/>
  <c r="BD369" i="3"/>
  <c r="BE369" i="3"/>
  <c r="BF369" i="3"/>
  <c r="BG369" i="3"/>
  <c r="BH369" i="3"/>
  <c r="BI369" i="3"/>
  <c r="BJ369" i="3"/>
  <c r="BK369" i="3"/>
  <c r="BA369" i="3"/>
  <c r="BM369" i="3"/>
  <c r="BN369" i="3"/>
  <c r="BO369" i="3"/>
  <c r="BP369" i="3"/>
  <c r="BQ369" i="3"/>
  <c r="BR369" i="3"/>
  <c r="BS369" i="3"/>
  <c r="BT369" i="3"/>
  <c r="BL369" i="3"/>
  <c r="AZ369" i="3"/>
  <c r="BD370" i="3"/>
  <c r="BE370" i="3"/>
  <c r="BF370" i="3"/>
  <c r="BG370" i="3"/>
  <c r="BH370" i="3"/>
  <c r="BI370" i="3"/>
  <c r="BJ370" i="3"/>
  <c r="BK370" i="3"/>
  <c r="BA370" i="3"/>
  <c r="BM370" i="3"/>
  <c r="BN370" i="3"/>
  <c r="BO370" i="3"/>
  <c r="BP370" i="3"/>
  <c r="BQ370" i="3"/>
  <c r="BR370" i="3"/>
  <c r="BS370" i="3"/>
  <c r="BT370" i="3"/>
  <c r="BL370" i="3"/>
  <c r="AZ370" i="3"/>
  <c r="BD371" i="3"/>
  <c r="BE371" i="3"/>
  <c r="BF371" i="3"/>
  <c r="BG371" i="3"/>
  <c r="BH371" i="3"/>
  <c r="BI371" i="3"/>
  <c r="BJ371" i="3"/>
  <c r="BK371" i="3"/>
  <c r="BA371" i="3"/>
  <c r="BM371" i="3"/>
  <c r="BN371" i="3"/>
  <c r="BO371" i="3"/>
  <c r="BP371" i="3"/>
  <c r="BQ371" i="3"/>
  <c r="BR371" i="3"/>
  <c r="BS371" i="3"/>
  <c r="BT371" i="3"/>
  <c r="BL371" i="3"/>
  <c r="AZ371" i="3"/>
  <c r="BD372" i="3"/>
  <c r="BE372" i="3"/>
  <c r="BF372" i="3"/>
  <c r="BG372" i="3"/>
  <c r="BH372" i="3"/>
  <c r="BI372" i="3"/>
  <c r="BJ372" i="3"/>
  <c r="BK372" i="3"/>
  <c r="BA372" i="3"/>
  <c r="BM372" i="3"/>
  <c r="BN372" i="3"/>
  <c r="BO372" i="3"/>
  <c r="BP372" i="3"/>
  <c r="BQ372" i="3"/>
  <c r="BR372" i="3"/>
  <c r="BS372" i="3"/>
  <c r="BT372" i="3"/>
  <c r="BL372" i="3"/>
  <c r="AZ372" i="3"/>
  <c r="BD373" i="3"/>
  <c r="BE373" i="3"/>
  <c r="BF373" i="3"/>
  <c r="BG373" i="3"/>
  <c r="BH373" i="3"/>
  <c r="BI373" i="3"/>
  <c r="BJ373" i="3"/>
  <c r="BK373" i="3"/>
  <c r="BA373" i="3"/>
  <c r="BM373" i="3"/>
  <c r="BN373" i="3"/>
  <c r="BO373" i="3"/>
  <c r="BP373" i="3"/>
  <c r="BQ373" i="3"/>
  <c r="BR373" i="3"/>
  <c r="BS373" i="3"/>
  <c r="BT373" i="3"/>
  <c r="BL373" i="3"/>
  <c r="AZ373" i="3"/>
  <c r="BD374" i="3"/>
  <c r="BE374" i="3"/>
  <c r="BF374" i="3"/>
  <c r="BG374" i="3"/>
  <c r="BH374" i="3"/>
  <c r="BI374" i="3"/>
  <c r="BJ374" i="3"/>
  <c r="BK374" i="3"/>
  <c r="BA374" i="3"/>
  <c r="BM374" i="3"/>
  <c r="BN374" i="3"/>
  <c r="BO374" i="3"/>
  <c r="BP374" i="3"/>
  <c r="BQ374" i="3"/>
  <c r="BR374" i="3"/>
  <c r="BS374" i="3"/>
  <c r="BT374" i="3"/>
  <c r="BL374" i="3"/>
  <c r="AZ374" i="3"/>
  <c r="BD375" i="3"/>
  <c r="BE375" i="3"/>
  <c r="BF375" i="3"/>
  <c r="BG375" i="3"/>
  <c r="BH375" i="3"/>
  <c r="BI375" i="3"/>
  <c r="BJ375" i="3"/>
  <c r="BK375" i="3"/>
  <c r="BA375" i="3"/>
  <c r="BM375" i="3"/>
  <c r="BN375" i="3"/>
  <c r="BO375" i="3"/>
  <c r="BP375" i="3"/>
  <c r="BQ375" i="3"/>
  <c r="BR375" i="3"/>
  <c r="BS375" i="3"/>
  <c r="BT375" i="3"/>
  <c r="BL375" i="3"/>
  <c r="AZ375" i="3"/>
  <c r="BD376" i="3"/>
  <c r="BE376" i="3"/>
  <c r="BF376" i="3"/>
  <c r="BG376" i="3"/>
  <c r="BH376" i="3"/>
  <c r="BI376" i="3"/>
  <c r="BJ376" i="3"/>
  <c r="BK376" i="3"/>
  <c r="BA376" i="3"/>
  <c r="BM376" i="3"/>
  <c r="BN376" i="3"/>
  <c r="BO376" i="3"/>
  <c r="BP376" i="3"/>
  <c r="BQ376" i="3"/>
  <c r="BR376" i="3"/>
  <c r="BS376" i="3"/>
  <c r="BT376" i="3"/>
  <c r="BL376" i="3"/>
  <c r="AZ376" i="3"/>
  <c r="BD377" i="3"/>
  <c r="BE377" i="3"/>
  <c r="BF377" i="3"/>
  <c r="BG377" i="3"/>
  <c r="BH377" i="3"/>
  <c r="BI377" i="3"/>
  <c r="BJ377" i="3"/>
  <c r="BK377" i="3"/>
  <c r="BA377" i="3"/>
  <c r="BM377" i="3"/>
  <c r="BN377" i="3"/>
  <c r="BO377" i="3"/>
  <c r="BP377" i="3"/>
  <c r="BQ377" i="3"/>
  <c r="BR377" i="3"/>
  <c r="BS377" i="3"/>
  <c r="BT377" i="3"/>
  <c r="BL377" i="3"/>
  <c r="AZ377" i="3"/>
  <c r="BD378" i="3"/>
  <c r="BE378" i="3"/>
  <c r="BF378" i="3"/>
  <c r="BG378" i="3"/>
  <c r="BH378" i="3"/>
  <c r="BI378" i="3"/>
  <c r="BJ378" i="3"/>
  <c r="BK378" i="3"/>
  <c r="BA378" i="3"/>
  <c r="BM378" i="3"/>
  <c r="BN378" i="3"/>
  <c r="BO378" i="3"/>
  <c r="BP378" i="3"/>
  <c r="BQ378" i="3"/>
  <c r="BR378" i="3"/>
  <c r="BS378" i="3"/>
  <c r="BT378" i="3"/>
  <c r="BL378" i="3"/>
  <c r="AZ378" i="3"/>
  <c r="BD379" i="3"/>
  <c r="BE379" i="3"/>
  <c r="BF379" i="3"/>
  <c r="BG379" i="3"/>
  <c r="BH379" i="3"/>
  <c r="BI379" i="3"/>
  <c r="BJ379" i="3"/>
  <c r="BK379" i="3"/>
  <c r="BA379" i="3"/>
  <c r="BM379" i="3"/>
  <c r="BN379" i="3"/>
  <c r="BO379" i="3"/>
  <c r="BP379" i="3"/>
  <c r="BQ379" i="3"/>
  <c r="BR379" i="3"/>
  <c r="BS379" i="3"/>
  <c r="BT379" i="3"/>
  <c r="BL379" i="3"/>
  <c r="AZ379" i="3"/>
  <c r="BD380" i="3"/>
  <c r="BE380" i="3"/>
  <c r="BF380" i="3"/>
  <c r="BG380" i="3"/>
  <c r="BH380" i="3"/>
  <c r="BI380" i="3"/>
  <c r="BJ380" i="3"/>
  <c r="BK380" i="3"/>
  <c r="BA380" i="3"/>
  <c r="BM380" i="3"/>
  <c r="BN380" i="3"/>
  <c r="BO380" i="3"/>
  <c r="BP380" i="3"/>
  <c r="BQ380" i="3"/>
  <c r="BR380" i="3"/>
  <c r="BS380" i="3"/>
  <c r="BT380" i="3"/>
  <c r="BL380" i="3"/>
  <c r="AZ380" i="3"/>
  <c r="BD381" i="3"/>
  <c r="BE381" i="3"/>
  <c r="BF381" i="3"/>
  <c r="BG381" i="3"/>
  <c r="BH381" i="3"/>
  <c r="BI381" i="3"/>
  <c r="BJ381" i="3"/>
  <c r="BK381" i="3"/>
  <c r="BA381" i="3"/>
  <c r="BM381" i="3"/>
  <c r="BN381" i="3"/>
  <c r="BO381" i="3"/>
  <c r="BP381" i="3"/>
  <c r="BQ381" i="3"/>
  <c r="BR381" i="3"/>
  <c r="BS381" i="3"/>
  <c r="BT381" i="3"/>
  <c r="BL381" i="3"/>
  <c r="AZ381" i="3"/>
  <c r="BD382" i="3"/>
  <c r="BE382" i="3"/>
  <c r="BF382" i="3"/>
  <c r="BG382" i="3"/>
  <c r="BH382" i="3"/>
  <c r="BI382" i="3"/>
  <c r="BJ382" i="3"/>
  <c r="BK382" i="3"/>
  <c r="BA382" i="3"/>
  <c r="BM382" i="3"/>
  <c r="BN382" i="3"/>
  <c r="BO382" i="3"/>
  <c r="BP382" i="3"/>
  <c r="BQ382" i="3"/>
  <c r="BR382" i="3"/>
  <c r="BS382" i="3"/>
  <c r="BT382" i="3"/>
  <c r="BL382" i="3"/>
  <c r="AZ382" i="3"/>
  <c r="BD383" i="3"/>
  <c r="BE383" i="3"/>
  <c r="BF383" i="3"/>
  <c r="BG383" i="3"/>
  <c r="BH383" i="3"/>
  <c r="BI383" i="3"/>
  <c r="BJ383" i="3"/>
  <c r="BK383" i="3"/>
  <c r="BA383" i="3"/>
  <c r="BM383" i="3"/>
  <c r="BN383" i="3"/>
  <c r="BO383" i="3"/>
  <c r="BP383" i="3"/>
  <c r="BQ383" i="3"/>
  <c r="BR383" i="3"/>
  <c r="BS383" i="3"/>
  <c r="BT383" i="3"/>
  <c r="BL383" i="3"/>
  <c r="AZ383" i="3"/>
  <c r="BD384" i="3"/>
  <c r="BE384" i="3"/>
  <c r="BF384" i="3"/>
  <c r="BG384" i="3"/>
  <c r="BH384" i="3"/>
  <c r="BI384" i="3"/>
  <c r="BJ384" i="3"/>
  <c r="BK384" i="3"/>
  <c r="BA384" i="3"/>
  <c r="BM384" i="3"/>
  <c r="BN384" i="3"/>
  <c r="BO384" i="3"/>
  <c r="BP384" i="3"/>
  <c r="BQ384" i="3"/>
  <c r="BR384" i="3"/>
  <c r="BS384" i="3"/>
  <c r="BT384" i="3"/>
  <c r="BL384" i="3"/>
  <c r="AZ384" i="3"/>
  <c r="BD385" i="3"/>
  <c r="BE385" i="3"/>
  <c r="BF385" i="3"/>
  <c r="BG385" i="3"/>
  <c r="BH385" i="3"/>
  <c r="BI385" i="3"/>
  <c r="BJ385" i="3"/>
  <c r="BK385" i="3"/>
  <c r="BA385" i="3"/>
  <c r="BM385" i="3"/>
  <c r="BN385" i="3"/>
  <c r="BO385" i="3"/>
  <c r="BP385" i="3"/>
  <c r="BQ385" i="3"/>
  <c r="BR385" i="3"/>
  <c r="BS385" i="3"/>
  <c r="BT385" i="3"/>
  <c r="BL385" i="3"/>
  <c r="AZ385" i="3"/>
  <c r="BD386" i="3"/>
  <c r="BE386" i="3"/>
  <c r="BF386" i="3"/>
  <c r="BG386" i="3"/>
  <c r="BH386" i="3"/>
  <c r="BI386" i="3"/>
  <c r="BJ386" i="3"/>
  <c r="BK386" i="3"/>
  <c r="BA386" i="3"/>
  <c r="BM386" i="3"/>
  <c r="BN386" i="3"/>
  <c r="BO386" i="3"/>
  <c r="BP386" i="3"/>
  <c r="BQ386" i="3"/>
  <c r="BR386" i="3"/>
  <c r="BS386" i="3"/>
  <c r="BT386" i="3"/>
  <c r="BL386" i="3"/>
  <c r="AZ386" i="3"/>
  <c r="BD387" i="3"/>
  <c r="BE387" i="3"/>
  <c r="BF387" i="3"/>
  <c r="BG387" i="3"/>
  <c r="BH387" i="3"/>
  <c r="BI387" i="3"/>
  <c r="BJ387" i="3"/>
  <c r="BK387" i="3"/>
  <c r="BA387" i="3"/>
  <c r="BM387" i="3"/>
  <c r="BN387" i="3"/>
  <c r="BO387" i="3"/>
  <c r="BP387" i="3"/>
  <c r="BQ387" i="3"/>
  <c r="BR387" i="3"/>
  <c r="BS387" i="3"/>
  <c r="BT387" i="3"/>
  <c r="BL387" i="3"/>
  <c r="AZ387" i="3"/>
  <c r="BD388" i="3"/>
  <c r="BE388" i="3"/>
  <c r="BF388" i="3"/>
  <c r="BG388" i="3"/>
  <c r="BH388" i="3"/>
  <c r="BI388" i="3"/>
  <c r="BJ388" i="3"/>
  <c r="BK388" i="3"/>
  <c r="BA388" i="3"/>
  <c r="BM388" i="3"/>
  <c r="BN388" i="3"/>
  <c r="BO388" i="3"/>
  <c r="BP388" i="3"/>
  <c r="BQ388" i="3"/>
  <c r="BR388" i="3"/>
  <c r="BS388" i="3"/>
  <c r="BT388" i="3"/>
  <c r="BL388" i="3"/>
  <c r="AZ388" i="3"/>
  <c r="BD389" i="3"/>
  <c r="BE389" i="3"/>
  <c r="BF389" i="3"/>
  <c r="BG389" i="3"/>
  <c r="BH389" i="3"/>
  <c r="BI389" i="3"/>
  <c r="BJ389" i="3"/>
  <c r="BK389" i="3"/>
  <c r="BA389" i="3"/>
  <c r="BM389" i="3"/>
  <c r="BN389" i="3"/>
  <c r="BO389" i="3"/>
  <c r="BP389" i="3"/>
  <c r="BQ389" i="3"/>
  <c r="BR389" i="3"/>
  <c r="BS389" i="3"/>
  <c r="BT389" i="3"/>
  <c r="BL389" i="3"/>
  <c r="AZ389" i="3"/>
  <c r="BD390" i="3"/>
  <c r="BE390" i="3"/>
  <c r="BF390" i="3"/>
  <c r="BG390" i="3"/>
  <c r="BH390" i="3"/>
  <c r="BI390" i="3"/>
  <c r="BJ390" i="3"/>
  <c r="BK390" i="3"/>
  <c r="BA390" i="3"/>
  <c r="BM390" i="3"/>
  <c r="BN390" i="3"/>
  <c r="BO390" i="3"/>
  <c r="BP390" i="3"/>
  <c r="BQ390" i="3"/>
  <c r="BR390" i="3"/>
  <c r="BS390" i="3"/>
  <c r="BT390" i="3"/>
  <c r="BL390" i="3"/>
  <c r="AZ390" i="3"/>
  <c r="BD391" i="3"/>
  <c r="BE391" i="3"/>
  <c r="BF391" i="3"/>
  <c r="BG391" i="3"/>
  <c r="BH391" i="3"/>
  <c r="BI391" i="3"/>
  <c r="BJ391" i="3"/>
  <c r="BK391" i="3"/>
  <c r="BA391" i="3"/>
  <c r="BM391" i="3"/>
  <c r="BN391" i="3"/>
  <c r="BO391" i="3"/>
  <c r="BP391" i="3"/>
  <c r="BQ391" i="3"/>
  <c r="BR391" i="3"/>
  <c r="BS391" i="3"/>
  <c r="BT391" i="3"/>
  <c r="BL391" i="3"/>
  <c r="AZ391" i="3"/>
  <c r="BD392" i="3"/>
  <c r="BE392" i="3"/>
  <c r="BF392" i="3"/>
  <c r="BG392" i="3"/>
  <c r="BH392" i="3"/>
  <c r="BI392" i="3"/>
  <c r="BJ392" i="3"/>
  <c r="BK392" i="3"/>
  <c r="BA392" i="3"/>
  <c r="BM392" i="3"/>
  <c r="BN392" i="3"/>
  <c r="BO392" i="3"/>
  <c r="BP392" i="3"/>
  <c r="BQ392" i="3"/>
  <c r="BR392" i="3"/>
  <c r="BS392" i="3"/>
  <c r="BT392" i="3"/>
  <c r="BL392" i="3"/>
  <c r="AZ392" i="3"/>
  <c r="BD393" i="3"/>
  <c r="BE393" i="3"/>
  <c r="BF393" i="3"/>
  <c r="BG393" i="3"/>
  <c r="BH393" i="3"/>
  <c r="BI393" i="3"/>
  <c r="BJ393" i="3"/>
  <c r="BK393" i="3"/>
  <c r="BA393" i="3"/>
  <c r="BM393" i="3"/>
  <c r="BN393" i="3"/>
  <c r="BO393" i="3"/>
  <c r="BP393" i="3"/>
  <c r="BQ393" i="3"/>
  <c r="BR393" i="3"/>
  <c r="BS393" i="3"/>
  <c r="BT393" i="3"/>
  <c r="BL393" i="3"/>
  <c r="AZ393" i="3"/>
  <c r="BD394" i="3"/>
  <c r="BE394" i="3"/>
  <c r="BF394" i="3"/>
  <c r="BG394" i="3"/>
  <c r="BH394" i="3"/>
  <c r="BI394" i="3"/>
  <c r="BJ394" i="3"/>
  <c r="BK394" i="3"/>
  <c r="BA394" i="3"/>
  <c r="BM394" i="3"/>
  <c r="BN394" i="3"/>
  <c r="BO394" i="3"/>
  <c r="BP394" i="3"/>
  <c r="BQ394" i="3"/>
  <c r="BR394" i="3"/>
  <c r="BS394" i="3"/>
  <c r="BT394" i="3"/>
  <c r="BL394" i="3"/>
  <c r="AZ394" i="3"/>
  <c r="BD395" i="3"/>
  <c r="BE395" i="3"/>
  <c r="BF395" i="3"/>
  <c r="BG395" i="3"/>
  <c r="BH395" i="3"/>
  <c r="BI395" i="3"/>
  <c r="BJ395" i="3"/>
  <c r="BK395" i="3"/>
  <c r="BA395" i="3"/>
  <c r="BM395" i="3"/>
  <c r="BN395" i="3"/>
  <c r="BO395" i="3"/>
  <c r="BP395" i="3"/>
  <c r="BQ395" i="3"/>
  <c r="BR395" i="3"/>
  <c r="BS395" i="3"/>
  <c r="BT395" i="3"/>
  <c r="BL395" i="3"/>
  <c r="AZ395" i="3"/>
  <c r="BD396" i="3"/>
  <c r="BE396" i="3"/>
  <c r="BF396" i="3"/>
  <c r="BG396" i="3"/>
  <c r="BH396" i="3"/>
  <c r="BI396" i="3"/>
  <c r="BJ396" i="3"/>
  <c r="BK396" i="3"/>
  <c r="BA396" i="3"/>
  <c r="BM396" i="3"/>
  <c r="BN396" i="3"/>
  <c r="BO396" i="3"/>
  <c r="BP396" i="3"/>
  <c r="BQ396" i="3"/>
  <c r="BR396" i="3"/>
  <c r="BS396" i="3"/>
  <c r="BT396" i="3"/>
  <c r="BL396" i="3"/>
  <c r="AZ396" i="3"/>
  <c r="BD397" i="3"/>
  <c r="BE397" i="3"/>
  <c r="BF397" i="3"/>
  <c r="BG397" i="3"/>
  <c r="BH397" i="3"/>
  <c r="BI397" i="3"/>
  <c r="BJ397" i="3"/>
  <c r="BK397" i="3"/>
  <c r="BA397" i="3"/>
  <c r="BM397" i="3"/>
  <c r="BN397" i="3"/>
  <c r="BO397" i="3"/>
  <c r="BP397" i="3"/>
  <c r="BQ397" i="3"/>
  <c r="BR397" i="3"/>
  <c r="BS397" i="3"/>
  <c r="BT397" i="3"/>
  <c r="BL397" i="3"/>
  <c r="AZ397" i="3"/>
  <c r="BD398" i="3"/>
  <c r="BE398" i="3"/>
  <c r="BF398" i="3"/>
  <c r="BG398" i="3"/>
  <c r="BH398" i="3"/>
  <c r="BI398" i="3"/>
  <c r="BJ398" i="3"/>
  <c r="BK398" i="3"/>
  <c r="BA398" i="3"/>
  <c r="BM398" i="3"/>
  <c r="BN398" i="3"/>
  <c r="BO398" i="3"/>
  <c r="BP398" i="3"/>
  <c r="BQ398" i="3"/>
  <c r="BR398" i="3"/>
  <c r="BS398" i="3"/>
  <c r="BT398" i="3"/>
  <c r="BL398" i="3"/>
  <c r="AZ398" i="3"/>
  <c r="BD399" i="3"/>
  <c r="BE399" i="3"/>
  <c r="BF399" i="3"/>
  <c r="BG399" i="3"/>
  <c r="BH399" i="3"/>
  <c r="BI399" i="3"/>
  <c r="BJ399" i="3"/>
  <c r="BK399" i="3"/>
  <c r="BA399" i="3"/>
  <c r="BM399" i="3"/>
  <c r="BN399" i="3"/>
  <c r="BO399" i="3"/>
  <c r="BP399" i="3"/>
  <c r="BQ399" i="3"/>
  <c r="BR399" i="3"/>
  <c r="BS399" i="3"/>
  <c r="BT399" i="3"/>
  <c r="BL399" i="3"/>
  <c r="AZ399" i="3"/>
  <c r="BD400" i="3"/>
  <c r="BE400" i="3"/>
  <c r="BF400" i="3"/>
  <c r="BG400" i="3"/>
  <c r="BH400" i="3"/>
  <c r="BI400" i="3"/>
  <c r="BJ400" i="3"/>
  <c r="BK400" i="3"/>
  <c r="BA400" i="3"/>
  <c r="BM400" i="3"/>
  <c r="BN400" i="3"/>
  <c r="BO400" i="3"/>
  <c r="BP400" i="3"/>
  <c r="BQ400" i="3"/>
  <c r="BR400" i="3"/>
  <c r="BS400" i="3"/>
  <c r="BT400" i="3"/>
  <c r="BL400" i="3"/>
  <c r="AZ400" i="3"/>
  <c r="BD401" i="3"/>
  <c r="BE401" i="3"/>
  <c r="BF401" i="3"/>
  <c r="BG401" i="3"/>
  <c r="BH401" i="3"/>
  <c r="BI401" i="3"/>
  <c r="BJ401" i="3"/>
  <c r="BK401" i="3"/>
  <c r="BA401" i="3"/>
  <c r="BM401" i="3"/>
  <c r="BN401" i="3"/>
  <c r="BO401" i="3"/>
  <c r="BP401" i="3"/>
  <c r="BQ401" i="3"/>
  <c r="BR401" i="3"/>
  <c r="BS401" i="3"/>
  <c r="BT401" i="3"/>
  <c r="BL401" i="3"/>
  <c r="AZ401" i="3"/>
  <c r="BD402" i="3"/>
  <c r="BE402" i="3"/>
  <c r="BF402" i="3"/>
  <c r="BG402" i="3"/>
  <c r="BH402" i="3"/>
  <c r="BI402" i="3"/>
  <c r="BJ402" i="3"/>
  <c r="BK402" i="3"/>
  <c r="BA402" i="3"/>
  <c r="BM402" i="3"/>
  <c r="BN402" i="3"/>
  <c r="BO402" i="3"/>
  <c r="BP402" i="3"/>
  <c r="BQ402" i="3"/>
  <c r="BR402" i="3"/>
  <c r="BS402" i="3"/>
  <c r="BT402" i="3"/>
  <c r="BL402" i="3"/>
  <c r="AZ402" i="3"/>
  <c r="BD403" i="3"/>
  <c r="BE403" i="3"/>
  <c r="BF403" i="3"/>
  <c r="BG403" i="3"/>
  <c r="BH403" i="3"/>
  <c r="BI403" i="3"/>
  <c r="BJ403" i="3"/>
  <c r="BK403" i="3"/>
  <c r="BA403" i="3"/>
  <c r="BM403" i="3"/>
  <c r="BN403" i="3"/>
  <c r="BO403" i="3"/>
  <c r="BP403" i="3"/>
  <c r="BQ403" i="3"/>
  <c r="BR403" i="3"/>
  <c r="BS403" i="3"/>
  <c r="BT403" i="3"/>
  <c r="BL403" i="3"/>
  <c r="AZ403" i="3"/>
  <c r="BD404" i="3"/>
  <c r="BE404" i="3"/>
  <c r="BF404" i="3"/>
  <c r="BG404" i="3"/>
  <c r="BH404" i="3"/>
  <c r="BI404" i="3"/>
  <c r="BJ404" i="3"/>
  <c r="BK404" i="3"/>
  <c r="BA404" i="3"/>
  <c r="BM404" i="3"/>
  <c r="BN404" i="3"/>
  <c r="BO404" i="3"/>
  <c r="BP404" i="3"/>
  <c r="BQ404" i="3"/>
  <c r="BR404" i="3"/>
  <c r="BS404" i="3"/>
  <c r="BT404" i="3"/>
  <c r="BL404" i="3"/>
  <c r="AZ404" i="3"/>
  <c r="BD405" i="3"/>
  <c r="BE405" i="3"/>
  <c r="BF405" i="3"/>
  <c r="BG405" i="3"/>
  <c r="BH405" i="3"/>
  <c r="BI405" i="3"/>
  <c r="BJ405" i="3"/>
  <c r="BK405" i="3"/>
  <c r="BA405" i="3"/>
  <c r="BM405" i="3"/>
  <c r="BN405" i="3"/>
  <c r="BO405" i="3"/>
  <c r="BP405" i="3"/>
  <c r="BQ405" i="3"/>
  <c r="BR405" i="3"/>
  <c r="BS405" i="3"/>
  <c r="BT405" i="3"/>
  <c r="BL405" i="3"/>
  <c r="AZ405" i="3"/>
  <c r="BD406" i="3"/>
  <c r="BE406" i="3"/>
  <c r="BF406" i="3"/>
  <c r="BG406" i="3"/>
  <c r="BH406" i="3"/>
  <c r="BI406" i="3"/>
  <c r="BJ406" i="3"/>
  <c r="BK406" i="3"/>
  <c r="BA406" i="3"/>
  <c r="BM406" i="3"/>
  <c r="BN406" i="3"/>
  <c r="BO406" i="3"/>
  <c r="BP406" i="3"/>
  <c r="BQ406" i="3"/>
  <c r="BR406" i="3"/>
  <c r="BS406" i="3"/>
  <c r="BT406" i="3"/>
  <c r="BL406" i="3"/>
  <c r="AZ406" i="3"/>
  <c r="BD407" i="3"/>
  <c r="BE407" i="3"/>
  <c r="BF407" i="3"/>
  <c r="BG407" i="3"/>
  <c r="BH407" i="3"/>
  <c r="BI407" i="3"/>
  <c r="BJ407" i="3"/>
  <c r="BK407" i="3"/>
  <c r="BA407" i="3"/>
  <c r="BM407" i="3"/>
  <c r="BN407" i="3"/>
  <c r="BO407" i="3"/>
  <c r="BP407" i="3"/>
  <c r="BQ407" i="3"/>
  <c r="BR407" i="3"/>
  <c r="BS407" i="3"/>
  <c r="BT407" i="3"/>
  <c r="BL407" i="3"/>
  <c r="AZ407" i="3"/>
  <c r="BD408" i="3"/>
  <c r="BE408" i="3"/>
  <c r="BF408" i="3"/>
  <c r="BG408" i="3"/>
  <c r="BH408" i="3"/>
  <c r="BI408" i="3"/>
  <c r="BJ408" i="3"/>
  <c r="BK408" i="3"/>
  <c r="BA408" i="3"/>
  <c r="BM408" i="3"/>
  <c r="BN408" i="3"/>
  <c r="BO408" i="3"/>
  <c r="BP408" i="3"/>
  <c r="BQ408" i="3"/>
  <c r="BR408" i="3"/>
  <c r="BS408" i="3"/>
  <c r="BT408" i="3"/>
  <c r="BL408" i="3"/>
  <c r="AZ408" i="3"/>
  <c r="BD409" i="3"/>
  <c r="BE409" i="3"/>
  <c r="BF409" i="3"/>
  <c r="BG409" i="3"/>
  <c r="BH409" i="3"/>
  <c r="BI409" i="3"/>
  <c r="BJ409" i="3"/>
  <c r="BK409" i="3"/>
  <c r="BA409" i="3"/>
  <c r="BM409" i="3"/>
  <c r="BN409" i="3"/>
  <c r="BO409" i="3"/>
  <c r="BP409" i="3"/>
  <c r="BQ409" i="3"/>
  <c r="BR409" i="3"/>
  <c r="BS409" i="3"/>
  <c r="BT409" i="3"/>
  <c r="BL409" i="3"/>
  <c r="AZ409" i="3"/>
  <c r="BD410" i="3"/>
  <c r="BE410" i="3"/>
  <c r="BF410" i="3"/>
  <c r="BG410" i="3"/>
  <c r="BH410" i="3"/>
  <c r="BI410" i="3"/>
  <c r="BJ410" i="3"/>
  <c r="BK410" i="3"/>
  <c r="BA410" i="3"/>
  <c r="BM410" i="3"/>
  <c r="BN410" i="3"/>
  <c r="BO410" i="3"/>
  <c r="BP410" i="3"/>
  <c r="BQ410" i="3"/>
  <c r="BR410" i="3"/>
  <c r="BS410" i="3"/>
  <c r="BT410" i="3"/>
  <c r="BL410" i="3"/>
  <c r="AZ410" i="3"/>
  <c r="BD411" i="3"/>
  <c r="BE411" i="3"/>
  <c r="BF411" i="3"/>
  <c r="BG411" i="3"/>
  <c r="BH411" i="3"/>
  <c r="BI411" i="3"/>
  <c r="BJ411" i="3"/>
  <c r="BK411" i="3"/>
  <c r="BA411" i="3"/>
  <c r="BM411" i="3"/>
  <c r="BN411" i="3"/>
  <c r="BO411" i="3"/>
  <c r="BP411" i="3"/>
  <c r="BQ411" i="3"/>
  <c r="BR411" i="3"/>
  <c r="BS411" i="3"/>
  <c r="BT411" i="3"/>
  <c r="BL411" i="3"/>
  <c r="AZ411" i="3"/>
  <c r="BD412" i="3"/>
  <c r="BE412" i="3"/>
  <c r="BF412" i="3"/>
  <c r="BG412" i="3"/>
  <c r="BH412" i="3"/>
  <c r="BI412" i="3"/>
  <c r="BJ412" i="3"/>
  <c r="BK412" i="3"/>
  <c r="BA412" i="3"/>
  <c r="BM412" i="3"/>
  <c r="BN412" i="3"/>
  <c r="BO412" i="3"/>
  <c r="BP412" i="3"/>
  <c r="BQ412" i="3"/>
  <c r="BR412" i="3"/>
  <c r="BS412" i="3"/>
  <c r="BT412" i="3"/>
  <c r="BL412" i="3"/>
  <c r="AZ412" i="3"/>
  <c r="BD413" i="3"/>
  <c r="BE413" i="3"/>
  <c r="BF413" i="3"/>
  <c r="BG413" i="3"/>
  <c r="BH413" i="3"/>
  <c r="BI413" i="3"/>
  <c r="BJ413" i="3"/>
  <c r="BK413" i="3"/>
  <c r="BA413" i="3"/>
  <c r="BM413" i="3"/>
  <c r="BN413" i="3"/>
  <c r="BO413" i="3"/>
  <c r="BP413" i="3"/>
  <c r="BQ413" i="3"/>
  <c r="BR413" i="3"/>
  <c r="BS413" i="3"/>
  <c r="BT413" i="3"/>
  <c r="BL413" i="3"/>
  <c r="AZ413" i="3"/>
  <c r="BD414" i="3"/>
  <c r="BE414" i="3"/>
  <c r="BF414" i="3"/>
  <c r="BG414" i="3"/>
  <c r="BH414" i="3"/>
  <c r="BI414" i="3"/>
  <c r="BJ414" i="3"/>
  <c r="BK414" i="3"/>
  <c r="BA414" i="3"/>
  <c r="BM414" i="3"/>
  <c r="BN414" i="3"/>
  <c r="BO414" i="3"/>
  <c r="BP414" i="3"/>
  <c r="BQ414" i="3"/>
  <c r="BR414" i="3"/>
  <c r="BS414" i="3"/>
  <c r="BT414" i="3"/>
  <c r="BL414" i="3"/>
  <c r="AZ414" i="3"/>
  <c r="BD415" i="3"/>
  <c r="BE415" i="3"/>
  <c r="BF415" i="3"/>
  <c r="BG415" i="3"/>
  <c r="BH415" i="3"/>
  <c r="BI415" i="3"/>
  <c r="BJ415" i="3"/>
  <c r="BK415" i="3"/>
  <c r="BA415" i="3"/>
  <c r="BM415" i="3"/>
  <c r="BN415" i="3"/>
  <c r="BO415" i="3"/>
  <c r="BP415" i="3"/>
  <c r="BQ415" i="3"/>
  <c r="BR415" i="3"/>
  <c r="BS415" i="3"/>
  <c r="BT415" i="3"/>
  <c r="BL415" i="3"/>
  <c r="AZ415" i="3"/>
  <c r="BD416" i="3"/>
  <c r="BE416" i="3"/>
  <c r="BF416" i="3"/>
  <c r="BG416" i="3"/>
  <c r="BH416" i="3"/>
  <c r="BI416" i="3"/>
  <c r="BJ416" i="3"/>
  <c r="BK416" i="3"/>
  <c r="BA416" i="3"/>
  <c r="BM416" i="3"/>
  <c r="BN416" i="3"/>
  <c r="BO416" i="3"/>
  <c r="BP416" i="3"/>
  <c r="BQ416" i="3"/>
  <c r="BR416" i="3"/>
  <c r="BS416" i="3"/>
  <c r="BT416" i="3"/>
  <c r="BL416" i="3"/>
  <c r="AZ416" i="3"/>
  <c r="BD417" i="3"/>
  <c r="BE417" i="3"/>
  <c r="BF417" i="3"/>
  <c r="BG417" i="3"/>
  <c r="BH417" i="3"/>
  <c r="BI417" i="3"/>
  <c r="BJ417" i="3"/>
  <c r="BK417" i="3"/>
  <c r="BA417" i="3"/>
  <c r="BM417" i="3"/>
  <c r="BN417" i="3"/>
  <c r="BO417" i="3"/>
  <c r="BP417" i="3"/>
  <c r="BQ417" i="3"/>
  <c r="BR417" i="3"/>
  <c r="BS417" i="3"/>
  <c r="BT417" i="3"/>
  <c r="BL417" i="3"/>
  <c r="AZ417" i="3"/>
  <c r="BD418" i="3"/>
  <c r="BE418" i="3"/>
  <c r="BF418" i="3"/>
  <c r="BG418" i="3"/>
  <c r="BH418" i="3"/>
  <c r="BI418" i="3"/>
  <c r="BJ418" i="3"/>
  <c r="BK418" i="3"/>
  <c r="BA418" i="3"/>
  <c r="BM418" i="3"/>
  <c r="BN418" i="3"/>
  <c r="BO418" i="3"/>
  <c r="BP418" i="3"/>
  <c r="BQ418" i="3"/>
  <c r="BR418" i="3"/>
  <c r="BS418" i="3"/>
  <c r="BT418" i="3"/>
  <c r="BL418" i="3"/>
  <c r="AZ418" i="3"/>
  <c r="BD419" i="3"/>
  <c r="BE419" i="3"/>
  <c r="BF419" i="3"/>
  <c r="BG419" i="3"/>
  <c r="BH419" i="3"/>
  <c r="BI419" i="3"/>
  <c r="BJ419" i="3"/>
  <c r="BK419" i="3"/>
  <c r="BA419" i="3"/>
  <c r="BM419" i="3"/>
  <c r="BN419" i="3"/>
  <c r="BO419" i="3"/>
  <c r="BP419" i="3"/>
  <c r="BQ419" i="3"/>
  <c r="BR419" i="3"/>
  <c r="BS419" i="3"/>
  <c r="BT419" i="3"/>
  <c r="BL419" i="3"/>
  <c r="AZ419" i="3"/>
  <c r="BD420" i="3"/>
  <c r="BE420" i="3"/>
  <c r="BF420" i="3"/>
  <c r="BG420" i="3"/>
  <c r="BH420" i="3"/>
  <c r="BI420" i="3"/>
  <c r="BJ420" i="3"/>
  <c r="BK420" i="3"/>
  <c r="BA420" i="3"/>
  <c r="BM420" i="3"/>
  <c r="BN420" i="3"/>
  <c r="BO420" i="3"/>
  <c r="BP420" i="3"/>
  <c r="BQ420" i="3"/>
  <c r="BR420" i="3"/>
  <c r="BS420" i="3"/>
  <c r="BT420" i="3"/>
  <c r="BL420" i="3"/>
  <c r="AZ420" i="3"/>
  <c r="BD421" i="3"/>
  <c r="BE421" i="3"/>
  <c r="BF421" i="3"/>
  <c r="BG421" i="3"/>
  <c r="BH421" i="3"/>
  <c r="BI421" i="3"/>
  <c r="BJ421" i="3"/>
  <c r="BK421" i="3"/>
  <c r="BA421" i="3"/>
  <c r="BM421" i="3"/>
  <c r="BN421" i="3"/>
  <c r="BO421" i="3"/>
  <c r="BP421" i="3"/>
  <c r="BQ421" i="3"/>
  <c r="BR421" i="3"/>
  <c r="BS421" i="3"/>
  <c r="BT421" i="3"/>
  <c r="BL421" i="3"/>
  <c r="AZ421" i="3"/>
  <c r="BD422" i="3"/>
  <c r="BE422" i="3"/>
  <c r="BF422" i="3"/>
  <c r="BG422" i="3"/>
  <c r="BH422" i="3"/>
  <c r="BI422" i="3"/>
  <c r="BJ422" i="3"/>
  <c r="BK422" i="3"/>
  <c r="BA422" i="3"/>
  <c r="BM422" i="3"/>
  <c r="BN422" i="3"/>
  <c r="BO422" i="3"/>
  <c r="BP422" i="3"/>
  <c r="BQ422" i="3"/>
  <c r="BR422" i="3"/>
  <c r="BS422" i="3"/>
  <c r="BT422" i="3"/>
  <c r="BL422" i="3"/>
  <c r="AZ422" i="3"/>
  <c r="BD423" i="3"/>
  <c r="BE423" i="3"/>
  <c r="BF423" i="3"/>
  <c r="BG423" i="3"/>
  <c r="BH423" i="3"/>
  <c r="BI423" i="3"/>
  <c r="BJ423" i="3"/>
  <c r="BK423" i="3"/>
  <c r="BA423" i="3"/>
  <c r="BM423" i="3"/>
  <c r="BN423" i="3"/>
  <c r="BO423" i="3"/>
  <c r="BP423" i="3"/>
  <c r="BQ423" i="3"/>
  <c r="BR423" i="3"/>
  <c r="BS423" i="3"/>
  <c r="BT423" i="3"/>
  <c r="BL423" i="3"/>
  <c r="AZ423" i="3"/>
  <c r="BD424" i="3"/>
  <c r="BE424" i="3"/>
  <c r="BF424" i="3"/>
  <c r="BG424" i="3"/>
  <c r="BH424" i="3"/>
  <c r="BI424" i="3"/>
  <c r="BJ424" i="3"/>
  <c r="BK424" i="3"/>
  <c r="BA424" i="3"/>
  <c r="BM424" i="3"/>
  <c r="BN424" i="3"/>
  <c r="BO424" i="3"/>
  <c r="BP424" i="3"/>
  <c r="BQ424" i="3"/>
  <c r="BR424" i="3"/>
  <c r="BS424" i="3"/>
  <c r="BT424" i="3"/>
  <c r="BL424" i="3"/>
  <c r="AZ424" i="3"/>
  <c r="BD425" i="3"/>
  <c r="BE425" i="3"/>
  <c r="BF425" i="3"/>
  <c r="BG425" i="3"/>
  <c r="BH425" i="3"/>
  <c r="BI425" i="3"/>
  <c r="BJ425" i="3"/>
  <c r="BK425" i="3"/>
  <c r="BA425" i="3"/>
  <c r="BM425" i="3"/>
  <c r="BN425" i="3"/>
  <c r="BO425" i="3"/>
  <c r="BP425" i="3"/>
  <c r="BQ425" i="3"/>
  <c r="BR425" i="3"/>
  <c r="BS425" i="3"/>
  <c r="BT425" i="3"/>
  <c r="BL425" i="3"/>
  <c r="AZ425" i="3"/>
  <c r="BD426" i="3"/>
  <c r="BE426" i="3"/>
  <c r="BF426" i="3"/>
  <c r="BG426" i="3"/>
  <c r="BH426" i="3"/>
  <c r="BI426" i="3"/>
  <c r="BJ426" i="3"/>
  <c r="BK426" i="3"/>
  <c r="BA426" i="3"/>
  <c r="BM426" i="3"/>
  <c r="BN426" i="3"/>
  <c r="BO426" i="3"/>
  <c r="BP426" i="3"/>
  <c r="BQ426" i="3"/>
  <c r="BR426" i="3"/>
  <c r="BS426" i="3"/>
  <c r="BT426" i="3"/>
  <c r="BL426" i="3"/>
  <c r="AZ426" i="3"/>
  <c r="BD427" i="3"/>
  <c r="BE427" i="3"/>
  <c r="BF427" i="3"/>
  <c r="BG427" i="3"/>
  <c r="BH427" i="3"/>
  <c r="BI427" i="3"/>
  <c r="BJ427" i="3"/>
  <c r="BK427" i="3"/>
  <c r="BA427" i="3"/>
  <c r="BM427" i="3"/>
  <c r="BN427" i="3"/>
  <c r="BO427" i="3"/>
  <c r="BP427" i="3"/>
  <c r="BQ427" i="3"/>
  <c r="BR427" i="3"/>
  <c r="BS427" i="3"/>
  <c r="BT427" i="3"/>
  <c r="BL427" i="3"/>
  <c r="AZ427" i="3"/>
  <c r="BD428" i="3"/>
  <c r="BE428" i="3"/>
  <c r="BF428" i="3"/>
  <c r="BG428" i="3"/>
  <c r="BH428" i="3"/>
  <c r="BI428" i="3"/>
  <c r="BJ428" i="3"/>
  <c r="BK428" i="3"/>
  <c r="BA428" i="3"/>
  <c r="BM428" i="3"/>
  <c r="BN428" i="3"/>
  <c r="BO428" i="3"/>
  <c r="BP428" i="3"/>
  <c r="BQ428" i="3"/>
  <c r="BR428" i="3"/>
  <c r="BS428" i="3"/>
  <c r="BT428" i="3"/>
  <c r="BL428" i="3"/>
  <c r="AZ428" i="3"/>
  <c r="BD429" i="3"/>
  <c r="BE429" i="3"/>
  <c r="BF429" i="3"/>
  <c r="BG429" i="3"/>
  <c r="BH429" i="3"/>
  <c r="BI429" i="3"/>
  <c r="BJ429" i="3"/>
  <c r="BK429" i="3"/>
  <c r="BA429" i="3"/>
  <c r="BM429" i="3"/>
  <c r="BN429" i="3"/>
  <c r="BO429" i="3"/>
  <c r="BP429" i="3"/>
  <c r="BQ429" i="3"/>
  <c r="BR429" i="3"/>
  <c r="BS429" i="3"/>
  <c r="BT429" i="3"/>
  <c r="BL429" i="3"/>
  <c r="AZ429" i="3"/>
  <c r="BD430" i="3"/>
  <c r="BE430" i="3"/>
  <c r="BF430" i="3"/>
  <c r="BG430" i="3"/>
  <c r="BH430" i="3"/>
  <c r="BI430" i="3"/>
  <c r="BJ430" i="3"/>
  <c r="BK430" i="3"/>
  <c r="BA430" i="3"/>
  <c r="BM430" i="3"/>
  <c r="BN430" i="3"/>
  <c r="BO430" i="3"/>
  <c r="BP430" i="3"/>
  <c r="BQ430" i="3"/>
  <c r="BR430" i="3"/>
  <c r="BS430" i="3"/>
  <c r="BT430" i="3"/>
  <c r="BL430" i="3"/>
  <c r="AZ430" i="3"/>
  <c r="BD431" i="3"/>
  <c r="BE431" i="3"/>
  <c r="BF431" i="3"/>
  <c r="BG431" i="3"/>
  <c r="BH431" i="3"/>
  <c r="BI431" i="3"/>
  <c r="BJ431" i="3"/>
  <c r="BK431" i="3"/>
  <c r="BA431" i="3"/>
  <c r="BM431" i="3"/>
  <c r="BN431" i="3"/>
  <c r="BO431" i="3"/>
  <c r="BP431" i="3"/>
  <c r="BQ431" i="3"/>
  <c r="BR431" i="3"/>
  <c r="BS431" i="3"/>
  <c r="BT431" i="3"/>
  <c r="BL431" i="3"/>
  <c r="AZ431" i="3"/>
  <c r="BD432" i="3"/>
  <c r="BE432" i="3"/>
  <c r="BF432" i="3"/>
  <c r="BG432" i="3"/>
  <c r="BH432" i="3"/>
  <c r="BI432" i="3"/>
  <c r="BJ432" i="3"/>
  <c r="BK432" i="3"/>
  <c r="BA432" i="3"/>
  <c r="BM432" i="3"/>
  <c r="BN432" i="3"/>
  <c r="BO432" i="3"/>
  <c r="BP432" i="3"/>
  <c r="BQ432" i="3"/>
  <c r="BR432" i="3"/>
  <c r="BS432" i="3"/>
  <c r="BT432" i="3"/>
  <c r="BL432" i="3"/>
  <c r="AZ432" i="3"/>
  <c r="BD433" i="3"/>
  <c r="BE433" i="3"/>
  <c r="BF433" i="3"/>
  <c r="BG433" i="3"/>
  <c r="BH433" i="3"/>
  <c r="BI433" i="3"/>
  <c r="BJ433" i="3"/>
  <c r="BK433" i="3"/>
  <c r="BA433" i="3"/>
  <c r="BM433" i="3"/>
  <c r="BN433" i="3"/>
  <c r="BO433" i="3"/>
  <c r="BP433" i="3"/>
  <c r="BQ433" i="3"/>
  <c r="BR433" i="3"/>
  <c r="BS433" i="3"/>
  <c r="BT433" i="3"/>
  <c r="BL433" i="3"/>
  <c r="AZ433" i="3"/>
  <c r="BD434" i="3"/>
  <c r="BE434" i="3"/>
  <c r="BF434" i="3"/>
  <c r="BG434" i="3"/>
  <c r="BH434" i="3"/>
  <c r="BI434" i="3"/>
  <c r="BJ434" i="3"/>
  <c r="BK434" i="3"/>
  <c r="BA434" i="3"/>
  <c r="BM434" i="3"/>
  <c r="BN434" i="3"/>
  <c r="BO434" i="3"/>
  <c r="BP434" i="3"/>
  <c r="BQ434" i="3"/>
  <c r="BR434" i="3"/>
  <c r="BS434" i="3"/>
  <c r="BT434" i="3"/>
  <c r="BL434" i="3"/>
  <c r="AZ434" i="3"/>
  <c r="BD435" i="3"/>
  <c r="BE435" i="3"/>
  <c r="BF435" i="3"/>
  <c r="BG435" i="3"/>
  <c r="BH435" i="3"/>
  <c r="BI435" i="3"/>
  <c r="BJ435" i="3"/>
  <c r="BK435" i="3"/>
  <c r="BA435" i="3"/>
  <c r="BM435" i="3"/>
  <c r="BN435" i="3"/>
  <c r="BO435" i="3"/>
  <c r="BP435" i="3"/>
  <c r="BQ435" i="3"/>
  <c r="BR435" i="3"/>
  <c r="BS435" i="3"/>
  <c r="BT435" i="3"/>
  <c r="BL435" i="3"/>
  <c r="AZ435" i="3"/>
  <c r="BD436" i="3"/>
  <c r="BE436" i="3"/>
  <c r="BF436" i="3"/>
  <c r="BG436" i="3"/>
  <c r="BH436" i="3"/>
  <c r="BI436" i="3"/>
  <c r="BJ436" i="3"/>
  <c r="BK436" i="3"/>
  <c r="BA436" i="3"/>
  <c r="BM436" i="3"/>
  <c r="BN436" i="3"/>
  <c r="BO436" i="3"/>
  <c r="BP436" i="3"/>
  <c r="BQ436" i="3"/>
  <c r="BR436" i="3"/>
  <c r="BS436" i="3"/>
  <c r="BT436" i="3"/>
  <c r="BL436" i="3"/>
  <c r="AZ436" i="3"/>
  <c r="BD437" i="3"/>
  <c r="BE437" i="3"/>
  <c r="BF437" i="3"/>
  <c r="BG437" i="3"/>
  <c r="BH437" i="3"/>
  <c r="BI437" i="3"/>
  <c r="BJ437" i="3"/>
  <c r="BK437" i="3"/>
  <c r="BA437" i="3"/>
  <c r="BM437" i="3"/>
  <c r="BN437" i="3"/>
  <c r="BO437" i="3"/>
  <c r="BP437" i="3"/>
  <c r="BQ437" i="3"/>
  <c r="BR437" i="3"/>
  <c r="BS437" i="3"/>
  <c r="BT437" i="3"/>
  <c r="BL437" i="3"/>
  <c r="AZ437" i="3"/>
  <c r="BD438" i="3"/>
  <c r="BE438" i="3"/>
  <c r="BF438" i="3"/>
  <c r="BG438" i="3"/>
  <c r="BH438" i="3"/>
  <c r="BI438" i="3"/>
  <c r="BJ438" i="3"/>
  <c r="BK438" i="3"/>
  <c r="BA438" i="3"/>
  <c r="BM438" i="3"/>
  <c r="BN438" i="3"/>
  <c r="BO438" i="3"/>
  <c r="BP438" i="3"/>
  <c r="BQ438" i="3"/>
  <c r="BR438" i="3"/>
  <c r="BS438" i="3"/>
  <c r="BT438" i="3"/>
  <c r="BL438" i="3"/>
  <c r="AZ438" i="3"/>
  <c r="BD439" i="3"/>
  <c r="BE439" i="3"/>
  <c r="BF439" i="3"/>
  <c r="BG439" i="3"/>
  <c r="BH439" i="3"/>
  <c r="BI439" i="3"/>
  <c r="BJ439" i="3"/>
  <c r="BK439" i="3"/>
  <c r="BA439" i="3"/>
  <c r="BM439" i="3"/>
  <c r="BN439" i="3"/>
  <c r="BO439" i="3"/>
  <c r="BP439" i="3"/>
  <c r="BQ439" i="3"/>
  <c r="BR439" i="3"/>
  <c r="BS439" i="3"/>
  <c r="BT439" i="3"/>
  <c r="BL439" i="3"/>
  <c r="AZ439" i="3"/>
  <c r="BD440" i="3"/>
  <c r="BE440" i="3"/>
  <c r="BF440" i="3"/>
  <c r="BG440" i="3"/>
  <c r="BH440" i="3"/>
  <c r="BI440" i="3"/>
  <c r="BJ440" i="3"/>
  <c r="BK440" i="3"/>
  <c r="BA440" i="3"/>
  <c r="BM440" i="3"/>
  <c r="BN440" i="3"/>
  <c r="BO440" i="3"/>
  <c r="BP440" i="3"/>
  <c r="BQ440" i="3"/>
  <c r="BR440" i="3"/>
  <c r="BS440" i="3"/>
  <c r="BT440" i="3"/>
  <c r="BL440" i="3"/>
  <c r="AZ440" i="3"/>
  <c r="BD441" i="3"/>
  <c r="BE441" i="3"/>
  <c r="BF441" i="3"/>
  <c r="BG441" i="3"/>
  <c r="BH441" i="3"/>
  <c r="BI441" i="3"/>
  <c r="BJ441" i="3"/>
  <c r="BK441" i="3"/>
  <c r="BA441" i="3"/>
  <c r="BM441" i="3"/>
  <c r="BN441" i="3"/>
  <c r="BO441" i="3"/>
  <c r="BP441" i="3"/>
  <c r="BQ441" i="3"/>
  <c r="BR441" i="3"/>
  <c r="BS441" i="3"/>
  <c r="BT441" i="3"/>
  <c r="BL441" i="3"/>
  <c r="AZ441" i="3"/>
  <c r="BD442" i="3"/>
  <c r="BE442" i="3"/>
  <c r="BF442" i="3"/>
  <c r="BG442" i="3"/>
  <c r="BH442" i="3"/>
  <c r="BI442" i="3"/>
  <c r="BJ442" i="3"/>
  <c r="BK442" i="3"/>
  <c r="BA442" i="3"/>
  <c r="BM442" i="3"/>
  <c r="BN442" i="3"/>
  <c r="BO442" i="3"/>
  <c r="BP442" i="3"/>
  <c r="BQ442" i="3"/>
  <c r="BR442" i="3"/>
  <c r="BS442" i="3"/>
  <c r="BT442" i="3"/>
  <c r="BL442" i="3"/>
  <c r="AZ442" i="3"/>
  <c r="BD443" i="3"/>
  <c r="BE443" i="3"/>
  <c r="BF443" i="3"/>
  <c r="BG443" i="3"/>
  <c r="BH443" i="3"/>
  <c r="BI443" i="3"/>
  <c r="BJ443" i="3"/>
  <c r="BK443" i="3"/>
  <c r="BA443" i="3"/>
  <c r="BM443" i="3"/>
  <c r="BN443" i="3"/>
  <c r="BO443" i="3"/>
  <c r="BP443" i="3"/>
  <c r="BQ443" i="3"/>
  <c r="BR443" i="3"/>
  <c r="BS443" i="3"/>
  <c r="BT443" i="3"/>
  <c r="BL443" i="3"/>
  <c r="AZ443" i="3"/>
  <c r="BD444" i="3"/>
  <c r="BE444" i="3"/>
  <c r="BF444" i="3"/>
  <c r="BG444" i="3"/>
  <c r="BH444" i="3"/>
  <c r="BI444" i="3"/>
  <c r="BJ444" i="3"/>
  <c r="BK444" i="3"/>
  <c r="BA444" i="3"/>
  <c r="BM444" i="3"/>
  <c r="BN444" i="3"/>
  <c r="BO444" i="3"/>
  <c r="BP444" i="3"/>
  <c r="BQ444" i="3"/>
  <c r="BR444" i="3"/>
  <c r="BS444" i="3"/>
  <c r="BT444" i="3"/>
  <c r="BL444" i="3"/>
  <c r="AZ444" i="3"/>
  <c r="BD445" i="3"/>
  <c r="BE445" i="3"/>
  <c r="BF445" i="3"/>
  <c r="BG445" i="3"/>
  <c r="BH445" i="3"/>
  <c r="BI445" i="3"/>
  <c r="BJ445" i="3"/>
  <c r="BK445" i="3"/>
  <c r="BA445" i="3"/>
  <c r="BM445" i="3"/>
  <c r="BN445" i="3"/>
  <c r="BO445" i="3"/>
  <c r="BP445" i="3"/>
  <c r="BQ445" i="3"/>
  <c r="BR445" i="3"/>
  <c r="BS445" i="3"/>
  <c r="BT445" i="3"/>
  <c r="BL445" i="3"/>
  <c r="AZ445" i="3"/>
  <c r="BD446" i="3"/>
  <c r="BE446" i="3"/>
  <c r="BF446" i="3"/>
  <c r="BG446" i="3"/>
  <c r="BH446" i="3"/>
  <c r="BI446" i="3"/>
  <c r="BJ446" i="3"/>
  <c r="BK446" i="3"/>
  <c r="BA446" i="3"/>
  <c r="BM446" i="3"/>
  <c r="BN446" i="3"/>
  <c r="BO446" i="3"/>
  <c r="BP446" i="3"/>
  <c r="BQ446" i="3"/>
  <c r="BR446" i="3"/>
  <c r="BS446" i="3"/>
  <c r="BT446" i="3"/>
  <c r="BL446" i="3"/>
  <c r="AZ446" i="3"/>
  <c r="BD447" i="3"/>
  <c r="BE447" i="3"/>
  <c r="BF447" i="3"/>
  <c r="BG447" i="3"/>
  <c r="BH447" i="3"/>
  <c r="BI447" i="3"/>
  <c r="BJ447" i="3"/>
  <c r="BK447" i="3"/>
  <c r="BA447" i="3"/>
  <c r="BM447" i="3"/>
  <c r="BN447" i="3"/>
  <c r="BO447" i="3"/>
  <c r="BP447" i="3"/>
  <c r="BQ447" i="3"/>
  <c r="BR447" i="3"/>
  <c r="BS447" i="3"/>
  <c r="BT447" i="3"/>
  <c r="BL447" i="3"/>
  <c r="AZ447" i="3"/>
  <c r="BD448" i="3"/>
  <c r="BE448" i="3"/>
  <c r="BF448" i="3"/>
  <c r="BG448" i="3"/>
  <c r="BH448" i="3"/>
  <c r="BI448" i="3"/>
  <c r="BJ448" i="3"/>
  <c r="BK448" i="3"/>
  <c r="BA448" i="3"/>
  <c r="BM448" i="3"/>
  <c r="BN448" i="3"/>
  <c r="BO448" i="3"/>
  <c r="BP448" i="3"/>
  <c r="BQ448" i="3"/>
  <c r="BR448" i="3"/>
  <c r="BS448" i="3"/>
  <c r="BT448" i="3"/>
  <c r="BL448" i="3"/>
  <c r="AZ448" i="3"/>
  <c r="BD449" i="3"/>
  <c r="BE449" i="3"/>
  <c r="BF449" i="3"/>
  <c r="BG449" i="3"/>
  <c r="BH449" i="3"/>
  <c r="BI449" i="3"/>
  <c r="BJ449" i="3"/>
  <c r="BK449" i="3"/>
  <c r="BA449" i="3"/>
  <c r="BM449" i="3"/>
  <c r="BN449" i="3"/>
  <c r="BO449" i="3"/>
  <c r="BP449" i="3"/>
  <c r="BQ449" i="3"/>
  <c r="BR449" i="3"/>
  <c r="BS449" i="3"/>
  <c r="BT449" i="3"/>
  <c r="BL449" i="3"/>
  <c r="AZ449" i="3"/>
  <c r="BD450" i="3"/>
  <c r="BE450" i="3"/>
  <c r="BF450" i="3"/>
  <c r="BG450" i="3"/>
  <c r="BH450" i="3"/>
  <c r="BI450" i="3"/>
  <c r="BJ450" i="3"/>
  <c r="BK450" i="3"/>
  <c r="BA450" i="3"/>
  <c r="BM450" i="3"/>
  <c r="BN450" i="3"/>
  <c r="BO450" i="3"/>
  <c r="BP450" i="3"/>
  <c r="BQ450" i="3"/>
  <c r="BR450" i="3"/>
  <c r="BS450" i="3"/>
  <c r="BT450" i="3"/>
  <c r="BL450" i="3"/>
  <c r="AZ450" i="3"/>
  <c r="BD451" i="3"/>
  <c r="BE451" i="3"/>
  <c r="BF451" i="3"/>
  <c r="BG451" i="3"/>
  <c r="BH451" i="3"/>
  <c r="BI451" i="3"/>
  <c r="BJ451" i="3"/>
  <c r="BK451" i="3"/>
  <c r="BA451" i="3"/>
  <c r="BM451" i="3"/>
  <c r="BN451" i="3"/>
  <c r="BO451" i="3"/>
  <c r="BP451" i="3"/>
  <c r="BQ451" i="3"/>
  <c r="BR451" i="3"/>
  <c r="BS451" i="3"/>
  <c r="BT451" i="3"/>
  <c r="BL451" i="3"/>
  <c r="AZ451" i="3"/>
  <c r="BD452" i="3"/>
  <c r="BE452" i="3"/>
  <c r="BF452" i="3"/>
  <c r="BG452" i="3"/>
  <c r="BH452" i="3"/>
  <c r="BI452" i="3"/>
  <c r="BJ452" i="3"/>
  <c r="BK452" i="3"/>
  <c r="BA452" i="3"/>
  <c r="BM452" i="3"/>
  <c r="BN452" i="3"/>
  <c r="BO452" i="3"/>
  <c r="BP452" i="3"/>
  <c r="BQ452" i="3"/>
  <c r="BR452" i="3"/>
  <c r="BS452" i="3"/>
  <c r="BT452" i="3"/>
  <c r="BL452" i="3"/>
  <c r="AZ452" i="3"/>
  <c r="BD453" i="3"/>
  <c r="BE453" i="3"/>
  <c r="BF453" i="3"/>
  <c r="BG453" i="3"/>
  <c r="BH453" i="3"/>
  <c r="BI453" i="3"/>
  <c r="BJ453" i="3"/>
  <c r="BK453" i="3"/>
  <c r="BA453" i="3"/>
  <c r="BM453" i="3"/>
  <c r="BN453" i="3"/>
  <c r="BO453" i="3"/>
  <c r="BP453" i="3"/>
  <c r="BQ453" i="3"/>
  <c r="BR453" i="3"/>
  <c r="BS453" i="3"/>
  <c r="BT453" i="3"/>
  <c r="BL453" i="3"/>
  <c r="AZ453" i="3"/>
  <c r="BD454" i="3"/>
  <c r="BE454" i="3"/>
  <c r="BF454" i="3"/>
  <c r="BG454" i="3"/>
  <c r="BH454" i="3"/>
  <c r="BI454" i="3"/>
  <c r="BJ454" i="3"/>
  <c r="BK454" i="3"/>
  <c r="BA454" i="3"/>
  <c r="BM454" i="3"/>
  <c r="BN454" i="3"/>
  <c r="BO454" i="3"/>
  <c r="BP454" i="3"/>
  <c r="BQ454" i="3"/>
  <c r="BR454" i="3"/>
  <c r="BS454" i="3"/>
  <c r="BT454" i="3"/>
  <c r="BL454" i="3"/>
  <c r="AZ454" i="3"/>
  <c r="BD455" i="3"/>
  <c r="BE455" i="3"/>
  <c r="BF455" i="3"/>
  <c r="BG455" i="3"/>
  <c r="BH455" i="3"/>
  <c r="BI455" i="3"/>
  <c r="BJ455" i="3"/>
  <c r="BK455" i="3"/>
  <c r="BA455" i="3"/>
  <c r="BM455" i="3"/>
  <c r="BN455" i="3"/>
  <c r="BO455" i="3"/>
  <c r="BP455" i="3"/>
  <c r="BQ455" i="3"/>
  <c r="BR455" i="3"/>
  <c r="BS455" i="3"/>
  <c r="BT455" i="3"/>
  <c r="BL455" i="3"/>
  <c r="AZ455" i="3"/>
  <c r="BD456" i="3"/>
  <c r="BE456" i="3"/>
  <c r="BF456" i="3"/>
  <c r="BG456" i="3"/>
  <c r="BH456" i="3"/>
  <c r="BI456" i="3"/>
  <c r="BJ456" i="3"/>
  <c r="BK456" i="3"/>
  <c r="BA456" i="3"/>
  <c r="BM456" i="3"/>
  <c r="BN456" i="3"/>
  <c r="BO456" i="3"/>
  <c r="BP456" i="3"/>
  <c r="BQ456" i="3"/>
  <c r="BR456" i="3"/>
  <c r="BS456" i="3"/>
  <c r="BT456" i="3"/>
  <c r="BL456" i="3"/>
  <c r="AZ456" i="3"/>
  <c r="BD457" i="3"/>
  <c r="BE457" i="3"/>
  <c r="BF457" i="3"/>
  <c r="BG457" i="3"/>
  <c r="BH457" i="3"/>
  <c r="BI457" i="3"/>
  <c r="BJ457" i="3"/>
  <c r="BK457" i="3"/>
  <c r="BA457" i="3"/>
  <c r="BM457" i="3"/>
  <c r="BN457" i="3"/>
  <c r="BO457" i="3"/>
  <c r="BP457" i="3"/>
  <c r="BQ457" i="3"/>
  <c r="BR457" i="3"/>
  <c r="BS457" i="3"/>
  <c r="BT457" i="3"/>
  <c r="BL457" i="3"/>
  <c r="AZ457" i="3"/>
  <c r="BD458" i="3"/>
  <c r="BE458" i="3"/>
  <c r="BF458" i="3"/>
  <c r="BG458" i="3"/>
  <c r="BH458" i="3"/>
  <c r="BI458" i="3"/>
  <c r="BJ458" i="3"/>
  <c r="BK458" i="3"/>
  <c r="BA458" i="3"/>
  <c r="BM458" i="3"/>
  <c r="BN458" i="3"/>
  <c r="BO458" i="3"/>
  <c r="BP458" i="3"/>
  <c r="BQ458" i="3"/>
  <c r="BR458" i="3"/>
  <c r="BS458" i="3"/>
  <c r="BT458" i="3"/>
  <c r="BL458" i="3"/>
  <c r="AZ458" i="3"/>
  <c r="BD459" i="3"/>
  <c r="BE459" i="3"/>
  <c r="BF459" i="3"/>
  <c r="BG459" i="3"/>
  <c r="BH459" i="3"/>
  <c r="BI459" i="3"/>
  <c r="BJ459" i="3"/>
  <c r="BK459" i="3"/>
  <c r="BA459" i="3"/>
  <c r="BM459" i="3"/>
  <c r="BN459" i="3"/>
  <c r="BO459" i="3"/>
  <c r="BP459" i="3"/>
  <c r="BQ459" i="3"/>
  <c r="BR459" i="3"/>
  <c r="BS459" i="3"/>
  <c r="BT459" i="3"/>
  <c r="BL459" i="3"/>
  <c r="AZ459" i="3"/>
  <c r="BD460" i="3"/>
  <c r="BE460" i="3"/>
  <c r="BF460" i="3"/>
  <c r="BG460" i="3"/>
  <c r="BH460" i="3"/>
  <c r="BI460" i="3"/>
  <c r="BJ460" i="3"/>
  <c r="BK460" i="3"/>
  <c r="BA460" i="3"/>
  <c r="BM460" i="3"/>
  <c r="BN460" i="3"/>
  <c r="BO460" i="3"/>
  <c r="BP460" i="3"/>
  <c r="BQ460" i="3"/>
  <c r="BR460" i="3"/>
  <c r="BS460" i="3"/>
  <c r="BT460" i="3"/>
  <c r="BL460" i="3"/>
  <c r="AZ460" i="3"/>
  <c r="BD461" i="3"/>
  <c r="BE461" i="3"/>
  <c r="BF461" i="3"/>
  <c r="BG461" i="3"/>
  <c r="BH461" i="3"/>
  <c r="BI461" i="3"/>
  <c r="BJ461" i="3"/>
  <c r="BK461" i="3"/>
  <c r="BA461" i="3"/>
  <c r="BM461" i="3"/>
  <c r="BN461" i="3"/>
  <c r="BO461" i="3"/>
  <c r="BP461" i="3"/>
  <c r="BQ461" i="3"/>
  <c r="BR461" i="3"/>
  <c r="BS461" i="3"/>
  <c r="BT461" i="3"/>
  <c r="BL461" i="3"/>
  <c r="AZ461" i="3"/>
  <c r="BD462" i="3"/>
  <c r="BE462" i="3"/>
  <c r="BF462" i="3"/>
  <c r="BG462" i="3"/>
  <c r="BH462" i="3"/>
  <c r="BI462" i="3"/>
  <c r="BJ462" i="3"/>
  <c r="BK462" i="3"/>
  <c r="BA462" i="3"/>
  <c r="BM462" i="3"/>
  <c r="BN462" i="3"/>
  <c r="BO462" i="3"/>
  <c r="BP462" i="3"/>
  <c r="BQ462" i="3"/>
  <c r="BR462" i="3"/>
  <c r="BS462" i="3"/>
  <c r="BT462" i="3"/>
  <c r="BL462" i="3"/>
  <c r="AZ462" i="3"/>
  <c r="BD463" i="3"/>
  <c r="BE463" i="3"/>
  <c r="BF463" i="3"/>
  <c r="BG463" i="3"/>
  <c r="BH463" i="3"/>
  <c r="BI463" i="3"/>
  <c r="BJ463" i="3"/>
  <c r="BK463" i="3"/>
  <c r="BA463" i="3"/>
  <c r="BM463" i="3"/>
  <c r="BN463" i="3"/>
  <c r="BO463" i="3"/>
  <c r="BP463" i="3"/>
  <c r="BQ463" i="3"/>
  <c r="BR463" i="3"/>
  <c r="BS463" i="3"/>
  <c r="BT463" i="3"/>
  <c r="BL463" i="3"/>
  <c r="AZ463" i="3"/>
  <c r="BD464" i="3"/>
  <c r="BE464" i="3"/>
  <c r="BF464" i="3"/>
  <c r="BG464" i="3"/>
  <c r="BH464" i="3"/>
  <c r="BI464" i="3"/>
  <c r="BJ464" i="3"/>
  <c r="BK464" i="3"/>
  <c r="BA464" i="3"/>
  <c r="BM464" i="3"/>
  <c r="BN464" i="3"/>
  <c r="BO464" i="3"/>
  <c r="BP464" i="3"/>
  <c r="BQ464" i="3"/>
  <c r="BR464" i="3"/>
  <c r="BS464" i="3"/>
  <c r="BT464" i="3"/>
  <c r="BL464" i="3"/>
  <c r="AZ464" i="3"/>
  <c r="BD465" i="3"/>
  <c r="BE465" i="3"/>
  <c r="BF465" i="3"/>
  <c r="BG465" i="3"/>
  <c r="BH465" i="3"/>
  <c r="BI465" i="3"/>
  <c r="BJ465" i="3"/>
  <c r="BK465" i="3"/>
  <c r="BA465" i="3"/>
  <c r="BM465" i="3"/>
  <c r="BN465" i="3"/>
  <c r="BO465" i="3"/>
  <c r="BP465" i="3"/>
  <c r="BQ465" i="3"/>
  <c r="BR465" i="3"/>
  <c r="BS465" i="3"/>
  <c r="BT465" i="3"/>
  <c r="BL465" i="3"/>
  <c r="AZ465" i="3"/>
  <c r="BD466" i="3"/>
  <c r="BE466" i="3"/>
  <c r="BF466" i="3"/>
  <c r="BG466" i="3"/>
  <c r="BH466" i="3"/>
  <c r="BI466" i="3"/>
  <c r="BJ466" i="3"/>
  <c r="BK466" i="3"/>
  <c r="BA466" i="3"/>
  <c r="BM466" i="3"/>
  <c r="BN466" i="3"/>
  <c r="BO466" i="3"/>
  <c r="BP466" i="3"/>
  <c r="BQ466" i="3"/>
  <c r="BR466" i="3"/>
  <c r="BS466" i="3"/>
  <c r="BT466" i="3"/>
  <c r="BL466" i="3"/>
  <c r="AZ466" i="3"/>
  <c r="BD467" i="3"/>
  <c r="BE467" i="3"/>
  <c r="BF467" i="3"/>
  <c r="BG467" i="3"/>
  <c r="BH467" i="3"/>
  <c r="BI467" i="3"/>
  <c r="BJ467" i="3"/>
  <c r="BK467" i="3"/>
  <c r="BA467" i="3"/>
  <c r="BM467" i="3"/>
  <c r="BN467" i="3"/>
  <c r="BO467" i="3"/>
  <c r="BP467" i="3"/>
  <c r="BQ467" i="3"/>
  <c r="BR467" i="3"/>
  <c r="BS467" i="3"/>
  <c r="BT467" i="3"/>
  <c r="BL467" i="3"/>
  <c r="AZ467" i="3"/>
  <c r="BD468" i="3"/>
  <c r="BE468" i="3"/>
  <c r="BF468" i="3"/>
  <c r="BG468" i="3"/>
  <c r="BH468" i="3"/>
  <c r="BI468" i="3"/>
  <c r="BJ468" i="3"/>
  <c r="BK468" i="3"/>
  <c r="BA468" i="3"/>
  <c r="BM468" i="3"/>
  <c r="BN468" i="3"/>
  <c r="BO468" i="3"/>
  <c r="BP468" i="3"/>
  <c r="BQ468" i="3"/>
  <c r="BR468" i="3"/>
  <c r="BS468" i="3"/>
  <c r="BT468" i="3"/>
  <c r="BL468" i="3"/>
  <c r="AZ468" i="3"/>
  <c r="BD469" i="3"/>
  <c r="BE469" i="3"/>
  <c r="BF469" i="3"/>
  <c r="BG469" i="3"/>
  <c r="BH469" i="3"/>
  <c r="BI469" i="3"/>
  <c r="BJ469" i="3"/>
  <c r="BK469" i="3"/>
  <c r="BA469" i="3"/>
  <c r="BM469" i="3"/>
  <c r="BN469" i="3"/>
  <c r="BO469" i="3"/>
  <c r="BP469" i="3"/>
  <c r="BQ469" i="3"/>
  <c r="BR469" i="3"/>
  <c r="BS469" i="3"/>
  <c r="BT469" i="3"/>
  <c r="BL469" i="3"/>
  <c r="AZ469" i="3"/>
  <c r="BD470" i="3"/>
  <c r="BE470" i="3"/>
  <c r="BF470" i="3"/>
  <c r="BG470" i="3"/>
  <c r="BH470" i="3"/>
  <c r="BI470" i="3"/>
  <c r="BJ470" i="3"/>
  <c r="BK470" i="3"/>
  <c r="BA470" i="3"/>
  <c r="BM470" i="3"/>
  <c r="BN470" i="3"/>
  <c r="BO470" i="3"/>
  <c r="BP470" i="3"/>
  <c r="BQ470" i="3"/>
  <c r="BR470" i="3"/>
  <c r="BS470" i="3"/>
  <c r="BT470" i="3"/>
  <c r="BL470" i="3"/>
  <c r="AZ470" i="3"/>
  <c r="BD471" i="3"/>
  <c r="BE471" i="3"/>
  <c r="BF471" i="3"/>
  <c r="BG471" i="3"/>
  <c r="BH471" i="3"/>
  <c r="BI471" i="3"/>
  <c r="BJ471" i="3"/>
  <c r="BK471" i="3"/>
  <c r="BA471" i="3"/>
  <c r="BM471" i="3"/>
  <c r="BN471" i="3"/>
  <c r="BO471" i="3"/>
  <c r="BP471" i="3"/>
  <c r="BQ471" i="3"/>
  <c r="BR471" i="3"/>
  <c r="BS471" i="3"/>
  <c r="BT471" i="3"/>
  <c r="BL471" i="3"/>
  <c r="AZ471" i="3"/>
  <c r="BD472" i="3"/>
  <c r="BE472" i="3"/>
  <c r="BF472" i="3"/>
  <c r="BG472" i="3"/>
  <c r="BH472" i="3"/>
  <c r="BI472" i="3"/>
  <c r="BJ472" i="3"/>
  <c r="BK472" i="3"/>
  <c r="BA472" i="3"/>
  <c r="BM472" i="3"/>
  <c r="BN472" i="3"/>
  <c r="BO472" i="3"/>
  <c r="BP472" i="3"/>
  <c r="BQ472" i="3"/>
  <c r="BR472" i="3"/>
  <c r="BS472" i="3"/>
  <c r="BT472" i="3"/>
  <c r="BL472" i="3"/>
  <c r="AZ472" i="3"/>
  <c r="BD473" i="3"/>
  <c r="BE473" i="3"/>
  <c r="BF473" i="3"/>
  <c r="BG473" i="3"/>
  <c r="BH473" i="3"/>
  <c r="BI473" i="3"/>
  <c r="BJ473" i="3"/>
  <c r="BK473" i="3"/>
  <c r="BA473" i="3"/>
  <c r="BM473" i="3"/>
  <c r="BN473" i="3"/>
  <c r="BO473" i="3"/>
  <c r="BP473" i="3"/>
  <c r="BQ473" i="3"/>
  <c r="BR473" i="3"/>
  <c r="BS473" i="3"/>
  <c r="BT473" i="3"/>
  <c r="BL473" i="3"/>
  <c r="AZ473" i="3"/>
  <c r="BD474" i="3"/>
  <c r="BE474" i="3"/>
  <c r="BF474" i="3"/>
  <c r="BG474" i="3"/>
  <c r="BH474" i="3"/>
  <c r="BI474" i="3"/>
  <c r="BJ474" i="3"/>
  <c r="BK474" i="3"/>
  <c r="BA474" i="3"/>
  <c r="BM474" i="3"/>
  <c r="BN474" i="3"/>
  <c r="BO474" i="3"/>
  <c r="BP474" i="3"/>
  <c r="BQ474" i="3"/>
  <c r="BR474" i="3"/>
  <c r="BS474" i="3"/>
  <c r="BT474" i="3"/>
  <c r="BL474" i="3"/>
  <c r="AZ474" i="3"/>
  <c r="BD475" i="3"/>
  <c r="BE475" i="3"/>
  <c r="BF475" i="3"/>
  <c r="BG475" i="3"/>
  <c r="BH475" i="3"/>
  <c r="BI475" i="3"/>
  <c r="BJ475" i="3"/>
  <c r="BK475" i="3"/>
  <c r="BA475" i="3"/>
  <c r="BM475" i="3"/>
  <c r="BN475" i="3"/>
  <c r="BO475" i="3"/>
  <c r="BP475" i="3"/>
  <c r="BQ475" i="3"/>
  <c r="BR475" i="3"/>
  <c r="BS475" i="3"/>
  <c r="BT475" i="3"/>
  <c r="BL475" i="3"/>
  <c r="AZ475" i="3"/>
  <c r="BD476" i="3"/>
  <c r="BE476" i="3"/>
  <c r="BF476" i="3"/>
  <c r="BG476" i="3"/>
  <c r="BH476" i="3"/>
  <c r="BI476" i="3"/>
  <c r="BJ476" i="3"/>
  <c r="BK476" i="3"/>
  <c r="BA476" i="3"/>
  <c r="BM476" i="3"/>
  <c r="BN476" i="3"/>
  <c r="BO476" i="3"/>
  <c r="BP476" i="3"/>
  <c r="BQ476" i="3"/>
  <c r="BR476" i="3"/>
  <c r="BS476" i="3"/>
  <c r="BT476" i="3"/>
  <c r="BL476" i="3"/>
  <c r="AZ476" i="3"/>
  <c r="BD477" i="3"/>
  <c r="BE477" i="3"/>
  <c r="BF477" i="3"/>
  <c r="BG477" i="3"/>
  <c r="BH477" i="3"/>
  <c r="BI477" i="3"/>
  <c r="BJ477" i="3"/>
  <c r="BK477" i="3"/>
  <c r="BA477" i="3"/>
  <c r="BM477" i="3"/>
  <c r="BN477" i="3"/>
  <c r="BO477" i="3"/>
  <c r="BP477" i="3"/>
  <c r="BQ477" i="3"/>
  <c r="BR477" i="3"/>
  <c r="BS477" i="3"/>
  <c r="BT477" i="3"/>
  <c r="BL477" i="3"/>
  <c r="AZ477" i="3"/>
  <c r="BD478" i="3"/>
  <c r="BE478" i="3"/>
  <c r="BF478" i="3"/>
  <c r="BG478" i="3"/>
  <c r="BH478" i="3"/>
  <c r="BI478" i="3"/>
  <c r="BJ478" i="3"/>
  <c r="BK478" i="3"/>
  <c r="BA478" i="3"/>
  <c r="BM478" i="3"/>
  <c r="BN478" i="3"/>
  <c r="BO478" i="3"/>
  <c r="BP478" i="3"/>
  <c r="BQ478" i="3"/>
  <c r="BR478" i="3"/>
  <c r="BS478" i="3"/>
  <c r="BT478" i="3"/>
  <c r="BL478" i="3"/>
  <c r="AZ478" i="3"/>
  <c r="BD479" i="3"/>
  <c r="BE479" i="3"/>
  <c r="BF479" i="3"/>
  <c r="BG479" i="3"/>
  <c r="BH479" i="3"/>
  <c r="BI479" i="3"/>
  <c r="BJ479" i="3"/>
  <c r="BK479" i="3"/>
  <c r="BA479" i="3"/>
  <c r="BM479" i="3"/>
  <c r="BN479" i="3"/>
  <c r="BO479" i="3"/>
  <c r="BP479" i="3"/>
  <c r="BQ479" i="3"/>
  <c r="BR479" i="3"/>
  <c r="BS479" i="3"/>
  <c r="BT479" i="3"/>
  <c r="BL479" i="3"/>
  <c r="AZ479" i="3"/>
  <c r="BD480" i="3"/>
  <c r="BE480" i="3"/>
  <c r="BF480" i="3"/>
  <c r="BG480" i="3"/>
  <c r="BH480" i="3"/>
  <c r="BI480" i="3"/>
  <c r="BJ480" i="3"/>
  <c r="BK480" i="3"/>
  <c r="BA480" i="3"/>
  <c r="BM480" i="3"/>
  <c r="BN480" i="3"/>
  <c r="BO480" i="3"/>
  <c r="BP480" i="3"/>
  <c r="BQ480" i="3"/>
  <c r="BR480" i="3"/>
  <c r="BS480" i="3"/>
  <c r="BT480" i="3"/>
  <c r="BL480" i="3"/>
  <c r="AZ480" i="3"/>
  <c r="BD481" i="3"/>
  <c r="BE481" i="3"/>
  <c r="BF481" i="3"/>
  <c r="BG481" i="3"/>
  <c r="BH481" i="3"/>
  <c r="BI481" i="3"/>
  <c r="BJ481" i="3"/>
  <c r="BK481" i="3"/>
  <c r="BA481" i="3"/>
  <c r="BM481" i="3"/>
  <c r="BN481" i="3"/>
  <c r="BO481" i="3"/>
  <c r="BP481" i="3"/>
  <c r="BQ481" i="3"/>
  <c r="BR481" i="3"/>
  <c r="BS481" i="3"/>
  <c r="BT481" i="3"/>
  <c r="BL481" i="3"/>
  <c r="AZ481" i="3"/>
  <c r="BD482" i="3"/>
  <c r="BE482" i="3"/>
  <c r="BF482" i="3"/>
  <c r="BG482" i="3"/>
  <c r="BH482" i="3"/>
  <c r="BI482" i="3"/>
  <c r="BJ482" i="3"/>
  <c r="BK482" i="3"/>
  <c r="BA482" i="3"/>
  <c r="BM482" i="3"/>
  <c r="BN482" i="3"/>
  <c r="BO482" i="3"/>
  <c r="BP482" i="3"/>
  <c r="BQ482" i="3"/>
  <c r="BR482" i="3"/>
  <c r="BS482" i="3"/>
  <c r="BT482" i="3"/>
  <c r="BL482" i="3"/>
  <c r="AZ482" i="3"/>
  <c r="BD483" i="3"/>
  <c r="BE483" i="3"/>
  <c r="BF483" i="3"/>
  <c r="BG483" i="3"/>
  <c r="BH483" i="3"/>
  <c r="BI483" i="3"/>
  <c r="BJ483" i="3"/>
  <c r="BK483" i="3"/>
  <c r="BA483" i="3"/>
  <c r="BM483" i="3"/>
  <c r="BN483" i="3"/>
  <c r="BO483" i="3"/>
  <c r="BP483" i="3"/>
  <c r="BQ483" i="3"/>
  <c r="BR483" i="3"/>
  <c r="BS483" i="3"/>
  <c r="BT483" i="3"/>
  <c r="BL483" i="3"/>
  <c r="AZ483" i="3"/>
  <c r="BD484" i="3"/>
  <c r="BE484" i="3"/>
  <c r="BF484" i="3"/>
  <c r="BG484" i="3"/>
  <c r="BH484" i="3"/>
  <c r="BI484" i="3"/>
  <c r="BJ484" i="3"/>
  <c r="BK484" i="3"/>
  <c r="BA484" i="3"/>
  <c r="BM484" i="3"/>
  <c r="BN484" i="3"/>
  <c r="BO484" i="3"/>
  <c r="BP484" i="3"/>
  <c r="BQ484" i="3"/>
  <c r="BR484" i="3"/>
  <c r="BS484" i="3"/>
  <c r="BT484" i="3"/>
  <c r="BL484" i="3"/>
  <c r="AZ484" i="3"/>
  <c r="BD485" i="3"/>
  <c r="BE485" i="3"/>
  <c r="BF485" i="3"/>
  <c r="BG485" i="3"/>
  <c r="BH485" i="3"/>
  <c r="BI485" i="3"/>
  <c r="BJ485" i="3"/>
  <c r="BK485" i="3"/>
  <c r="BA485" i="3"/>
  <c r="BM485" i="3"/>
  <c r="BN485" i="3"/>
  <c r="BO485" i="3"/>
  <c r="BP485" i="3"/>
  <c r="BQ485" i="3"/>
  <c r="BR485" i="3"/>
  <c r="BS485" i="3"/>
  <c r="BT485" i="3"/>
  <c r="BL485" i="3"/>
  <c r="AZ485" i="3"/>
  <c r="BD486" i="3"/>
  <c r="BE486" i="3"/>
  <c r="BF486" i="3"/>
  <c r="BG486" i="3"/>
  <c r="BH486" i="3"/>
  <c r="BI486" i="3"/>
  <c r="BJ486" i="3"/>
  <c r="BK486" i="3"/>
  <c r="BA486" i="3"/>
  <c r="BM486" i="3"/>
  <c r="BN486" i="3"/>
  <c r="BO486" i="3"/>
  <c r="BP486" i="3"/>
  <c r="BQ486" i="3"/>
  <c r="BR486" i="3"/>
  <c r="BS486" i="3"/>
  <c r="BT486" i="3"/>
  <c r="BL486" i="3"/>
  <c r="AZ486" i="3"/>
  <c r="BD487" i="3"/>
  <c r="BE487" i="3"/>
  <c r="BF487" i="3"/>
  <c r="BG487" i="3"/>
  <c r="BH487" i="3"/>
  <c r="BI487" i="3"/>
  <c r="BJ487" i="3"/>
  <c r="BK487" i="3"/>
  <c r="BA487" i="3"/>
  <c r="BM487" i="3"/>
  <c r="BN487" i="3"/>
  <c r="BO487" i="3"/>
  <c r="BP487" i="3"/>
  <c r="BQ487" i="3"/>
  <c r="BR487" i="3"/>
  <c r="BS487" i="3"/>
  <c r="BT487" i="3"/>
  <c r="BL487" i="3"/>
  <c r="AZ487" i="3"/>
  <c r="BD488" i="3"/>
  <c r="BE488" i="3"/>
  <c r="BF488" i="3"/>
  <c r="BG488" i="3"/>
  <c r="BH488" i="3"/>
  <c r="BI488" i="3"/>
  <c r="BJ488" i="3"/>
  <c r="BK488" i="3"/>
  <c r="BA488" i="3"/>
  <c r="BM488" i="3"/>
  <c r="BN488" i="3"/>
  <c r="BO488" i="3"/>
  <c r="BP488" i="3"/>
  <c r="BQ488" i="3"/>
  <c r="BR488" i="3"/>
  <c r="BS488" i="3"/>
  <c r="BT488" i="3"/>
  <c r="BL488" i="3"/>
  <c r="AZ488" i="3"/>
  <c r="BD489" i="3"/>
  <c r="BE489" i="3"/>
  <c r="BF489" i="3"/>
  <c r="BG489" i="3"/>
  <c r="BH489" i="3"/>
  <c r="BI489" i="3"/>
  <c r="BJ489" i="3"/>
  <c r="BK489" i="3"/>
  <c r="BA489" i="3"/>
  <c r="BM489" i="3"/>
  <c r="BN489" i="3"/>
  <c r="BO489" i="3"/>
  <c r="BP489" i="3"/>
  <c r="BQ489" i="3"/>
  <c r="BR489" i="3"/>
  <c r="BS489" i="3"/>
  <c r="BT489" i="3"/>
  <c r="BL489" i="3"/>
  <c r="AZ489" i="3"/>
  <c r="BD490" i="3"/>
  <c r="BE490" i="3"/>
  <c r="BF490" i="3"/>
  <c r="BG490" i="3"/>
  <c r="BH490" i="3"/>
  <c r="BI490" i="3"/>
  <c r="BJ490" i="3"/>
  <c r="BK490" i="3"/>
  <c r="BA490" i="3"/>
  <c r="BM490" i="3"/>
  <c r="BN490" i="3"/>
  <c r="BO490" i="3"/>
  <c r="BP490" i="3"/>
  <c r="BQ490" i="3"/>
  <c r="BR490" i="3"/>
  <c r="BS490" i="3"/>
  <c r="BT490" i="3"/>
  <c r="BL490" i="3"/>
  <c r="AZ490" i="3"/>
  <c r="BD491" i="3"/>
  <c r="BE491" i="3"/>
  <c r="BF491" i="3"/>
  <c r="BG491" i="3"/>
  <c r="BH491" i="3"/>
  <c r="BI491" i="3"/>
  <c r="BJ491" i="3"/>
  <c r="BK491" i="3"/>
  <c r="BA491" i="3"/>
  <c r="BM491" i="3"/>
  <c r="BN491" i="3"/>
  <c r="BO491" i="3"/>
  <c r="BP491" i="3"/>
  <c r="BQ491" i="3"/>
  <c r="BR491" i="3"/>
  <c r="BS491" i="3"/>
  <c r="BT491" i="3"/>
  <c r="BL491" i="3"/>
  <c r="AZ491" i="3"/>
  <c r="BD492" i="3"/>
  <c r="BE492" i="3"/>
  <c r="BF492" i="3"/>
  <c r="BG492" i="3"/>
  <c r="BH492" i="3"/>
  <c r="BI492" i="3"/>
  <c r="BJ492" i="3"/>
  <c r="BK492" i="3"/>
  <c r="BA492" i="3"/>
  <c r="BM492" i="3"/>
  <c r="BN492" i="3"/>
  <c r="BO492" i="3"/>
  <c r="BP492" i="3"/>
  <c r="BQ492" i="3"/>
  <c r="BR492" i="3"/>
  <c r="BS492" i="3"/>
  <c r="BT492" i="3"/>
  <c r="BL492" i="3"/>
  <c r="AZ492" i="3"/>
  <c r="BD493" i="3"/>
  <c r="BE493" i="3"/>
  <c r="BF493" i="3"/>
  <c r="BG493" i="3"/>
  <c r="BH493" i="3"/>
  <c r="BI493" i="3"/>
  <c r="BJ493" i="3"/>
  <c r="BK493" i="3"/>
  <c r="BA493" i="3"/>
  <c r="BM493" i="3"/>
  <c r="BN493" i="3"/>
  <c r="BO493" i="3"/>
  <c r="BP493" i="3"/>
  <c r="BQ493" i="3"/>
  <c r="BR493" i="3"/>
  <c r="BS493" i="3"/>
  <c r="BT493" i="3"/>
  <c r="BL493" i="3"/>
  <c r="AZ493" i="3"/>
  <c r="BD494" i="3"/>
  <c r="BE494" i="3"/>
  <c r="BF494" i="3"/>
  <c r="BG494" i="3"/>
  <c r="BH494" i="3"/>
  <c r="BI494" i="3"/>
  <c r="BJ494" i="3"/>
  <c r="BK494" i="3"/>
  <c r="BA494" i="3"/>
  <c r="BM494" i="3"/>
  <c r="BN494" i="3"/>
  <c r="BO494" i="3"/>
  <c r="BP494" i="3"/>
  <c r="BQ494" i="3"/>
  <c r="BR494" i="3"/>
  <c r="BS494" i="3"/>
  <c r="BT494" i="3"/>
  <c r="BL494" i="3"/>
  <c r="AZ494" i="3"/>
  <c r="BD495" i="3"/>
  <c r="BE495" i="3"/>
  <c r="BF495" i="3"/>
  <c r="BG495" i="3"/>
  <c r="BH495" i="3"/>
  <c r="BI495" i="3"/>
  <c r="BJ495" i="3"/>
  <c r="BK495" i="3"/>
  <c r="BA495" i="3"/>
  <c r="BM495" i="3"/>
  <c r="BN495" i="3"/>
  <c r="BO495" i="3"/>
  <c r="BP495" i="3"/>
  <c r="BQ495" i="3"/>
  <c r="BR495" i="3"/>
  <c r="BS495" i="3"/>
  <c r="BT495" i="3"/>
  <c r="BL495" i="3"/>
  <c r="AZ495" i="3"/>
  <c r="BD496" i="3"/>
  <c r="BE496" i="3"/>
  <c r="BF496" i="3"/>
  <c r="BG496" i="3"/>
  <c r="BH496" i="3"/>
  <c r="BI496" i="3"/>
  <c r="BJ496" i="3"/>
  <c r="BK496" i="3"/>
  <c r="BA496" i="3"/>
  <c r="BM496" i="3"/>
  <c r="BN496" i="3"/>
  <c r="BO496" i="3"/>
  <c r="BP496" i="3"/>
  <c r="BQ496" i="3"/>
  <c r="BR496" i="3"/>
  <c r="BS496" i="3"/>
  <c r="BT496" i="3"/>
  <c r="BL496" i="3"/>
  <c r="AZ496" i="3"/>
  <c r="BD497" i="3"/>
  <c r="BE497" i="3"/>
  <c r="BF497" i="3"/>
  <c r="BG497" i="3"/>
  <c r="BH497" i="3"/>
  <c r="BI497" i="3"/>
  <c r="BJ497" i="3"/>
  <c r="BK497" i="3"/>
  <c r="BA497" i="3"/>
  <c r="BM497" i="3"/>
  <c r="BN497" i="3"/>
  <c r="BO497" i="3"/>
  <c r="BP497" i="3"/>
  <c r="BQ497" i="3"/>
  <c r="BR497" i="3"/>
  <c r="BS497" i="3"/>
  <c r="BT497" i="3"/>
  <c r="BL497" i="3"/>
  <c r="AZ497" i="3"/>
  <c r="BD498" i="3"/>
  <c r="BE498" i="3"/>
  <c r="BF498" i="3"/>
  <c r="BG498" i="3"/>
  <c r="BH498" i="3"/>
  <c r="BI498" i="3"/>
  <c r="BJ498" i="3"/>
  <c r="BK498" i="3"/>
  <c r="BA498" i="3"/>
  <c r="BM498" i="3"/>
  <c r="BN498" i="3"/>
  <c r="BO498" i="3"/>
  <c r="BP498" i="3"/>
  <c r="BQ498" i="3"/>
  <c r="BR498" i="3"/>
  <c r="BS498" i="3"/>
  <c r="BT498" i="3"/>
  <c r="BL498" i="3"/>
  <c r="AZ498" i="3"/>
  <c r="BD499" i="3"/>
  <c r="BE499" i="3"/>
  <c r="BF499" i="3"/>
  <c r="BG499" i="3"/>
  <c r="BH499" i="3"/>
  <c r="BI499" i="3"/>
  <c r="BJ499" i="3"/>
  <c r="BK499" i="3"/>
  <c r="BA499" i="3"/>
  <c r="BM499" i="3"/>
  <c r="BN499" i="3"/>
  <c r="BO499" i="3"/>
  <c r="BP499" i="3"/>
  <c r="BQ499" i="3"/>
  <c r="BR499" i="3"/>
  <c r="BS499" i="3"/>
  <c r="BT499" i="3"/>
  <c r="BL499" i="3"/>
  <c r="AZ499" i="3"/>
  <c r="BD500" i="3"/>
  <c r="BE500" i="3"/>
  <c r="BF500" i="3"/>
  <c r="BG500" i="3"/>
  <c r="BH500" i="3"/>
  <c r="BI500" i="3"/>
  <c r="BJ500" i="3"/>
  <c r="BK500" i="3"/>
  <c r="BA500" i="3"/>
  <c r="BM500" i="3"/>
  <c r="BN500" i="3"/>
  <c r="BO500" i="3"/>
  <c r="BP500" i="3"/>
  <c r="BQ500" i="3"/>
  <c r="BR500" i="3"/>
  <c r="BS500" i="3"/>
  <c r="BT500" i="3"/>
  <c r="BL500" i="3"/>
  <c r="AZ500" i="3"/>
  <c r="BD501" i="3"/>
  <c r="BE501" i="3"/>
  <c r="BF501" i="3"/>
  <c r="BG501" i="3"/>
  <c r="BH501" i="3"/>
  <c r="BI501" i="3"/>
  <c r="BJ501" i="3"/>
  <c r="BK501" i="3"/>
  <c r="BA501" i="3"/>
  <c r="BM501" i="3"/>
  <c r="BN501" i="3"/>
  <c r="BO501" i="3"/>
  <c r="BP501" i="3"/>
  <c r="BQ501" i="3"/>
  <c r="BR501" i="3"/>
  <c r="BS501" i="3"/>
  <c r="BT501" i="3"/>
  <c r="BL501" i="3"/>
  <c r="AZ501" i="3"/>
  <c r="BD502" i="3"/>
  <c r="BE502" i="3"/>
  <c r="BF502" i="3"/>
  <c r="BG502" i="3"/>
  <c r="BH502" i="3"/>
  <c r="BI502" i="3"/>
  <c r="BJ502" i="3"/>
  <c r="BK502" i="3"/>
  <c r="BA502" i="3"/>
  <c r="BM502" i="3"/>
  <c r="BN502" i="3"/>
  <c r="BO502" i="3"/>
  <c r="BP502" i="3"/>
  <c r="BQ502" i="3"/>
  <c r="BR502" i="3"/>
  <c r="BS502" i="3"/>
  <c r="BT502" i="3"/>
  <c r="BL502" i="3"/>
  <c r="AZ502" i="3"/>
  <c r="BD503" i="3"/>
  <c r="BE503" i="3"/>
  <c r="BF503" i="3"/>
  <c r="BG503" i="3"/>
  <c r="BH503" i="3"/>
  <c r="BI503" i="3"/>
  <c r="BJ503" i="3"/>
  <c r="BK503" i="3"/>
  <c r="BA503" i="3"/>
  <c r="BM503" i="3"/>
  <c r="BN503" i="3"/>
  <c r="BO503" i="3"/>
  <c r="BP503" i="3"/>
  <c r="BQ503" i="3"/>
  <c r="BR503" i="3"/>
  <c r="BS503" i="3"/>
  <c r="BT503" i="3"/>
  <c r="BL503" i="3"/>
  <c r="AZ503" i="3"/>
  <c r="BD504" i="3"/>
  <c r="BE504" i="3"/>
  <c r="BF504" i="3"/>
  <c r="BG504" i="3"/>
  <c r="BH504" i="3"/>
  <c r="BI504" i="3"/>
  <c r="BJ504" i="3"/>
  <c r="BK504" i="3"/>
  <c r="BA504" i="3"/>
  <c r="BM504" i="3"/>
  <c r="BN504" i="3"/>
  <c r="BO504" i="3"/>
  <c r="BP504" i="3"/>
  <c r="BQ504" i="3"/>
  <c r="BR504" i="3"/>
  <c r="BS504" i="3"/>
  <c r="BT504" i="3"/>
  <c r="BL504" i="3"/>
  <c r="AZ504" i="3"/>
  <c r="BD505" i="3"/>
  <c r="BE505" i="3"/>
  <c r="BF505" i="3"/>
  <c r="BG505" i="3"/>
  <c r="BH505" i="3"/>
  <c r="BI505" i="3"/>
  <c r="BJ505" i="3"/>
  <c r="BK505" i="3"/>
  <c r="BA505" i="3"/>
  <c r="BM505" i="3"/>
  <c r="BN505" i="3"/>
  <c r="BO505" i="3"/>
  <c r="BP505" i="3"/>
  <c r="BQ505" i="3"/>
  <c r="BR505" i="3"/>
  <c r="BS505" i="3"/>
  <c r="BT505" i="3"/>
  <c r="BL505" i="3"/>
  <c r="AZ505" i="3"/>
  <c r="BD506" i="3"/>
  <c r="BE506" i="3"/>
  <c r="BF506" i="3"/>
  <c r="BG506" i="3"/>
  <c r="BH506" i="3"/>
  <c r="BI506" i="3"/>
  <c r="BJ506" i="3"/>
  <c r="BK506" i="3"/>
  <c r="BA506" i="3"/>
  <c r="BM506" i="3"/>
  <c r="BN506" i="3"/>
  <c r="BO506" i="3"/>
  <c r="BP506" i="3"/>
  <c r="BQ506" i="3"/>
  <c r="BR506" i="3"/>
  <c r="BS506" i="3"/>
  <c r="BT506" i="3"/>
  <c r="BL506" i="3"/>
  <c r="AZ506" i="3"/>
  <c r="BD507" i="3"/>
  <c r="BE507" i="3"/>
  <c r="BF507" i="3"/>
  <c r="BG507" i="3"/>
  <c r="BH507" i="3"/>
  <c r="BI507" i="3"/>
  <c r="BJ507" i="3"/>
  <c r="BK507" i="3"/>
  <c r="BA507" i="3"/>
  <c r="BM507" i="3"/>
  <c r="BN507" i="3"/>
  <c r="BO507" i="3"/>
  <c r="BP507" i="3"/>
  <c r="BQ507" i="3"/>
  <c r="BR507" i="3"/>
  <c r="BS507" i="3"/>
  <c r="BT507" i="3"/>
  <c r="BL507" i="3"/>
  <c r="AZ507" i="3"/>
  <c r="BD508" i="3"/>
  <c r="BE508" i="3"/>
  <c r="BF508" i="3"/>
  <c r="BG508" i="3"/>
  <c r="BH508" i="3"/>
  <c r="BI508" i="3"/>
  <c r="BJ508" i="3"/>
  <c r="BK508" i="3"/>
  <c r="BA508" i="3"/>
  <c r="BM508" i="3"/>
  <c r="BN508" i="3"/>
  <c r="BO508" i="3"/>
  <c r="BP508" i="3"/>
  <c r="BQ508" i="3"/>
  <c r="BR508" i="3"/>
  <c r="BS508" i="3"/>
  <c r="BT508" i="3"/>
  <c r="BL508" i="3"/>
  <c r="AZ508" i="3"/>
  <c r="BD509" i="3"/>
  <c r="BE509" i="3"/>
  <c r="BF509" i="3"/>
  <c r="BG509" i="3"/>
  <c r="BH509" i="3"/>
  <c r="BI509" i="3"/>
  <c r="BJ509" i="3"/>
  <c r="BK509" i="3"/>
  <c r="BA509" i="3"/>
  <c r="BM509" i="3"/>
  <c r="BN509" i="3"/>
  <c r="BO509" i="3"/>
  <c r="BP509" i="3"/>
  <c r="BQ509" i="3"/>
  <c r="BR509" i="3"/>
  <c r="BS509" i="3"/>
  <c r="BT509" i="3"/>
  <c r="BL509" i="3"/>
  <c r="AZ509" i="3"/>
  <c r="BD510" i="3"/>
  <c r="BE510" i="3"/>
  <c r="BF510" i="3"/>
  <c r="BG510" i="3"/>
  <c r="BH510" i="3"/>
  <c r="BI510" i="3"/>
  <c r="BJ510" i="3"/>
  <c r="BK510" i="3"/>
  <c r="BA510" i="3"/>
  <c r="BM510" i="3"/>
  <c r="BN510" i="3"/>
  <c r="BO510" i="3"/>
  <c r="BP510" i="3"/>
  <c r="BQ510" i="3"/>
  <c r="BR510" i="3"/>
  <c r="BS510" i="3"/>
  <c r="BT510" i="3"/>
  <c r="BL510" i="3"/>
  <c r="AZ510" i="3"/>
  <c r="BD511" i="3"/>
  <c r="BE511" i="3"/>
  <c r="BF511" i="3"/>
  <c r="BG511" i="3"/>
  <c r="BH511" i="3"/>
  <c r="BI511" i="3"/>
  <c r="BJ511" i="3"/>
  <c r="BK511" i="3"/>
  <c r="BA511" i="3"/>
  <c r="BM511" i="3"/>
  <c r="BN511" i="3"/>
  <c r="BO511" i="3"/>
  <c r="BP511" i="3"/>
  <c r="BQ511" i="3"/>
  <c r="BR511" i="3"/>
  <c r="BS511" i="3"/>
  <c r="BT511" i="3"/>
  <c r="BL511" i="3"/>
  <c r="AZ511" i="3"/>
  <c r="BD512" i="3"/>
  <c r="BE512" i="3"/>
  <c r="BF512" i="3"/>
  <c r="BG512" i="3"/>
  <c r="BH512" i="3"/>
  <c r="BI512" i="3"/>
  <c r="BJ512" i="3"/>
  <c r="BK512" i="3"/>
  <c r="BA512" i="3"/>
  <c r="BM512" i="3"/>
  <c r="BN512" i="3"/>
  <c r="BO512" i="3"/>
  <c r="BP512" i="3"/>
  <c r="BQ512" i="3"/>
  <c r="BR512" i="3"/>
  <c r="BS512" i="3"/>
  <c r="BT512" i="3"/>
  <c r="BL512" i="3"/>
  <c r="AZ512" i="3"/>
  <c r="BD513" i="3"/>
  <c r="BE513" i="3"/>
  <c r="BF513" i="3"/>
  <c r="BG513" i="3"/>
  <c r="BH513" i="3"/>
  <c r="BI513" i="3"/>
  <c r="BJ513" i="3"/>
  <c r="BK513" i="3"/>
  <c r="BA513" i="3"/>
  <c r="BM513" i="3"/>
  <c r="BN513" i="3"/>
  <c r="BO513" i="3"/>
  <c r="BP513" i="3"/>
  <c r="BQ513" i="3"/>
  <c r="BR513" i="3"/>
  <c r="BS513" i="3"/>
  <c r="BT513" i="3"/>
  <c r="BL513" i="3"/>
  <c r="AZ513" i="3"/>
  <c r="BD514" i="3"/>
  <c r="BE514" i="3"/>
  <c r="BF514" i="3"/>
  <c r="BG514" i="3"/>
  <c r="BH514" i="3"/>
  <c r="BI514" i="3"/>
  <c r="BJ514" i="3"/>
  <c r="BK514" i="3"/>
  <c r="BA514" i="3"/>
  <c r="BM514" i="3"/>
  <c r="BN514" i="3"/>
  <c r="BO514" i="3"/>
  <c r="BP514" i="3"/>
  <c r="BQ514" i="3"/>
  <c r="BR514" i="3"/>
  <c r="BS514" i="3"/>
  <c r="BT514" i="3"/>
  <c r="BL514" i="3"/>
  <c r="AZ514" i="3"/>
  <c r="BD515" i="3"/>
  <c r="BE515" i="3"/>
  <c r="BF515" i="3"/>
  <c r="BG515" i="3"/>
  <c r="BH515" i="3"/>
  <c r="BI515" i="3"/>
  <c r="BJ515" i="3"/>
  <c r="BK515" i="3"/>
  <c r="BA515" i="3"/>
  <c r="BM515" i="3"/>
  <c r="BN515" i="3"/>
  <c r="BO515" i="3"/>
  <c r="BP515" i="3"/>
  <c r="BQ515" i="3"/>
  <c r="BR515" i="3"/>
  <c r="BS515" i="3"/>
  <c r="BT515" i="3"/>
  <c r="BL515" i="3"/>
  <c r="AZ515" i="3"/>
  <c r="BD516" i="3"/>
  <c r="BE516" i="3"/>
  <c r="BF516" i="3"/>
  <c r="BG516" i="3"/>
  <c r="BH516" i="3"/>
  <c r="BI516" i="3"/>
  <c r="BJ516" i="3"/>
  <c r="BK516" i="3"/>
  <c r="BA516" i="3"/>
  <c r="BM516" i="3"/>
  <c r="BN516" i="3"/>
  <c r="BO516" i="3"/>
  <c r="BP516" i="3"/>
  <c r="BQ516" i="3"/>
  <c r="BR516" i="3"/>
  <c r="BS516" i="3"/>
  <c r="BT516" i="3"/>
  <c r="BL516" i="3"/>
  <c r="AZ516" i="3"/>
  <c r="BD517" i="3"/>
  <c r="BE517" i="3"/>
  <c r="BF517" i="3"/>
  <c r="BG517" i="3"/>
  <c r="BH517" i="3"/>
  <c r="BI517" i="3"/>
  <c r="BJ517" i="3"/>
  <c r="BK517" i="3"/>
  <c r="BA517" i="3"/>
  <c r="BM517" i="3"/>
  <c r="BN517" i="3"/>
  <c r="BO517" i="3"/>
  <c r="BP517" i="3"/>
  <c r="BQ517" i="3"/>
  <c r="BR517" i="3"/>
  <c r="BS517" i="3"/>
  <c r="BT517" i="3"/>
  <c r="BL517" i="3"/>
  <c r="AZ517" i="3"/>
  <c r="BD518" i="3"/>
  <c r="BE518" i="3"/>
  <c r="BF518" i="3"/>
  <c r="BG518" i="3"/>
  <c r="BH518" i="3"/>
  <c r="BI518" i="3"/>
  <c r="BJ518" i="3"/>
  <c r="BK518" i="3"/>
  <c r="BA518" i="3"/>
  <c r="BM518" i="3"/>
  <c r="BN518" i="3"/>
  <c r="BO518" i="3"/>
  <c r="BP518" i="3"/>
  <c r="BQ518" i="3"/>
  <c r="BR518" i="3"/>
  <c r="BS518" i="3"/>
  <c r="BT518" i="3"/>
  <c r="BL518" i="3"/>
  <c r="AZ518" i="3"/>
  <c r="BD519" i="3"/>
  <c r="BE519" i="3"/>
  <c r="BF519" i="3"/>
  <c r="BG519" i="3"/>
  <c r="BH519" i="3"/>
  <c r="BI519" i="3"/>
  <c r="BJ519" i="3"/>
  <c r="BK519" i="3"/>
  <c r="BA519" i="3"/>
  <c r="BM519" i="3"/>
  <c r="BN519" i="3"/>
  <c r="BO519" i="3"/>
  <c r="BP519" i="3"/>
  <c r="BQ519" i="3"/>
  <c r="BR519" i="3"/>
  <c r="BS519" i="3"/>
  <c r="BT519" i="3"/>
  <c r="BL519" i="3"/>
  <c r="AZ519" i="3"/>
  <c r="BD520" i="3"/>
  <c r="BE520" i="3"/>
  <c r="BF520" i="3"/>
  <c r="BG520" i="3"/>
  <c r="BH520" i="3"/>
  <c r="BI520" i="3"/>
  <c r="BJ520" i="3"/>
  <c r="BK520" i="3"/>
  <c r="BA520" i="3"/>
  <c r="BM520" i="3"/>
  <c r="BN520" i="3"/>
  <c r="BO520" i="3"/>
  <c r="BP520" i="3"/>
  <c r="BQ520" i="3"/>
  <c r="BR520" i="3"/>
  <c r="BS520" i="3"/>
  <c r="BT520" i="3"/>
  <c r="BL520" i="3"/>
  <c r="AZ520" i="3"/>
  <c r="BD521" i="3"/>
  <c r="BE521" i="3"/>
  <c r="BF521" i="3"/>
  <c r="BG521" i="3"/>
  <c r="BH521" i="3"/>
  <c r="BI521" i="3"/>
  <c r="BJ521" i="3"/>
  <c r="BK521" i="3"/>
  <c r="BA521" i="3"/>
  <c r="BM521" i="3"/>
  <c r="BN521" i="3"/>
  <c r="BO521" i="3"/>
  <c r="BP521" i="3"/>
  <c r="BQ521" i="3"/>
  <c r="BR521" i="3"/>
  <c r="BS521" i="3"/>
  <c r="BT521" i="3"/>
  <c r="BL521" i="3"/>
  <c r="AZ521" i="3"/>
  <c r="BD522" i="3"/>
  <c r="BE522" i="3"/>
  <c r="BF522" i="3"/>
  <c r="BG522" i="3"/>
  <c r="BH522" i="3"/>
  <c r="BI522" i="3"/>
  <c r="BJ522" i="3"/>
  <c r="BK522" i="3"/>
  <c r="BA522" i="3"/>
  <c r="BM522" i="3"/>
  <c r="BN522" i="3"/>
  <c r="BO522" i="3"/>
  <c r="BP522" i="3"/>
  <c r="BQ522" i="3"/>
  <c r="BR522" i="3"/>
  <c r="BS522" i="3"/>
  <c r="BT522" i="3"/>
  <c r="BL522" i="3"/>
  <c r="AZ522" i="3"/>
  <c r="BD523" i="3"/>
  <c r="BE523" i="3"/>
  <c r="BF523" i="3"/>
  <c r="BG523" i="3"/>
  <c r="BH523" i="3"/>
  <c r="BI523" i="3"/>
  <c r="BJ523" i="3"/>
  <c r="BK523" i="3"/>
  <c r="BA523" i="3"/>
  <c r="BM523" i="3"/>
  <c r="BN523" i="3"/>
  <c r="BO523" i="3"/>
  <c r="BP523" i="3"/>
  <c r="BQ523" i="3"/>
  <c r="BR523" i="3"/>
  <c r="BS523" i="3"/>
  <c r="BT523" i="3"/>
  <c r="BL523" i="3"/>
  <c r="AZ523" i="3"/>
  <c r="BD524" i="3"/>
  <c r="BE524" i="3"/>
  <c r="BF524" i="3"/>
  <c r="BG524" i="3"/>
  <c r="BH524" i="3"/>
  <c r="BI524" i="3"/>
  <c r="BJ524" i="3"/>
  <c r="BK524" i="3"/>
  <c r="BA524" i="3"/>
  <c r="BM524" i="3"/>
  <c r="BN524" i="3"/>
  <c r="BO524" i="3"/>
  <c r="BP524" i="3"/>
  <c r="BQ524" i="3"/>
  <c r="BR524" i="3"/>
  <c r="BS524" i="3"/>
  <c r="BT524" i="3"/>
  <c r="BL524" i="3"/>
  <c r="AZ524" i="3"/>
  <c r="BD525" i="3"/>
  <c r="BE525" i="3"/>
  <c r="BF525" i="3"/>
  <c r="BG525" i="3"/>
  <c r="BH525" i="3"/>
  <c r="BI525" i="3"/>
  <c r="BJ525" i="3"/>
  <c r="BK525" i="3"/>
  <c r="BA525" i="3"/>
  <c r="BM525" i="3"/>
  <c r="BN525" i="3"/>
  <c r="BO525" i="3"/>
  <c r="BP525" i="3"/>
  <c r="BQ525" i="3"/>
  <c r="BR525" i="3"/>
  <c r="BS525" i="3"/>
  <c r="BT525" i="3"/>
  <c r="BL525" i="3"/>
  <c r="AZ525" i="3"/>
  <c r="BD526" i="3"/>
  <c r="BE526" i="3"/>
  <c r="BF526" i="3"/>
  <c r="BG526" i="3"/>
  <c r="BH526" i="3"/>
  <c r="BI526" i="3"/>
  <c r="BJ526" i="3"/>
  <c r="BK526" i="3"/>
  <c r="BA526" i="3"/>
  <c r="BM526" i="3"/>
  <c r="BN526" i="3"/>
  <c r="BO526" i="3"/>
  <c r="BP526" i="3"/>
  <c r="BQ526" i="3"/>
  <c r="BR526" i="3"/>
  <c r="BS526" i="3"/>
  <c r="BT526" i="3"/>
  <c r="BL526" i="3"/>
  <c r="AZ526" i="3"/>
  <c r="BD527" i="3"/>
  <c r="BE527" i="3"/>
  <c r="BF527" i="3"/>
  <c r="BG527" i="3"/>
  <c r="BH527" i="3"/>
  <c r="BI527" i="3"/>
  <c r="BJ527" i="3"/>
  <c r="BK527" i="3"/>
  <c r="BA527" i="3"/>
  <c r="BM527" i="3"/>
  <c r="BN527" i="3"/>
  <c r="BO527" i="3"/>
  <c r="BP527" i="3"/>
  <c r="BQ527" i="3"/>
  <c r="BR527" i="3"/>
  <c r="BS527" i="3"/>
  <c r="BT527" i="3"/>
  <c r="BL527" i="3"/>
  <c r="AZ527" i="3"/>
  <c r="BD528" i="3"/>
  <c r="BE528" i="3"/>
  <c r="BF528" i="3"/>
  <c r="BG528" i="3"/>
  <c r="BH528" i="3"/>
  <c r="BI528" i="3"/>
  <c r="BJ528" i="3"/>
  <c r="BK528" i="3"/>
  <c r="BA528" i="3"/>
  <c r="BM528" i="3"/>
  <c r="BN528" i="3"/>
  <c r="BO528" i="3"/>
  <c r="BP528" i="3"/>
  <c r="BQ528" i="3"/>
  <c r="BR528" i="3"/>
  <c r="BS528" i="3"/>
  <c r="BT528" i="3"/>
  <c r="BL528" i="3"/>
  <c r="AZ528" i="3"/>
  <c r="BD529" i="3"/>
  <c r="BE529" i="3"/>
  <c r="BF529" i="3"/>
  <c r="BG529" i="3"/>
  <c r="BH529" i="3"/>
  <c r="BI529" i="3"/>
  <c r="BJ529" i="3"/>
  <c r="BK529" i="3"/>
  <c r="BA529" i="3"/>
  <c r="BM529" i="3"/>
  <c r="BN529" i="3"/>
  <c r="BO529" i="3"/>
  <c r="BP529" i="3"/>
  <c r="BQ529" i="3"/>
  <c r="BR529" i="3"/>
  <c r="BS529" i="3"/>
  <c r="BT529" i="3"/>
  <c r="BL529" i="3"/>
  <c r="AZ529" i="3"/>
  <c r="BD530" i="3"/>
  <c r="BE530" i="3"/>
  <c r="BF530" i="3"/>
  <c r="BG530" i="3"/>
  <c r="BH530" i="3"/>
  <c r="BI530" i="3"/>
  <c r="BJ530" i="3"/>
  <c r="BK530" i="3"/>
  <c r="BA530" i="3"/>
  <c r="BM530" i="3"/>
  <c r="BN530" i="3"/>
  <c r="BO530" i="3"/>
  <c r="BP530" i="3"/>
  <c r="BQ530" i="3"/>
  <c r="BR530" i="3"/>
  <c r="BS530" i="3"/>
  <c r="BT530" i="3"/>
  <c r="BL530" i="3"/>
  <c r="AZ530" i="3"/>
  <c r="BD531" i="3"/>
  <c r="BE531" i="3"/>
  <c r="BF531" i="3"/>
  <c r="BG531" i="3"/>
  <c r="BH531" i="3"/>
  <c r="BI531" i="3"/>
  <c r="BJ531" i="3"/>
  <c r="BK531" i="3"/>
  <c r="BA531" i="3"/>
  <c r="BM531" i="3"/>
  <c r="BN531" i="3"/>
  <c r="BO531" i="3"/>
  <c r="BP531" i="3"/>
  <c r="BQ531" i="3"/>
  <c r="BR531" i="3"/>
  <c r="BS531" i="3"/>
  <c r="BT531" i="3"/>
  <c r="BL531" i="3"/>
  <c r="AZ531" i="3"/>
  <c r="BD532" i="3"/>
  <c r="BE532" i="3"/>
  <c r="BF532" i="3"/>
  <c r="BG532" i="3"/>
  <c r="BH532" i="3"/>
  <c r="BI532" i="3"/>
  <c r="BJ532" i="3"/>
  <c r="BK532" i="3"/>
  <c r="BA532" i="3"/>
  <c r="BM532" i="3"/>
  <c r="BN532" i="3"/>
  <c r="BO532" i="3"/>
  <c r="BP532" i="3"/>
  <c r="BQ532" i="3"/>
  <c r="BR532" i="3"/>
  <c r="BS532" i="3"/>
  <c r="BT532" i="3"/>
  <c r="BL532" i="3"/>
  <c r="AZ532" i="3"/>
  <c r="BD533" i="3"/>
  <c r="BE533" i="3"/>
  <c r="BF533" i="3"/>
  <c r="BG533" i="3"/>
  <c r="BH533" i="3"/>
  <c r="BI533" i="3"/>
  <c r="BJ533" i="3"/>
  <c r="BK533" i="3"/>
  <c r="BA533" i="3"/>
  <c r="BM533" i="3"/>
  <c r="BN533" i="3"/>
  <c r="BO533" i="3"/>
  <c r="BP533" i="3"/>
  <c r="BQ533" i="3"/>
  <c r="BR533" i="3"/>
  <c r="BS533" i="3"/>
  <c r="BT533" i="3"/>
  <c r="BL533" i="3"/>
  <c r="AZ533" i="3"/>
  <c r="BD534" i="3"/>
  <c r="BE534" i="3"/>
  <c r="BF534" i="3"/>
  <c r="BG534" i="3"/>
  <c r="BH534" i="3"/>
  <c r="BI534" i="3"/>
  <c r="BJ534" i="3"/>
  <c r="BK534" i="3"/>
  <c r="BA534" i="3"/>
  <c r="BM534" i="3"/>
  <c r="BN534" i="3"/>
  <c r="BO534" i="3"/>
  <c r="BP534" i="3"/>
  <c r="BQ534" i="3"/>
  <c r="BR534" i="3"/>
  <c r="BS534" i="3"/>
  <c r="BT534" i="3"/>
  <c r="BL534" i="3"/>
  <c r="AZ534" i="3"/>
  <c r="BD535" i="3"/>
  <c r="BE535" i="3"/>
  <c r="BF535" i="3"/>
  <c r="BG535" i="3"/>
  <c r="BH535" i="3"/>
  <c r="BI535" i="3"/>
  <c r="BJ535" i="3"/>
  <c r="BK535" i="3"/>
  <c r="BA535" i="3"/>
  <c r="BM535" i="3"/>
  <c r="BN535" i="3"/>
  <c r="BO535" i="3"/>
  <c r="BP535" i="3"/>
  <c r="BQ535" i="3"/>
  <c r="BR535" i="3"/>
  <c r="BS535" i="3"/>
  <c r="BT535" i="3"/>
  <c r="BL535" i="3"/>
  <c r="AZ535" i="3"/>
  <c r="BD536" i="3"/>
  <c r="BE536" i="3"/>
  <c r="BF536" i="3"/>
  <c r="BG536" i="3"/>
  <c r="BH536" i="3"/>
  <c r="BI536" i="3"/>
  <c r="BJ536" i="3"/>
  <c r="BK536" i="3"/>
  <c r="BA536" i="3"/>
  <c r="BM536" i="3"/>
  <c r="BN536" i="3"/>
  <c r="BO536" i="3"/>
  <c r="BP536" i="3"/>
  <c r="BQ536" i="3"/>
  <c r="BR536" i="3"/>
  <c r="BS536" i="3"/>
  <c r="BT536" i="3"/>
  <c r="BL536" i="3"/>
  <c r="AZ536" i="3"/>
  <c r="BD537" i="3"/>
  <c r="BE537" i="3"/>
  <c r="BF537" i="3"/>
  <c r="BG537" i="3"/>
  <c r="BH537" i="3"/>
  <c r="BI537" i="3"/>
  <c r="BJ537" i="3"/>
  <c r="BK537" i="3"/>
  <c r="BA537" i="3"/>
  <c r="BM537" i="3"/>
  <c r="BN537" i="3"/>
  <c r="BO537" i="3"/>
  <c r="BP537" i="3"/>
  <c r="BQ537" i="3"/>
  <c r="BR537" i="3"/>
  <c r="BS537" i="3"/>
  <c r="BT537" i="3"/>
  <c r="BL537" i="3"/>
  <c r="AZ537" i="3"/>
  <c r="BD538" i="3"/>
  <c r="BE538" i="3"/>
  <c r="BF538" i="3"/>
  <c r="BG538" i="3"/>
  <c r="BH538" i="3"/>
  <c r="BI538" i="3"/>
  <c r="BJ538" i="3"/>
  <c r="BK538" i="3"/>
  <c r="BA538" i="3"/>
  <c r="BM538" i="3"/>
  <c r="BN538" i="3"/>
  <c r="BO538" i="3"/>
  <c r="BP538" i="3"/>
  <c r="BQ538" i="3"/>
  <c r="BR538" i="3"/>
  <c r="BS538" i="3"/>
  <c r="BT538" i="3"/>
  <c r="BL538" i="3"/>
  <c r="AZ538" i="3"/>
  <c r="BD539" i="3"/>
  <c r="BE539" i="3"/>
  <c r="BF539" i="3"/>
  <c r="BG539" i="3"/>
  <c r="BH539" i="3"/>
  <c r="BI539" i="3"/>
  <c r="BJ539" i="3"/>
  <c r="BK539" i="3"/>
  <c r="BA539" i="3"/>
  <c r="BM539" i="3"/>
  <c r="BN539" i="3"/>
  <c r="BO539" i="3"/>
  <c r="BP539" i="3"/>
  <c r="BQ539" i="3"/>
  <c r="BR539" i="3"/>
  <c r="BS539" i="3"/>
  <c r="BT539" i="3"/>
  <c r="BL539" i="3"/>
  <c r="AZ539" i="3"/>
  <c r="BD540" i="3"/>
  <c r="BE540" i="3"/>
  <c r="BF540" i="3"/>
  <c r="BG540" i="3"/>
  <c r="BH540" i="3"/>
  <c r="BI540" i="3"/>
  <c r="BJ540" i="3"/>
  <c r="BK540" i="3"/>
  <c r="BA540" i="3"/>
  <c r="BM540" i="3"/>
  <c r="BN540" i="3"/>
  <c r="BO540" i="3"/>
  <c r="BP540" i="3"/>
  <c r="BQ540" i="3"/>
  <c r="BR540" i="3"/>
  <c r="BS540" i="3"/>
  <c r="BT540" i="3"/>
  <c r="BL540" i="3"/>
  <c r="AZ540" i="3"/>
  <c r="BD541" i="3"/>
  <c r="BE541" i="3"/>
  <c r="BF541" i="3"/>
  <c r="BG541" i="3"/>
  <c r="BH541" i="3"/>
  <c r="BI541" i="3"/>
  <c r="BJ541" i="3"/>
  <c r="BK541" i="3"/>
  <c r="BA541" i="3"/>
  <c r="BM541" i="3"/>
  <c r="BN541" i="3"/>
  <c r="BO541" i="3"/>
  <c r="BP541" i="3"/>
  <c r="BQ541" i="3"/>
  <c r="BR541" i="3"/>
  <c r="BS541" i="3"/>
  <c r="BT541" i="3"/>
  <c r="BL541" i="3"/>
  <c r="AZ541" i="3"/>
  <c r="BD542" i="3"/>
  <c r="BE542" i="3"/>
  <c r="BF542" i="3"/>
  <c r="BG542" i="3"/>
  <c r="BH542" i="3"/>
  <c r="BI542" i="3"/>
  <c r="BJ542" i="3"/>
  <c r="BK542" i="3"/>
  <c r="BA542" i="3"/>
  <c r="BM542" i="3"/>
  <c r="BN542" i="3"/>
  <c r="BO542" i="3"/>
  <c r="BP542" i="3"/>
  <c r="BQ542" i="3"/>
  <c r="BR542" i="3"/>
  <c r="BS542" i="3"/>
  <c r="BT542" i="3"/>
  <c r="BL542" i="3"/>
  <c r="AZ542" i="3"/>
  <c r="BD543" i="3"/>
  <c r="BE543" i="3"/>
  <c r="BF543" i="3"/>
  <c r="BG543" i="3"/>
  <c r="BH543" i="3"/>
  <c r="BI543" i="3"/>
  <c r="BJ543" i="3"/>
  <c r="BK543" i="3"/>
  <c r="BA543" i="3"/>
  <c r="BM543" i="3"/>
  <c r="BN543" i="3"/>
  <c r="BO543" i="3"/>
  <c r="BP543" i="3"/>
  <c r="BQ543" i="3"/>
  <c r="BR543" i="3"/>
  <c r="BS543" i="3"/>
  <c r="BT543" i="3"/>
  <c r="BL543" i="3"/>
  <c r="AZ543" i="3"/>
  <c r="BD544" i="3"/>
  <c r="BE544" i="3"/>
  <c r="BF544" i="3"/>
  <c r="BG544" i="3"/>
  <c r="BH544" i="3"/>
  <c r="BI544" i="3"/>
  <c r="BJ544" i="3"/>
  <c r="BK544" i="3"/>
  <c r="BA544" i="3"/>
  <c r="BM544" i="3"/>
  <c r="BN544" i="3"/>
  <c r="BO544" i="3"/>
  <c r="BP544" i="3"/>
  <c r="BQ544" i="3"/>
  <c r="BR544" i="3"/>
  <c r="BS544" i="3"/>
  <c r="BT544" i="3"/>
  <c r="BL544" i="3"/>
  <c r="AZ544" i="3"/>
  <c r="BD545" i="3"/>
  <c r="BE545" i="3"/>
  <c r="BF545" i="3"/>
  <c r="BG545" i="3"/>
  <c r="BH545" i="3"/>
  <c r="BI545" i="3"/>
  <c r="BJ545" i="3"/>
  <c r="BK545" i="3"/>
  <c r="BA545" i="3"/>
  <c r="BM545" i="3"/>
  <c r="BN545" i="3"/>
  <c r="BO545" i="3"/>
  <c r="BP545" i="3"/>
  <c r="BQ545" i="3"/>
  <c r="BR545" i="3"/>
  <c r="BS545" i="3"/>
  <c r="BT545" i="3"/>
  <c r="BL545" i="3"/>
  <c r="AZ545" i="3"/>
  <c r="BD546" i="3"/>
  <c r="BE546" i="3"/>
  <c r="BF546" i="3"/>
  <c r="BG546" i="3"/>
  <c r="BH546" i="3"/>
  <c r="BI546" i="3"/>
  <c r="BJ546" i="3"/>
  <c r="BK546" i="3"/>
  <c r="BA546" i="3"/>
  <c r="BM546" i="3"/>
  <c r="BN546" i="3"/>
  <c r="BO546" i="3"/>
  <c r="BP546" i="3"/>
  <c r="BQ546" i="3"/>
  <c r="BR546" i="3"/>
  <c r="BS546" i="3"/>
  <c r="BT546" i="3"/>
  <c r="BL546" i="3"/>
  <c r="AZ546" i="3"/>
  <c r="BD547" i="3"/>
  <c r="BE547" i="3"/>
  <c r="BF547" i="3"/>
  <c r="BG547" i="3"/>
  <c r="BH547" i="3"/>
  <c r="BI547" i="3"/>
  <c r="BJ547" i="3"/>
  <c r="BK547" i="3"/>
  <c r="BA547" i="3"/>
  <c r="BM547" i="3"/>
  <c r="BN547" i="3"/>
  <c r="BO547" i="3"/>
  <c r="BP547" i="3"/>
  <c r="BQ547" i="3"/>
  <c r="BR547" i="3"/>
  <c r="BS547" i="3"/>
  <c r="BT547" i="3"/>
  <c r="BL547" i="3"/>
  <c r="AZ547" i="3"/>
  <c r="BD548" i="3"/>
  <c r="BE548" i="3"/>
  <c r="BF548" i="3"/>
  <c r="BG548" i="3"/>
  <c r="BH548" i="3"/>
  <c r="BI548" i="3"/>
  <c r="BJ548" i="3"/>
  <c r="BK548" i="3"/>
  <c r="BA548" i="3"/>
  <c r="BM548" i="3"/>
  <c r="BN548" i="3"/>
  <c r="BO548" i="3"/>
  <c r="BP548" i="3"/>
  <c r="BQ548" i="3"/>
  <c r="BR548" i="3"/>
  <c r="BS548" i="3"/>
  <c r="BT548" i="3"/>
  <c r="BL548" i="3"/>
  <c r="AZ548" i="3"/>
  <c r="BD549" i="3"/>
  <c r="BE549" i="3"/>
  <c r="BF549" i="3"/>
  <c r="BG549" i="3"/>
  <c r="BH549" i="3"/>
  <c r="BI549" i="3"/>
  <c r="BJ549" i="3"/>
  <c r="BK549" i="3"/>
  <c r="BA549" i="3"/>
  <c r="BM549" i="3"/>
  <c r="BN549" i="3"/>
  <c r="BO549" i="3"/>
  <c r="BP549" i="3"/>
  <c r="BQ549" i="3"/>
  <c r="BR549" i="3"/>
  <c r="BS549" i="3"/>
  <c r="BT549" i="3"/>
  <c r="BL549" i="3"/>
  <c r="AZ549" i="3"/>
  <c r="BD550" i="3"/>
  <c r="BE550" i="3"/>
  <c r="BF550" i="3"/>
  <c r="BG550" i="3"/>
  <c r="BH550" i="3"/>
  <c r="BI550" i="3"/>
  <c r="BJ550" i="3"/>
  <c r="BK550" i="3"/>
  <c r="BA550" i="3"/>
  <c r="BM550" i="3"/>
  <c r="BN550" i="3"/>
  <c r="BO550" i="3"/>
  <c r="BP550" i="3"/>
  <c r="BQ550" i="3"/>
  <c r="BR550" i="3"/>
  <c r="BS550" i="3"/>
  <c r="BT550" i="3"/>
  <c r="BL550" i="3"/>
  <c r="AZ550" i="3"/>
  <c r="BD551" i="3"/>
  <c r="BE551" i="3"/>
  <c r="BF551" i="3"/>
  <c r="BG551" i="3"/>
  <c r="BH551" i="3"/>
  <c r="BI551" i="3"/>
  <c r="BJ551" i="3"/>
  <c r="BK551" i="3"/>
  <c r="BA551" i="3"/>
  <c r="BM551" i="3"/>
  <c r="BN551" i="3"/>
  <c r="BO551" i="3"/>
  <c r="BP551" i="3"/>
  <c r="BQ551" i="3"/>
  <c r="BR551" i="3"/>
  <c r="BS551" i="3"/>
  <c r="BT551" i="3"/>
  <c r="BL551" i="3"/>
  <c r="AZ551" i="3"/>
  <c r="BD552" i="3"/>
  <c r="BE552" i="3"/>
  <c r="BF552" i="3"/>
  <c r="BG552" i="3"/>
  <c r="BH552" i="3"/>
  <c r="BI552" i="3"/>
  <c r="BJ552" i="3"/>
  <c r="BK552" i="3"/>
  <c r="BA552" i="3"/>
  <c r="BM552" i="3"/>
  <c r="BN552" i="3"/>
  <c r="BO552" i="3"/>
  <c r="BP552" i="3"/>
  <c r="BQ552" i="3"/>
  <c r="BR552" i="3"/>
  <c r="BS552" i="3"/>
  <c r="BT552" i="3"/>
  <c r="BL552" i="3"/>
  <c r="AZ552" i="3"/>
  <c r="BD553" i="3"/>
  <c r="BE553" i="3"/>
  <c r="BF553" i="3"/>
  <c r="BG553" i="3"/>
  <c r="BH553" i="3"/>
  <c r="BI553" i="3"/>
  <c r="BJ553" i="3"/>
  <c r="BK553" i="3"/>
  <c r="BA553" i="3"/>
  <c r="BM553" i="3"/>
  <c r="BN553" i="3"/>
  <c r="BO553" i="3"/>
  <c r="BP553" i="3"/>
  <c r="BQ553" i="3"/>
  <c r="BR553" i="3"/>
  <c r="BS553" i="3"/>
  <c r="BT553" i="3"/>
  <c r="BL553" i="3"/>
  <c r="AZ553" i="3"/>
  <c r="BD554" i="3"/>
  <c r="BE554" i="3"/>
  <c r="BF554" i="3"/>
  <c r="BG554" i="3"/>
  <c r="BH554" i="3"/>
  <c r="BI554" i="3"/>
  <c r="BJ554" i="3"/>
  <c r="BK554" i="3"/>
  <c r="BA554" i="3"/>
  <c r="BM554" i="3"/>
  <c r="BN554" i="3"/>
  <c r="BO554" i="3"/>
  <c r="BP554" i="3"/>
  <c r="BQ554" i="3"/>
  <c r="BR554" i="3"/>
  <c r="BS554" i="3"/>
  <c r="BT554" i="3"/>
  <c r="BL554" i="3"/>
  <c r="AZ554" i="3"/>
  <c r="BD555" i="3"/>
  <c r="BE555" i="3"/>
  <c r="BF555" i="3"/>
  <c r="BG555" i="3"/>
  <c r="BH555" i="3"/>
  <c r="BI555" i="3"/>
  <c r="BJ555" i="3"/>
  <c r="BK555" i="3"/>
  <c r="BA555" i="3"/>
  <c r="BM555" i="3"/>
  <c r="BN555" i="3"/>
  <c r="BO555" i="3"/>
  <c r="BP555" i="3"/>
  <c r="BQ555" i="3"/>
  <c r="BR555" i="3"/>
  <c r="BS555" i="3"/>
  <c r="BT555" i="3"/>
  <c r="BL555" i="3"/>
  <c r="AZ555" i="3"/>
  <c r="BD556" i="3"/>
  <c r="BE556" i="3"/>
  <c r="BF556" i="3"/>
  <c r="BG556" i="3"/>
  <c r="BH556" i="3"/>
  <c r="BI556" i="3"/>
  <c r="BJ556" i="3"/>
  <c r="BK556" i="3"/>
  <c r="BA556" i="3"/>
  <c r="BM556" i="3"/>
  <c r="BN556" i="3"/>
  <c r="BO556" i="3"/>
  <c r="BP556" i="3"/>
  <c r="BQ556" i="3"/>
  <c r="BR556" i="3"/>
  <c r="BS556" i="3"/>
  <c r="BT556" i="3"/>
  <c r="BL556" i="3"/>
  <c r="AZ556" i="3"/>
  <c r="BD557" i="3"/>
  <c r="BE557" i="3"/>
  <c r="BF557" i="3"/>
  <c r="BG557" i="3"/>
  <c r="BH557" i="3"/>
  <c r="BI557" i="3"/>
  <c r="BJ557" i="3"/>
  <c r="BK557" i="3"/>
  <c r="BA557" i="3"/>
  <c r="BM557" i="3"/>
  <c r="BN557" i="3"/>
  <c r="BO557" i="3"/>
  <c r="BP557" i="3"/>
  <c r="BQ557" i="3"/>
  <c r="BR557" i="3"/>
  <c r="BS557" i="3"/>
  <c r="BT557" i="3"/>
  <c r="BL557" i="3"/>
  <c r="AZ557" i="3"/>
  <c r="BD558" i="3"/>
  <c r="BE558" i="3"/>
  <c r="BF558" i="3"/>
  <c r="BG558" i="3"/>
  <c r="BH558" i="3"/>
  <c r="BI558" i="3"/>
  <c r="BJ558" i="3"/>
  <c r="BK558" i="3"/>
  <c r="BA558" i="3"/>
  <c r="BM558" i="3"/>
  <c r="BN558" i="3"/>
  <c r="BO558" i="3"/>
  <c r="BP558" i="3"/>
  <c r="BQ558" i="3"/>
  <c r="BR558" i="3"/>
  <c r="BS558" i="3"/>
  <c r="BT558" i="3"/>
  <c r="BL558" i="3"/>
  <c r="AZ558" i="3"/>
  <c r="BD559" i="3"/>
  <c r="BE559" i="3"/>
  <c r="BF559" i="3"/>
  <c r="BG559" i="3"/>
  <c r="BH559" i="3"/>
  <c r="BI559" i="3"/>
  <c r="BJ559" i="3"/>
  <c r="BK559" i="3"/>
  <c r="BA559" i="3"/>
  <c r="BM559" i="3"/>
  <c r="BN559" i="3"/>
  <c r="BO559" i="3"/>
  <c r="BP559" i="3"/>
  <c r="BQ559" i="3"/>
  <c r="BR559" i="3"/>
  <c r="BS559" i="3"/>
  <c r="BT559" i="3"/>
  <c r="BL559" i="3"/>
  <c r="AZ559" i="3"/>
  <c r="BD560" i="3"/>
  <c r="BE560" i="3"/>
  <c r="BF560" i="3"/>
  <c r="BG560" i="3"/>
  <c r="BH560" i="3"/>
  <c r="BI560" i="3"/>
  <c r="BJ560" i="3"/>
  <c r="BK560" i="3"/>
  <c r="BA560" i="3"/>
  <c r="BM560" i="3"/>
  <c r="BN560" i="3"/>
  <c r="BO560" i="3"/>
  <c r="BP560" i="3"/>
  <c r="BQ560" i="3"/>
  <c r="BR560" i="3"/>
  <c r="BS560" i="3"/>
  <c r="BT560" i="3"/>
  <c r="BL560" i="3"/>
  <c r="AZ560" i="3"/>
  <c r="BD561" i="3"/>
  <c r="BE561" i="3"/>
  <c r="BF561" i="3"/>
  <c r="BG561" i="3"/>
  <c r="BH561" i="3"/>
  <c r="BI561" i="3"/>
  <c r="BJ561" i="3"/>
  <c r="BK561" i="3"/>
  <c r="BA561" i="3"/>
  <c r="BM561" i="3"/>
  <c r="BN561" i="3"/>
  <c r="BO561" i="3"/>
  <c r="BP561" i="3"/>
  <c r="BQ561" i="3"/>
  <c r="BR561" i="3"/>
  <c r="BS561" i="3"/>
  <c r="BT561" i="3"/>
  <c r="BL561" i="3"/>
  <c r="AZ561" i="3"/>
  <c r="BD562" i="3"/>
  <c r="BE562" i="3"/>
  <c r="BF562" i="3"/>
  <c r="BG562" i="3"/>
  <c r="BH562" i="3"/>
  <c r="BI562" i="3"/>
  <c r="BJ562" i="3"/>
  <c r="BK562" i="3"/>
  <c r="BA562" i="3"/>
  <c r="BM562" i="3"/>
  <c r="BN562" i="3"/>
  <c r="BO562" i="3"/>
  <c r="BP562" i="3"/>
  <c r="BQ562" i="3"/>
  <c r="BR562" i="3"/>
  <c r="BS562" i="3"/>
  <c r="BT562" i="3"/>
  <c r="BL562" i="3"/>
  <c r="AZ562" i="3"/>
  <c r="BD563" i="3"/>
  <c r="BE563" i="3"/>
  <c r="BF563" i="3"/>
  <c r="BG563" i="3"/>
  <c r="BH563" i="3"/>
  <c r="BI563" i="3"/>
  <c r="BJ563" i="3"/>
  <c r="BK563" i="3"/>
  <c r="BA563" i="3"/>
  <c r="BM563" i="3"/>
  <c r="BN563" i="3"/>
  <c r="BO563" i="3"/>
  <c r="BP563" i="3"/>
  <c r="BQ563" i="3"/>
  <c r="BR563" i="3"/>
  <c r="BS563" i="3"/>
  <c r="BT563" i="3"/>
  <c r="BL563" i="3"/>
  <c r="AZ563" i="3"/>
  <c r="BD564" i="3"/>
  <c r="BE564" i="3"/>
  <c r="BF564" i="3"/>
  <c r="BG564" i="3"/>
  <c r="BH564" i="3"/>
  <c r="BI564" i="3"/>
  <c r="BJ564" i="3"/>
  <c r="BK564" i="3"/>
  <c r="BA564" i="3"/>
  <c r="BM564" i="3"/>
  <c r="BN564" i="3"/>
  <c r="BO564" i="3"/>
  <c r="BP564" i="3"/>
  <c r="BQ564" i="3"/>
  <c r="BR564" i="3"/>
  <c r="BS564" i="3"/>
  <c r="BT564" i="3"/>
  <c r="BL564" i="3"/>
  <c r="AZ564" i="3"/>
  <c r="BD565" i="3"/>
  <c r="BE565" i="3"/>
  <c r="BF565" i="3"/>
  <c r="BG565" i="3"/>
  <c r="BH565" i="3"/>
  <c r="BI565" i="3"/>
  <c r="BJ565" i="3"/>
  <c r="BK565" i="3"/>
  <c r="BA565" i="3"/>
  <c r="BM565" i="3"/>
  <c r="BN565" i="3"/>
  <c r="BO565" i="3"/>
  <c r="BP565" i="3"/>
  <c r="BQ565" i="3"/>
  <c r="BR565" i="3"/>
  <c r="BS565" i="3"/>
  <c r="BT565" i="3"/>
  <c r="BL565" i="3"/>
  <c r="AZ565" i="3"/>
  <c r="BD566" i="3"/>
  <c r="BE566" i="3"/>
  <c r="BF566" i="3"/>
  <c r="BG566" i="3"/>
  <c r="BH566" i="3"/>
  <c r="BI566" i="3"/>
  <c r="BJ566" i="3"/>
  <c r="BK566" i="3"/>
  <c r="BA566" i="3"/>
  <c r="BM566" i="3"/>
  <c r="BN566" i="3"/>
  <c r="BO566" i="3"/>
  <c r="BP566" i="3"/>
  <c r="BQ566" i="3"/>
  <c r="BR566" i="3"/>
  <c r="BS566" i="3"/>
  <c r="BT566" i="3"/>
  <c r="BL566" i="3"/>
  <c r="AZ566" i="3"/>
  <c r="BD567" i="3"/>
  <c r="BE567" i="3"/>
  <c r="BF567" i="3"/>
  <c r="BG567" i="3"/>
  <c r="BH567" i="3"/>
  <c r="BI567" i="3"/>
  <c r="BJ567" i="3"/>
  <c r="BK567" i="3"/>
  <c r="BA567" i="3"/>
  <c r="BM567" i="3"/>
  <c r="BN567" i="3"/>
  <c r="BO567" i="3"/>
  <c r="BP567" i="3"/>
  <c r="BQ567" i="3"/>
  <c r="BR567" i="3"/>
  <c r="BS567" i="3"/>
  <c r="BT567" i="3"/>
  <c r="BL567" i="3"/>
  <c r="AZ567" i="3"/>
  <c r="BD568" i="3"/>
  <c r="BE568" i="3"/>
  <c r="BF568" i="3"/>
  <c r="BG568" i="3"/>
  <c r="BH568" i="3"/>
  <c r="BI568" i="3"/>
  <c r="BJ568" i="3"/>
  <c r="BK568" i="3"/>
  <c r="BA568" i="3"/>
  <c r="BM568" i="3"/>
  <c r="BN568" i="3"/>
  <c r="BO568" i="3"/>
  <c r="BP568" i="3"/>
  <c r="BQ568" i="3"/>
  <c r="BR568" i="3"/>
  <c r="BS568" i="3"/>
  <c r="BT568" i="3"/>
  <c r="BL568" i="3"/>
  <c r="AZ568" i="3"/>
  <c r="BD569" i="3"/>
  <c r="BE569" i="3"/>
  <c r="BF569" i="3"/>
  <c r="BG569" i="3"/>
  <c r="BH569" i="3"/>
  <c r="BI569" i="3"/>
  <c r="BJ569" i="3"/>
  <c r="BK569" i="3"/>
  <c r="BA569" i="3"/>
  <c r="BM569" i="3"/>
  <c r="BN569" i="3"/>
  <c r="BO569" i="3"/>
  <c r="BP569" i="3"/>
  <c r="BQ569" i="3"/>
  <c r="BR569" i="3"/>
  <c r="BS569" i="3"/>
  <c r="BT569" i="3"/>
  <c r="BL569" i="3"/>
  <c r="AZ569" i="3"/>
  <c r="BD570" i="3"/>
  <c r="BE570" i="3"/>
  <c r="BF570" i="3"/>
  <c r="BG570" i="3"/>
  <c r="BH570" i="3"/>
  <c r="BI570" i="3"/>
  <c r="BJ570" i="3"/>
  <c r="BK570" i="3"/>
  <c r="BA570" i="3"/>
  <c r="BM570" i="3"/>
  <c r="BN570" i="3"/>
  <c r="BO570" i="3"/>
  <c r="BP570" i="3"/>
  <c r="BQ570" i="3"/>
  <c r="BR570" i="3"/>
  <c r="BS570" i="3"/>
  <c r="BT570" i="3"/>
  <c r="BL570" i="3"/>
  <c r="AZ570" i="3"/>
  <c r="BD571" i="3"/>
  <c r="BE571" i="3"/>
  <c r="BF571" i="3"/>
  <c r="BG571" i="3"/>
  <c r="BH571" i="3"/>
  <c r="BI571" i="3"/>
  <c r="BJ571" i="3"/>
  <c r="BK571" i="3"/>
  <c r="BA571" i="3"/>
  <c r="BM571" i="3"/>
  <c r="BN571" i="3"/>
  <c r="BO571" i="3"/>
  <c r="BP571" i="3"/>
  <c r="BQ571" i="3"/>
  <c r="BR571" i="3"/>
  <c r="BS571" i="3"/>
  <c r="BT571" i="3"/>
  <c r="BL571" i="3"/>
  <c r="AZ571" i="3"/>
  <c r="BD572" i="3"/>
  <c r="BE572" i="3"/>
  <c r="BF572" i="3"/>
  <c r="BG572" i="3"/>
  <c r="BH572" i="3"/>
  <c r="BI572" i="3"/>
  <c r="BJ572" i="3"/>
  <c r="BK572" i="3"/>
  <c r="BA572" i="3"/>
  <c r="BM572" i="3"/>
  <c r="BN572" i="3"/>
  <c r="BO572" i="3"/>
  <c r="BP572" i="3"/>
  <c r="BQ572" i="3"/>
  <c r="BR572" i="3"/>
  <c r="BS572" i="3"/>
  <c r="BT572" i="3"/>
  <c r="BL572" i="3"/>
  <c r="AZ572" i="3"/>
  <c r="BD573" i="3"/>
  <c r="BE573" i="3"/>
  <c r="BF573" i="3"/>
  <c r="BG573" i="3"/>
  <c r="BH573" i="3"/>
  <c r="BI573" i="3"/>
  <c r="BJ573" i="3"/>
  <c r="BK573" i="3"/>
  <c r="BA573" i="3"/>
  <c r="BM573" i="3"/>
  <c r="BN573" i="3"/>
  <c r="BO573" i="3"/>
  <c r="BP573" i="3"/>
  <c r="BQ573" i="3"/>
  <c r="BR573" i="3"/>
  <c r="BS573" i="3"/>
  <c r="BT573" i="3"/>
  <c r="BL573" i="3"/>
  <c r="AZ573" i="3"/>
  <c r="BD574" i="3"/>
  <c r="BE574" i="3"/>
  <c r="BF574" i="3"/>
  <c r="BG574" i="3"/>
  <c r="BH574" i="3"/>
  <c r="BI574" i="3"/>
  <c r="BJ574" i="3"/>
  <c r="BK574" i="3"/>
  <c r="BA574" i="3"/>
  <c r="BM574" i="3"/>
  <c r="BN574" i="3"/>
  <c r="BO574" i="3"/>
  <c r="BP574" i="3"/>
  <c r="BQ574" i="3"/>
  <c r="BR574" i="3"/>
  <c r="BS574" i="3"/>
  <c r="BT574" i="3"/>
  <c r="BL574" i="3"/>
  <c r="AZ574" i="3"/>
  <c r="BD575" i="3"/>
  <c r="BE575" i="3"/>
  <c r="BF575" i="3"/>
  <c r="BG575" i="3"/>
  <c r="BH575" i="3"/>
  <c r="BI575" i="3"/>
  <c r="BJ575" i="3"/>
  <c r="BK575" i="3"/>
  <c r="BA575" i="3"/>
  <c r="BM575" i="3"/>
  <c r="BN575" i="3"/>
  <c r="BO575" i="3"/>
  <c r="BP575" i="3"/>
  <c r="BQ575" i="3"/>
  <c r="BR575" i="3"/>
  <c r="BS575" i="3"/>
  <c r="BT575" i="3"/>
  <c r="BL575" i="3"/>
  <c r="AZ575" i="3"/>
  <c r="BD576" i="3"/>
  <c r="BE576" i="3"/>
  <c r="BF576" i="3"/>
  <c r="BG576" i="3"/>
  <c r="BH576" i="3"/>
  <c r="BI576" i="3"/>
  <c r="BJ576" i="3"/>
  <c r="BK576" i="3"/>
  <c r="BA576" i="3"/>
  <c r="BM576" i="3"/>
  <c r="BN576" i="3"/>
  <c r="BO576" i="3"/>
  <c r="BP576" i="3"/>
  <c r="BQ576" i="3"/>
  <c r="BR576" i="3"/>
  <c r="BS576" i="3"/>
  <c r="BT576" i="3"/>
  <c r="BL576" i="3"/>
  <c r="AZ576" i="3"/>
  <c r="BD577" i="3"/>
  <c r="BE577" i="3"/>
  <c r="BF577" i="3"/>
  <c r="BG577" i="3"/>
  <c r="BH577" i="3"/>
  <c r="BI577" i="3"/>
  <c r="BJ577" i="3"/>
  <c r="BK577" i="3"/>
  <c r="BA577" i="3"/>
  <c r="BM577" i="3"/>
  <c r="BN577" i="3"/>
  <c r="BO577" i="3"/>
  <c r="BP577" i="3"/>
  <c r="BQ577" i="3"/>
  <c r="BR577" i="3"/>
  <c r="BS577" i="3"/>
  <c r="BT577" i="3"/>
  <c r="BL577" i="3"/>
  <c r="AZ577" i="3"/>
  <c r="BD578" i="3"/>
  <c r="BE578" i="3"/>
  <c r="BF578" i="3"/>
  <c r="BG578" i="3"/>
  <c r="BH578" i="3"/>
  <c r="BI578" i="3"/>
  <c r="BJ578" i="3"/>
  <c r="BK578" i="3"/>
  <c r="BA578" i="3"/>
  <c r="BM578" i="3"/>
  <c r="BN578" i="3"/>
  <c r="BO578" i="3"/>
  <c r="BP578" i="3"/>
  <c r="BQ578" i="3"/>
  <c r="BR578" i="3"/>
  <c r="BS578" i="3"/>
  <c r="BT578" i="3"/>
  <c r="BL578" i="3"/>
  <c r="AZ578" i="3"/>
  <c r="BD579" i="3"/>
  <c r="BE579" i="3"/>
  <c r="BF579" i="3"/>
  <c r="BG579" i="3"/>
  <c r="BH579" i="3"/>
  <c r="BI579" i="3"/>
  <c r="BJ579" i="3"/>
  <c r="BK579" i="3"/>
  <c r="BA579" i="3"/>
  <c r="BM579" i="3"/>
  <c r="BN579" i="3"/>
  <c r="BO579" i="3"/>
  <c r="BP579" i="3"/>
  <c r="BQ579" i="3"/>
  <c r="BR579" i="3"/>
  <c r="BS579" i="3"/>
  <c r="BT579" i="3"/>
  <c r="BL579" i="3"/>
  <c r="AZ579" i="3"/>
  <c r="BD580" i="3"/>
  <c r="BE580" i="3"/>
  <c r="BF580" i="3"/>
  <c r="BG580" i="3"/>
  <c r="BH580" i="3"/>
  <c r="BI580" i="3"/>
  <c r="BJ580" i="3"/>
  <c r="BK580" i="3"/>
  <c r="BA580" i="3"/>
  <c r="BM580" i="3"/>
  <c r="BN580" i="3"/>
  <c r="BO580" i="3"/>
  <c r="BP580" i="3"/>
  <c r="BQ580" i="3"/>
  <c r="BR580" i="3"/>
  <c r="BS580" i="3"/>
  <c r="BT580" i="3"/>
  <c r="BL580" i="3"/>
  <c r="AZ580" i="3"/>
  <c r="BD581" i="3"/>
  <c r="BE581" i="3"/>
  <c r="BF581" i="3"/>
  <c r="BG581" i="3"/>
  <c r="BH581" i="3"/>
  <c r="BI581" i="3"/>
  <c r="BJ581" i="3"/>
  <c r="BK581" i="3"/>
  <c r="BA581" i="3"/>
  <c r="BM581" i="3"/>
  <c r="BN581" i="3"/>
  <c r="BO581" i="3"/>
  <c r="BP581" i="3"/>
  <c r="BQ581" i="3"/>
  <c r="BR581" i="3"/>
  <c r="BS581" i="3"/>
  <c r="BT581" i="3"/>
  <c r="BL581" i="3"/>
  <c r="AZ581" i="3"/>
  <c r="BD582" i="3"/>
  <c r="BE582" i="3"/>
  <c r="BF582" i="3"/>
  <c r="BG582" i="3"/>
  <c r="BH582" i="3"/>
  <c r="BI582" i="3"/>
  <c r="BJ582" i="3"/>
  <c r="BK582" i="3"/>
  <c r="BA582" i="3"/>
  <c r="BM582" i="3"/>
  <c r="BN582" i="3"/>
  <c r="BO582" i="3"/>
  <c r="BP582" i="3"/>
  <c r="BQ582" i="3"/>
  <c r="BR582" i="3"/>
  <c r="BS582" i="3"/>
  <c r="BT582" i="3"/>
  <c r="BL582" i="3"/>
  <c r="AZ582" i="3"/>
  <c r="BD583" i="3"/>
  <c r="BE583" i="3"/>
  <c r="BF583" i="3"/>
  <c r="BG583" i="3"/>
  <c r="BH583" i="3"/>
  <c r="BI583" i="3"/>
  <c r="BJ583" i="3"/>
  <c r="BK583" i="3"/>
  <c r="BA583" i="3"/>
  <c r="BM583" i="3"/>
  <c r="BN583" i="3"/>
  <c r="BO583" i="3"/>
  <c r="BP583" i="3"/>
  <c r="BQ583" i="3"/>
  <c r="BR583" i="3"/>
  <c r="BS583" i="3"/>
  <c r="BT583" i="3"/>
  <c r="BL583" i="3"/>
  <c r="AZ583" i="3"/>
  <c r="BD584" i="3"/>
  <c r="BE584" i="3"/>
  <c r="BF584" i="3"/>
  <c r="BG584" i="3"/>
  <c r="BH584" i="3"/>
  <c r="BI584" i="3"/>
  <c r="BJ584" i="3"/>
  <c r="BK584" i="3"/>
  <c r="BA584" i="3"/>
  <c r="BM584" i="3"/>
  <c r="BN584" i="3"/>
  <c r="BO584" i="3"/>
  <c r="BP584" i="3"/>
  <c r="BQ584" i="3"/>
  <c r="BR584" i="3"/>
  <c r="BS584" i="3"/>
  <c r="BT584" i="3"/>
  <c r="BL584" i="3"/>
  <c r="AZ584" i="3"/>
  <c r="BD585" i="3"/>
  <c r="BE585" i="3"/>
  <c r="BF585" i="3"/>
  <c r="BG585" i="3"/>
  <c r="BH585" i="3"/>
  <c r="BI585" i="3"/>
  <c r="BJ585" i="3"/>
  <c r="BK585" i="3"/>
  <c r="BA585" i="3"/>
  <c r="BM585" i="3"/>
  <c r="BN585" i="3"/>
  <c r="BO585" i="3"/>
  <c r="BP585" i="3"/>
  <c r="BQ585" i="3"/>
  <c r="BR585" i="3"/>
  <c r="BS585" i="3"/>
  <c r="BT585" i="3"/>
  <c r="BL585" i="3"/>
  <c r="AZ585" i="3"/>
  <c r="BD586" i="3"/>
  <c r="BE586" i="3"/>
  <c r="BF586" i="3"/>
  <c r="BG586" i="3"/>
  <c r="BH586" i="3"/>
  <c r="BI586" i="3"/>
  <c r="BJ586" i="3"/>
  <c r="BK586" i="3"/>
  <c r="BA586" i="3"/>
  <c r="BM586" i="3"/>
  <c r="BN586" i="3"/>
  <c r="BO586" i="3"/>
  <c r="BP586" i="3"/>
  <c r="BQ586" i="3"/>
  <c r="BR586" i="3"/>
  <c r="BS586" i="3"/>
  <c r="BT586" i="3"/>
  <c r="BL586" i="3"/>
  <c r="AZ586" i="3"/>
  <c r="BD587" i="3"/>
  <c r="BE587" i="3"/>
  <c r="BF587" i="3"/>
  <c r="BG587" i="3"/>
  <c r="BH587" i="3"/>
  <c r="BI587" i="3"/>
  <c r="BJ587" i="3"/>
  <c r="BK587" i="3"/>
  <c r="BA587" i="3"/>
  <c r="BM587" i="3"/>
  <c r="BN587" i="3"/>
  <c r="BO587" i="3"/>
  <c r="BP587" i="3"/>
  <c r="BQ587" i="3"/>
  <c r="BR587" i="3"/>
  <c r="BS587" i="3"/>
  <c r="BT587" i="3"/>
  <c r="BL587" i="3"/>
  <c r="AZ587" i="3"/>
  <c r="AZ5" i="3"/>
  <c r="BA5" i="3"/>
  <c r="BD5" i="3"/>
  <c r="BE5" i="3"/>
  <c r="BF5" i="3"/>
  <c r="BG5" i="3"/>
  <c r="BH5" i="3"/>
  <c r="BI5" i="3"/>
  <c r="BJ5" i="3"/>
  <c r="BK5" i="3"/>
  <c r="BL5" i="3"/>
  <c r="BM5" i="3"/>
  <c r="BN5" i="3"/>
  <c r="BO5" i="3"/>
  <c r="BP5" i="3"/>
  <c r="BQ5" i="3"/>
  <c r="BR5" i="3"/>
  <c r="BS5" i="3"/>
  <c r="BT5" i="3"/>
  <c r="E5" i="6"/>
  <c r="E9" i="68"/>
  <c r="E3" i="6"/>
  <c r="E6" i="6"/>
  <c r="E10" i="68"/>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F8" i="39"/>
  <c r="AA8" i="39"/>
  <c r="F9" i="39"/>
  <c r="AA9" i="39"/>
  <c r="D81" i="39"/>
  <c r="E81" i="39"/>
  <c r="F11" i="39"/>
  <c r="AA11" i="39"/>
  <c r="B82" i="39"/>
  <c r="F12" i="39"/>
  <c r="AA12" i="39"/>
  <c r="B84" i="39"/>
  <c r="F13" i="39"/>
  <c r="AA13" i="39"/>
  <c r="B86" i="39"/>
  <c r="F14" i="39"/>
  <c r="AA14" i="39"/>
  <c r="D89" i="39"/>
  <c r="F15" i="39"/>
  <c r="AA15" i="39"/>
  <c r="D91" i="39"/>
  <c r="E91" i="39"/>
  <c r="F17" i="39"/>
  <c r="AA17" i="39"/>
  <c r="F19" i="39"/>
  <c r="AA19" i="39"/>
  <c r="D95" i="39"/>
  <c r="E95" i="39"/>
  <c r="F21" i="39"/>
  <c r="AA21" i="39"/>
  <c r="D97" i="39"/>
  <c r="F23" i="39"/>
  <c r="AA23" i="39"/>
  <c r="D99" i="39"/>
  <c r="E99" i="39"/>
  <c r="F25" i="39"/>
  <c r="AA25" i="39"/>
  <c r="D101" i="39"/>
  <c r="F27" i="39"/>
  <c r="AA27" i="39"/>
  <c r="F29" i="39"/>
  <c r="AA29" i="39"/>
  <c r="B104" i="39"/>
  <c r="D105" i="39"/>
  <c r="F31" i="39"/>
  <c r="AA31" i="39"/>
  <c r="D107" i="39"/>
  <c r="E107" i="39"/>
  <c r="F107" i="39"/>
  <c r="G107" i="39"/>
  <c r="F32" i="39"/>
  <c r="AA32" i="39"/>
  <c r="F34" i="39"/>
  <c r="AA34" i="39"/>
  <c r="B110" i="39"/>
  <c r="F35" i="39"/>
  <c r="AA35" i="39"/>
  <c r="B112" i="39"/>
  <c r="F36" i="39"/>
  <c r="AA36" i="39"/>
  <c r="B114" i="39"/>
  <c r="F37" i="39"/>
  <c r="AA37" i="39"/>
  <c r="F38" i="39"/>
  <c r="AA38" i="39"/>
  <c r="D120" i="39"/>
  <c r="F39" i="39"/>
  <c r="AA39" i="39"/>
  <c r="F40" i="39"/>
  <c r="AA40" i="39"/>
  <c r="D124" i="39"/>
  <c r="E124" i="39"/>
  <c r="F124" i="39"/>
  <c r="G124" i="39"/>
  <c r="F41" i="39"/>
  <c r="AA41" i="39"/>
  <c r="F42" i="39"/>
  <c r="AA42" i="39"/>
  <c r="B127" i="39"/>
  <c r="F43" i="39"/>
  <c r="AA43" i="39"/>
  <c r="B129" i="39"/>
  <c r="F44" i="39"/>
  <c r="AA44" i="39"/>
  <c r="B131" i="39"/>
  <c r="F45" i="39"/>
  <c r="AA45" i="39"/>
  <c r="C1" i="73"/>
  <c r="J1" i="73"/>
  <c r="C19" i="68"/>
  <c r="F21" i="68"/>
  <c r="C21" i="68"/>
  <c r="E37" i="68"/>
  <c r="C40" i="68"/>
  <c r="A6" i="1"/>
  <c r="A7" i="1"/>
  <c r="A8" i="1"/>
  <c r="G1" i="15"/>
  <c r="L1" i="73"/>
  <c r="B43" i="1"/>
  <c r="B41" i="1"/>
  <c r="F32" i="15"/>
  <c r="C42" i="1"/>
  <c r="F33" i="15"/>
  <c r="B3" i="3"/>
  <c r="A3" i="3"/>
  <c r="AY6" i="3"/>
  <c r="D3" i="6"/>
  <c r="G21" i="6"/>
  <c r="E21" i="6"/>
  <c r="D21" i="6"/>
  <c r="F28" i="6"/>
  <c r="G28" i="6"/>
  <c r="E28" i="6"/>
  <c r="F19" i="6"/>
  <c r="E19" i="6"/>
  <c r="F20" i="6"/>
  <c r="E20" i="6"/>
  <c r="E22" i="6"/>
  <c r="E23" i="6"/>
  <c r="E24" i="6"/>
  <c r="E25" i="6"/>
  <c r="E26" i="6"/>
  <c r="E27" i="6"/>
  <c r="K21" i="6"/>
  <c r="L21" i="6"/>
  <c r="M21" i="6"/>
  <c r="I21" i="6"/>
  <c r="H21" i="6"/>
  <c r="R21" i="6"/>
  <c r="B52" i="1"/>
  <c r="F34" i="15"/>
  <c r="K8" i="1"/>
  <c r="S8" i="1"/>
  <c r="T8" i="1"/>
  <c r="F15" i="15"/>
  <c r="F17" i="15"/>
  <c r="F18" i="15"/>
  <c r="F20" i="15"/>
  <c r="F21" i="15"/>
  <c r="F28" i="15"/>
  <c r="C28" i="15"/>
  <c r="G15" i="4"/>
  <c r="F8" i="1"/>
  <c r="M47" i="15"/>
  <c r="J50" i="15"/>
  <c r="J51" i="15"/>
  <c r="R47" i="21"/>
  <c r="C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F11" i="21"/>
  <c r="AA11" i="21"/>
  <c r="B70" i="21"/>
  <c r="F12" i="21"/>
  <c r="AA12" i="21"/>
  <c r="B72" i="21"/>
  <c r="F13" i="21"/>
  <c r="AA13" i="21"/>
  <c r="B74" i="21"/>
  <c r="F14" i="21"/>
  <c r="AA14" i="21"/>
  <c r="D77" i="21"/>
  <c r="F15" i="21"/>
  <c r="AA15" i="21"/>
  <c r="D79" i="21"/>
  <c r="E79" i="21"/>
  <c r="F17" i="21"/>
  <c r="AA17" i="21"/>
  <c r="D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D113" i="21"/>
  <c r="E113" i="21"/>
  <c r="F113" i="21"/>
  <c r="G113" i="21"/>
  <c r="F37" i="21"/>
  <c r="AA37" i="21"/>
  <c r="F38" i="21"/>
  <c r="AA38" i="21"/>
  <c r="F39" i="21"/>
  <c r="AA39" i="21"/>
  <c r="F40" i="21"/>
  <c r="AA40" i="21"/>
  <c r="F41" i="21"/>
  <c r="AA41" i="21"/>
  <c r="F43" i="21"/>
  <c r="AA43" i="21"/>
  <c r="B126" i="21"/>
  <c r="F44" i="21"/>
  <c r="AA44" i="21"/>
  <c r="B128" i="21"/>
  <c r="F45" i="21"/>
  <c r="AA45" i="21"/>
  <c r="B130" i="21"/>
  <c r="F46" i="21"/>
  <c r="AA46"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V47" i="21"/>
  <c r="J7" i="21"/>
  <c r="AC7" i="21"/>
  <c r="J8" i="21"/>
  <c r="AC8" i="21"/>
  <c r="J9" i="21"/>
  <c r="AC9" i="21"/>
  <c r="J10" i="21"/>
  <c r="AC10" i="21"/>
  <c r="J11" i="21"/>
  <c r="AC11" i="21"/>
  <c r="J12" i="21"/>
  <c r="AC12" i="21"/>
  <c r="J13" i="21"/>
  <c r="AC13" i="21"/>
  <c r="J14" i="21"/>
  <c r="AC14"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D3" i="21"/>
  <c r="D7" i="12"/>
  <c r="K6" i="1"/>
  <c r="M6" i="1"/>
  <c r="K7"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F12" i="12"/>
  <c r="F13" i="12"/>
  <c r="E14" i="12"/>
  <c r="F15" i="12"/>
  <c r="E17" i="12"/>
  <c r="E19" i="12"/>
  <c r="E20" i="12"/>
  <c r="F24" i="12"/>
  <c r="C24" i="12"/>
  <c r="H17" i="39"/>
  <c r="AB17" i="39"/>
  <c r="T46" i="39"/>
  <c r="H7" i="39"/>
  <c r="AB7" i="39"/>
  <c r="H8" i="39"/>
  <c r="AB8" i="39"/>
  <c r="H9" i="39"/>
  <c r="AB9" i="39"/>
  <c r="H11" i="39"/>
  <c r="AB11" i="39"/>
  <c r="H12" i="39"/>
  <c r="AB12" i="39"/>
  <c r="H13" i="39"/>
  <c r="AB13" i="39"/>
  <c r="H14" i="39"/>
  <c r="AB14" i="39"/>
  <c r="H15" i="39"/>
  <c r="AB15" i="39"/>
  <c r="H19" i="39"/>
  <c r="AB19" i="39"/>
  <c r="H21" i="39"/>
  <c r="AB21" i="39"/>
  <c r="H23" i="39"/>
  <c r="AB23" i="39"/>
  <c r="H25" i="39"/>
  <c r="AB25" i="39"/>
  <c r="H27" i="39"/>
  <c r="AB27" i="39"/>
  <c r="H29" i="39"/>
  <c r="AB29" i="39"/>
  <c r="E105" i="39"/>
  <c r="H31" i="39"/>
  <c r="AB31" i="39"/>
  <c r="H32" i="39"/>
  <c r="AB32" i="39"/>
  <c r="H34" i="39"/>
  <c r="AB34" i="39"/>
  <c r="H35" i="39"/>
  <c r="AB35" i="39"/>
  <c r="H36" i="39"/>
  <c r="AB36" i="39"/>
  <c r="H37" i="39"/>
  <c r="AB37" i="39"/>
  <c r="H38" i="39"/>
  <c r="AB38" i="39"/>
  <c r="H39" i="39"/>
  <c r="AB39" i="39"/>
  <c r="H40" i="39"/>
  <c r="AB40" i="39"/>
  <c r="H41" i="39"/>
  <c r="AB41" i="39"/>
  <c r="H42" i="39"/>
  <c r="AB42" i="39"/>
  <c r="H43" i="39"/>
  <c r="AB43" i="39"/>
  <c r="H44" i="39"/>
  <c r="AB44" i="39"/>
  <c r="H45" i="39"/>
  <c r="AB45" i="39"/>
  <c r="J17" i="39"/>
  <c r="AC17" i="39"/>
  <c r="V46" i="39"/>
  <c r="J7" i="39"/>
  <c r="AC7" i="39"/>
  <c r="J8" i="39"/>
  <c r="AC8" i="39"/>
  <c r="J9" i="39"/>
  <c r="AC9" i="39"/>
  <c r="J11" i="39"/>
  <c r="AC11" i="39"/>
  <c r="J12" i="39"/>
  <c r="AC12" i="39"/>
  <c r="J13" i="39"/>
  <c r="AC13" i="39"/>
  <c r="J14" i="39"/>
  <c r="AC14" i="39"/>
  <c r="J15" i="39"/>
  <c r="AC15"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J38" i="39"/>
  <c r="AC38" i="39"/>
  <c r="J39" i="39"/>
  <c r="AC39" i="39"/>
  <c r="J40" i="39"/>
  <c r="AC40" i="39"/>
  <c r="J41" i="39"/>
  <c r="AC41" i="39"/>
  <c r="J42" i="39"/>
  <c r="AC42" i="39"/>
  <c r="J43" i="39"/>
  <c r="AC43" i="39"/>
  <c r="J44" i="39"/>
  <c r="AC44" i="39"/>
  <c r="J45" i="39"/>
  <c r="AC45" i="39"/>
  <c r="F7" i="77"/>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G2"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M47" i="67"/>
  <c r="J53" i="67"/>
  <c r="I4" i="6"/>
  <c r="G3" i="43"/>
  <c r="C23" i="43"/>
  <c r="C21" i="43"/>
  <c r="C18" i="43"/>
  <c r="C29" i="43"/>
  <c r="C30" i="43"/>
  <c r="E30" i="43"/>
  <c r="F33" i="43"/>
  <c r="C33" i="43"/>
  <c r="G33" i="43"/>
  <c r="H33" i="43"/>
  <c r="I33" i="43"/>
  <c r="C27" i="43"/>
  <c r="E29" i="43"/>
  <c r="E33" i="43"/>
  <c r="C26" i="43"/>
  <c r="C101" i="43"/>
  <c r="C102" i="43"/>
  <c r="C103" i="43"/>
  <c r="C104" i="43"/>
  <c r="C105" i="43"/>
  <c r="C106" i="43"/>
  <c r="C107" i="43"/>
  <c r="C99" i="43"/>
  <c r="C108" i="43"/>
  <c r="C109" i="43"/>
  <c r="B113" i="43"/>
  <c r="B115" i="43"/>
  <c r="C115" i="43"/>
  <c r="B116" i="43"/>
  <c r="C116" i="43"/>
  <c r="B117" i="43"/>
  <c r="C117" i="43"/>
  <c r="B118" i="43"/>
  <c r="C118" i="43"/>
  <c r="E22" i="43"/>
  <c r="G22" i="43"/>
  <c r="F22" i="43"/>
  <c r="H22" i="43"/>
  <c r="D22"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D1" i="43"/>
  <c r="C10" i="43"/>
  <c r="C11" i="43"/>
  <c r="E8" i="43"/>
  <c r="E9" i="43"/>
  <c r="E10" i="43"/>
  <c r="E11" i="43"/>
  <c r="C9" i="43"/>
  <c r="C7" i="43"/>
  <c r="C15" i="43"/>
  <c r="D15" i="43"/>
  <c r="E15" i="43"/>
  <c r="F15" i="43"/>
  <c r="C12" i="43"/>
  <c r="C100" i="43"/>
  <c r="E6" i="76"/>
  <c r="E7" i="76"/>
  <c r="E8" i="76"/>
  <c r="E9" i="76"/>
  <c r="E10" i="76"/>
  <c r="E11" i="76"/>
  <c r="E12" i="76"/>
  <c r="E13" i="76"/>
  <c r="E2" i="76"/>
  <c r="M19" i="9"/>
  <c r="C118" i="9"/>
  <c r="C14" i="74"/>
  <c r="M18" i="9"/>
  <c r="B118" i="9"/>
  <c r="B14" i="74"/>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F36" i="68"/>
  <c r="F35" i="68"/>
  <c r="F20" i="68"/>
  <c r="F7" i="68"/>
  <c r="W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D78" i="9"/>
  <c r="D24" i="15"/>
  <c r="BC10" i="3"/>
  <c r="BD10" i="3"/>
  <c r="BB10" i="3"/>
  <c r="F35" i="11"/>
  <c r="F36" i="11"/>
  <c r="F38" i="11"/>
  <c r="E37" i="11"/>
  <c r="F20" i="11"/>
  <c r="F21" i="11"/>
  <c r="C21" i="11"/>
  <c r="F7" i="11"/>
  <c r="C7" i="11"/>
  <c r="C5" i="11"/>
  <c r="F22" i="12"/>
  <c r="F23"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E120" i="39"/>
  <c r="F120" i="39"/>
  <c r="G120" i="39"/>
  <c r="H120" i="39"/>
  <c r="I120" i="39"/>
  <c r="J120" i="39"/>
  <c r="K120" i="39"/>
  <c r="L120" i="39"/>
  <c r="M120" i="39"/>
  <c r="D109"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D93" i="39"/>
  <c r="E93" i="39"/>
  <c r="F93" i="39"/>
  <c r="G93" i="39"/>
  <c r="F91" i="39"/>
  <c r="G91"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9" i="21"/>
  <c r="W34" i="21"/>
  <c r="U36" i="21"/>
  <c r="W19" i="21"/>
  <c r="W26" i="21"/>
  <c r="S26" i="21"/>
  <c r="S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F29" i="6"/>
  <c r="E8" i="6"/>
  <c r="F27" i="6"/>
  <c r="U36" i="40"/>
  <c r="N4" i="43"/>
  <c r="F81" i="43"/>
  <c r="H83" i="43"/>
  <c r="F48" i="43"/>
  <c r="H52" i="43"/>
  <c r="N7" i="43"/>
  <c r="F70" i="43"/>
  <c r="H73" i="43"/>
  <c r="M6" i="43"/>
  <c r="M11" i="43"/>
  <c r="E17" i="43"/>
  <c r="F6" i="1"/>
  <c r="U17" i="39"/>
  <c r="S14" i="35"/>
  <c r="U43" i="21"/>
  <c r="U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AE9" i="1"/>
  <c r="D93" i="9"/>
  <c r="E12" i="6"/>
  <c r="E15" i="6"/>
  <c r="E60" i="40"/>
  <c r="E13" i="6"/>
  <c r="E58" i="40"/>
  <c r="G29" i="6"/>
  <c r="E29" i="6"/>
  <c r="AC26" i="33"/>
  <c r="W26" i="33"/>
  <c r="W27" i="34"/>
  <c r="AC27" i="34"/>
  <c r="AB34" i="36"/>
  <c r="U34" i="36"/>
  <c r="AB33" i="36"/>
  <c r="U33" i="36"/>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D9" i="11"/>
  <c r="C9" i="11"/>
  <c r="J105" i="43"/>
  <c r="G102" i="43"/>
  <c r="L101" i="43"/>
  <c r="L109" i="43"/>
  <c r="H101" i="43"/>
  <c r="M101" i="43"/>
  <c r="M109" i="43"/>
  <c r="I101" i="43"/>
  <c r="I109" i="43"/>
  <c r="E101" i="43"/>
  <c r="E32" i="6"/>
  <c r="L19"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L20" i="6"/>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I54" i="67"/>
  <c r="N59" i="15"/>
  <c r="I54" i="15"/>
  <c r="L56" i="15"/>
  <c r="AQ13" i="1"/>
  <c r="F30" i="68"/>
  <c r="C30" i="68"/>
  <c r="F30" i="11"/>
  <c r="C48" i="11"/>
  <c r="F28" i="67"/>
  <c r="C28" i="67"/>
  <c r="F31" i="12"/>
  <c r="F52" i="9"/>
  <c r="M18" i="67"/>
  <c r="F32" i="67"/>
  <c r="F60" i="67"/>
  <c r="F30" i="69"/>
  <c r="C48" i="69"/>
  <c r="F60" i="15"/>
  <c r="M18" i="15"/>
  <c r="E63" i="39"/>
  <c r="T11" i="1"/>
  <c r="D9" i="69"/>
  <c r="C9" i="69"/>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H16" i="1"/>
  <c r="K16" i="1"/>
  <c r="W33" i="21"/>
  <c r="S33" i="21"/>
  <c r="W32" i="21"/>
  <c r="U9" i="21"/>
  <c r="S32" i="21"/>
  <c r="W9" i="21"/>
  <c r="U32" i="21"/>
  <c r="S10" i="21"/>
  <c r="C36" i="69"/>
  <c r="F31" i="15"/>
  <c r="C16" i="67"/>
  <c r="M17" i="15"/>
  <c r="F59" i="67"/>
  <c r="F59" i="15"/>
  <c r="F31" i="67"/>
  <c r="M17" i="67"/>
  <c r="T7" i="1"/>
  <c r="AR7" i="1"/>
  <c r="C30" i="11"/>
  <c r="E6" i="70"/>
  <c r="K27" i="6"/>
  <c r="A18" i="62"/>
  <c r="B64" i="72"/>
  <c r="B1" i="74"/>
  <c r="D3" i="34"/>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T6" i="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E63" i="40"/>
  <c r="D65" i="40"/>
  <c r="J7" i="34"/>
  <c r="I39" i="43"/>
  <c r="C5" i="67"/>
  <c r="C32" i="67"/>
  <c r="S20" i="6"/>
  <c r="I19" i="6"/>
  <c r="M27" i="6"/>
  <c r="C49" i="15"/>
  <c r="Q60" i="15"/>
  <c r="Q60" i="67"/>
  <c r="Q73" i="67"/>
  <c r="Q61" i="67"/>
  <c r="Q74" i="67"/>
  <c r="C49" i="67"/>
  <c r="F1" i="67"/>
  <c r="Q52" i="67"/>
  <c r="E37" i="43"/>
  <c r="AA7" i="36"/>
  <c r="R36" i="36"/>
  <c r="E36" i="36"/>
  <c r="E40" i="36"/>
  <c r="F40" i="36"/>
  <c r="AC11" i="37"/>
  <c r="W11" i="37"/>
  <c r="AB7" i="37"/>
  <c r="T42" i="37"/>
  <c r="G42" i="37"/>
  <c r="G46" i="37"/>
  <c r="H46" i="37"/>
  <c r="W11" i="34"/>
  <c r="AC11" i="34"/>
  <c r="J5" i="67"/>
  <c r="H20" i="6"/>
  <c r="B2" i="74"/>
  <c r="AB7" i="36"/>
  <c r="T36" i="36"/>
  <c r="E38" i="43"/>
  <c r="E6" i="3"/>
  <c r="D10" i="11"/>
  <c r="C10" i="11"/>
  <c r="D19" i="6"/>
  <c r="D25" i="6"/>
  <c r="D26" i="6"/>
  <c r="D15" i="6"/>
  <c r="C18" i="4"/>
  <c r="D22" i="6"/>
  <c r="D8" i="6"/>
  <c r="D23" i="6"/>
  <c r="D24" i="6"/>
  <c r="D14" i="6"/>
  <c r="D20" i="6"/>
  <c r="R20" i="6"/>
  <c r="R7" i="1"/>
  <c r="D5" i="6"/>
  <c r="D6" i="6"/>
  <c r="D12" i="6"/>
  <c r="D9" i="6"/>
  <c r="D11" i="6"/>
  <c r="D10" i="6"/>
  <c r="D13" i="6"/>
  <c r="L19" i="9"/>
  <c r="D28" i="6"/>
  <c r="D29" i="6"/>
  <c r="E61" i="40"/>
  <c r="H25" i="6"/>
  <c r="R25" i="6"/>
  <c r="H22" i="6"/>
  <c r="H23" i="6"/>
  <c r="H26" i="6"/>
  <c r="H24" i="6"/>
  <c r="C26" i="69"/>
  <c r="D22" i="69"/>
  <c r="C44" i="69"/>
  <c r="D41" i="69"/>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C38" i="67"/>
  <c r="H19" i="6"/>
  <c r="S19" i="6"/>
  <c r="S27" i="6"/>
  <c r="I27" i="6"/>
  <c r="L16" i="1"/>
  <c r="J24" i="67"/>
  <c r="J18" i="67"/>
  <c r="J24" i="15"/>
  <c r="J18" i="15"/>
  <c r="G36" i="36"/>
  <c r="R37" i="36"/>
  <c r="AB7" i="34"/>
  <c r="T49" i="34"/>
  <c r="G49" i="34"/>
  <c r="G53" i="34"/>
  <c r="H53" i="34"/>
  <c r="W7" i="21"/>
  <c r="E48" i="21"/>
  <c r="E52" i="21"/>
  <c r="F52" i="21"/>
  <c r="R26" i="6"/>
  <c r="R23" i="6"/>
  <c r="R24"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D31" i="6"/>
  <c r="I6" i="6"/>
  <c r="B2" i="43"/>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F35" i="67"/>
  <c r="M21" i="67"/>
  <c r="M21" i="15"/>
  <c r="B6" i="76"/>
  <c r="I5" i="6"/>
  <c r="B2" i="76"/>
  <c r="B3" i="76"/>
  <c r="B3" i="43"/>
  <c r="F63" i="67"/>
  <c r="C62" i="67"/>
  <c r="C34" i="67"/>
  <c r="J20" i="67"/>
  <c r="J20" i="15"/>
  <c r="F63" i="15"/>
  <c r="C62" i="15"/>
  <c r="R16" i="1"/>
  <c r="I63" i="40"/>
  <c r="H65" i="40"/>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6" i="1"/>
  <c r="L51" i="15"/>
  <c r="C66" i="15"/>
  <c r="C60" i="15"/>
  <c r="C59" i="15"/>
  <c r="AG6" i="1"/>
  <c r="C80" i="15"/>
  <c r="C79" i="15"/>
  <c r="C65" i="15"/>
  <c r="Q68" i="15"/>
  <c r="L57" i="15"/>
  <c r="L60" i="15"/>
  <c r="Q67" i="15"/>
  <c r="M27" i="67"/>
  <c r="F41" i="67"/>
  <c r="M27" i="15"/>
  <c r="J26" i="67"/>
  <c r="J29" i="67"/>
  <c r="C58" i="15"/>
  <c r="C67" i="15"/>
  <c r="Q57" i="15"/>
  <c r="Q66" i="15"/>
  <c r="F69" i="67"/>
  <c r="C68" i="67"/>
  <c r="C71" i="67"/>
  <c r="C40" i="67"/>
  <c r="C83" i="67"/>
  <c r="C82" i="67"/>
  <c r="C43" i="67"/>
  <c r="C45" i="67"/>
  <c r="C46" i="67"/>
  <c r="Q65" i="67"/>
  <c r="Q75" i="67"/>
  <c r="Q56" i="67"/>
  <c r="Q62" i="67"/>
  <c r="Q47" i="67"/>
  <c r="Q53" i="67"/>
  <c r="D2" i="67"/>
  <c r="B2" i="67"/>
  <c r="AO6" i="1"/>
  <c r="E2" i="69"/>
  <c r="AO7" i="1"/>
  <c r="B7" i="70"/>
  <c r="B6" i="70"/>
  <c r="B3" i="67"/>
  <c r="D2" i="37"/>
  <c r="D2" i="36"/>
  <c r="D2" i="21"/>
  <c r="F20" i="31"/>
  <c r="D2" i="34"/>
  <c r="D2" i="33"/>
  <c r="E2" i="68"/>
  <c r="D2" i="35"/>
  <c r="B20" i="31"/>
  <c r="B2" i="36"/>
  <c r="B3" i="36"/>
  <c r="B2" i="35"/>
  <c r="B3" i="35"/>
  <c r="B2" i="37"/>
  <c r="B3" i="37"/>
  <c r="B2" i="34"/>
  <c r="B3" i="34"/>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C81" i="9"/>
  <c r="C64" i="9"/>
  <c r="C63" i="9"/>
  <c r="C67" i="9"/>
  <c r="C68" i="9"/>
  <c r="D54" i="9"/>
  <c r="D8" i="52"/>
  <c r="D123" i="9"/>
  <c r="D9" i="52"/>
  <c r="D13" i="53"/>
  <c r="B30" i="72"/>
  <c r="D14" i="53"/>
  <c r="B32" i="72"/>
  <c r="D14" i="74"/>
  <c r="D5" i="53"/>
  <c r="D6" i="53"/>
  <c r="B22" i="72"/>
  <c r="D52" i="9"/>
  <c r="F14" i="74"/>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C56" i="68"/>
  <c r="D34" i="9"/>
  <c r="G21" i="9"/>
  <c r="C20" i="9"/>
  <c r="B3" i="12"/>
  <c r="D20" i="9"/>
  <c r="G20" i="9"/>
  <c r="D103" i="9"/>
  <c r="C103" i="9"/>
  <c r="D21" i="9"/>
  <c r="D22" i="9"/>
  <c r="D102" i="9"/>
  <c r="C21" i="9"/>
  <c r="C102" i="9"/>
  <c r="AO8" i="1"/>
  <c r="B8" i="70"/>
  <c r="B2" i="70"/>
  <c r="B3" i="70"/>
  <c r="F27" i="69"/>
  <c r="C28" i="69"/>
  <c r="C27" i="69"/>
  <c r="C29" i="69"/>
  <c r="D27" i="69"/>
  <c r="C31" i="69"/>
  <c r="C46" i="69"/>
  <c r="C45" i="69"/>
  <c r="C47" i="69"/>
  <c r="D45" i="69"/>
  <c r="C49" i="69"/>
  <c r="F50" i="69"/>
  <c r="C51" i="69"/>
  <c r="C52" i="69"/>
  <c r="B2" i="69"/>
  <c r="B3" i="69"/>
  <c r="F69" i="15"/>
  <c r="C68" i="15"/>
  <c r="C46" i="15"/>
  <c r="Q56" i="15"/>
  <c r="Q62" i="15"/>
  <c r="Q47" i="15"/>
  <c r="Q53" i="15"/>
  <c r="Q65" i="15"/>
  <c r="Q75" i="15"/>
  <c r="C83" i="15"/>
  <c r="C82" i="15"/>
  <c r="C71" i="15"/>
  <c r="C43" i="15"/>
  <c r="C57" i="69"/>
  <c r="C56" i="69"/>
  <c r="F34" i="11"/>
  <c r="C34" i="11"/>
  <c r="C35" i="11"/>
  <c r="C36" i="11"/>
  <c r="C37" i="11"/>
  <c r="C38" i="11"/>
  <c r="C33" i="11"/>
  <c r="C39" i="11"/>
  <c r="C42" i="11"/>
  <c r="C43" i="11"/>
  <c r="C41" i="11"/>
  <c r="F27" i="11"/>
  <c r="C46" i="11"/>
  <c r="C45" i="11"/>
  <c r="C44" i="11"/>
  <c r="D41" i="11"/>
  <c r="C47" i="11"/>
  <c r="D45" i="11"/>
  <c r="C49" i="11"/>
  <c r="F50" i="11"/>
  <c r="C51" i="11"/>
  <c r="C23" i="11"/>
  <c r="C24" i="11"/>
  <c r="C25" i="11"/>
  <c r="C22" i="11"/>
  <c r="C28" i="11"/>
  <c r="C27" i="11"/>
  <c r="C26" i="11"/>
  <c r="D22" i="11"/>
  <c r="C29" i="11"/>
  <c r="D27" i="11"/>
  <c r="C31" i="11"/>
  <c r="C52" i="11"/>
  <c r="C56" i="11"/>
  <c r="C57" i="11"/>
  <c r="B2" i="11"/>
  <c r="B3" i="11"/>
  <c r="U10" i="39"/>
  <c r="W10" i="39"/>
  <c r="F10" i="40"/>
  <c r="S10" i="40"/>
  <c r="J10" i="40"/>
  <c r="AC10" i="40"/>
  <c r="M59" i="15"/>
  <c r="L59" i="15"/>
  <c r="Q61" i="15"/>
  <c r="AA10" i="40"/>
  <c r="W10" i="40"/>
  <c r="S10" i="39"/>
  <c r="H10" i="40"/>
  <c r="AB10" i="40"/>
  <c r="Q52" i="15"/>
  <c r="Q74" i="15"/>
  <c r="U10" i="40"/>
  <c r="M59" i="67"/>
  <c r="B3" i="15"/>
  <c r="E6" i="12"/>
  <c r="B5" i="74"/>
  <c r="D5" i="74"/>
  <c r="C5" i="74"/>
  <c r="B6" i="74"/>
  <c r="D6" i="74"/>
  <c r="C6" i="74"/>
  <c r="F15" i="74"/>
  <c r="E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<sst xmlns="http://schemas.openxmlformats.org/spreadsheetml/2006/main" count="7507" uniqueCount="3213">
  <si>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</si>
  <si>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</si>
  <si>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</si>
  <si>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</si>
  <si>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</si>
  <si>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</si>
  <si>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</si>
  <si>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</si>
  <si>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</si>
  <si>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</si>
  <si>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</si>
  <si>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</si>
  <si>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</si>
  <si>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</si>
  <si>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</si>
  <si>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</si>
  <si>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</si>
  <si>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</si>
  <si>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</si>
  <si>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</si>
  <si>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</si>
  <si>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</si>
  <si>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</si>
  <si>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</si>
  <si>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</si>
  <si>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</si>
  <si>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</si>
  <si>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</si>
  <si>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</si>
  <si>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</si>
  <si>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</si>
  <si>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</si>
  <si>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</si>
  <si>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</si>
  <si>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</si>
  <si>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</si>
  <si>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</si>
  <si>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</si>
  <si>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</si>
  <si>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</si>
  <si>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</si>
  <si>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</si>
  <si>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</si>
  <si>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</si>
  <si>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</si>
  <si>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</si>
  <si>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</si>
  <si>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</si>
  <si>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</si>
  <si>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</si>
  <si>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</si>
  <si>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</si>
  <si>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</si>
  <si>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</si>
  <si>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</si>
  <si>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</si>
  <si>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</si>
  <si>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</si>
  <si>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</si>
  <si>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</si>
  <si>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</si>
  <si>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</si>
  <si>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</si>
  <si>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</si>
  <si>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</si>
  <si>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</si>
  <si>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</si>
  <si>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</si>
  <si>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</si>
  <si>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</si>
  <si>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</si>
  <si>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</si>
  <si>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</si>
  <si>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</si>
  <si>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</si>
  <si>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</si>
  <si>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</si>
  <si>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</si>
  <si>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</si>
  <si>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</si>
  <si>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</si>
  <si>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</si>
  <si>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</si>
  <si>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</si>
  <si>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</si>
  <si>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</si>
  <si>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</si>
  <si>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</si>
  <si>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</si>
  <si>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</si>
  <si>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</si>
  <si>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</si>
  <si>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</si>
  <si>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</si>
  <si>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</si>
  <si>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</si>
  <si>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</si>
  <si>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</si>
  <si>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</si>
  <si>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</si>
  <si>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</si>
  <si>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</si>
  <si>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</si>
  <si>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</si>
  <si>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</si>
  <si>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</si>
  <si>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</si>
  <si>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</si>
  <si>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</si>
  <si>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</si>
  <si>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</si>
  <si>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</si>
  <si>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</si>
  <si>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</si>
  <si>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</si>
  <si>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</si>
  <si>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</si>
  <si>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</si>
  <si>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</si>
  <si>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</si>
  <si>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</si>
  <si>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</si>
  <si>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</si>
  <si>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</si>
  <si>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</si>
  <si>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</si>
  <si>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</si>
  <si>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</si>
  <si>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</si>
  <si>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</si>
  <si>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</si>
  <si>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</si>
  <si>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</si>
  <si>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</si>
  <si>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</si>
  <si>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</si>
  <si>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</si>
  <si>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</si>
  <si>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</si>
  <si>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</si>
  <si>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</si>
  <si>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</si>
  <si>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</si>
  <si>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</si>
  <si>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</si>
  <si>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</si>
  <si>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</si>
  <si>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</si>
  <si>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</si>
  <si>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</si>
  <si>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</si>
  <si>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</si>
  <si>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</si>
  <si>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</si>
  <si>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</si>
  <si>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</si>
  <si>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</si>
  <si>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</si>
  <si>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</si>
  <si>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</si>
  <si>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</si>
  <si>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</si>
  <si>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</si>
  <si>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</si>
  <si>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</si>
  <si>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</si>
  <si>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</si>
  <si>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</si>
  <si>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</si>
  <si>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</si>
  <si>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</si>
  <si>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</si>
  <si>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</si>
  <si>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</si>
  <si>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</si>
  <si>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</si>
  <si>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</si>
  <si>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</si>
  <si>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</si>
  <si>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</si>
  <si>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</si>
  <si>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</si>
  <si>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</si>
  <si>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</si>
  <si>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</si>
  <si>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</si>
  <si>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</si>
  <si>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</si>
  <si>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</si>
  <si>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</si>
  <si>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</si>
  <si>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</si>
  <si>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</si>
  <si>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</si>
  <si>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</si>
  <si>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</si>
  <si>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</si>
  <si>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</si>
  <si>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</si>
  <si>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</si>
  <si>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</si>
  <si>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</si>
  <si>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</si>
  <si>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</si>
  <si>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</si>
  <si>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</si>
  <si>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</si>
  <si>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</si>
  <si>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</si>
  <si>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</si>
  <si>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</si>
  <si>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</si>
  <si>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</si>
  <si>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</si>
  <si>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</si>
  <si>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</si>
  <si>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</si>
  <si>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</si>
  <si>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</si>
  <si>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</si>
  <si>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</si>
  <si>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</si>
  <si>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</si>
  <si>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</si>
  <si>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</si>
  <si>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</si>
  <si>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</si>
  <si>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</si>
  <si>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</si>
  <si>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</si>
  <si>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</si>
  <si>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</si>
  <si>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</si>
  <si>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</si>
  <si>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</si>
  <si>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</si>
  <si>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</si>
  <si>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</si>
  <si>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</si>
  <si>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</si>
  <si>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</si>
  <si>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</si>
  <si>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</si>
  <si>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</si>
  <si>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</si>
  <si>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</si>
  <si>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</si>
  <si>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</si>
  <si>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</si>
  <si>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</si>
  <si>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</si>
  <si>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</si>
  <si>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</si>
  <si>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</si>
  <si>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</si>
  <si>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</si>
  <si>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</si>
  <si>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</si>
  <si>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</si>
  <si>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</si>
  <si>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</si>
  <si>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</si>
  <si>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</si>
  <si>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</si>
  <si>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</si>
  <si>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</si>
  <si>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</si>
  <si>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</si>
  <si>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</si>
  <si>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</si>
  <si>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</si>
  <si>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</si>
  <si>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</si>
  <si>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</si>
  <si>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</si>
  <si>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</si>
  <si>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</si>
  <si>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</si>
  <si>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</si>
  <si>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</si>
  <si>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</si>
  <si>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</si>
  <si>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</si>
  <si>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</si>
  <si>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</si>
  <si>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</si>
  <si>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</si>
  <si>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</si>
  <si>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</si>
  <si>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</si>
  <si>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</si>
  <si>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</si>
  <si>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</si>
  <si>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</si>
  <si>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</si>
  <si>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</si>
  <si>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</si>
  <si>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</si>
  <si>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</si>
  <si>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</si>
  <si>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</si>
  <si>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</si>
  <si>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</si>
  <si>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</si>
  <si>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</si>
  <si>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</si>
  <si>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</si>
  <si>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</si>
  <si>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</si>
  <si>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</si>
  <si>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</si>
  <si>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</si>
  <si>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</si>
  <si>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</si>
  <si>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</si>
  <si>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</si>
  <si>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</si>
  <si>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</si>
  <si>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</si>
  <si>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</si>
  <si>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</si>
  <si>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</si>
  <si>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</si>
  <si>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</si>
  <si>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</si>
  <si>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</si>
  <si>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</si>
  <si>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</si>
  <si>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</si>
  <si>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</si>
  <si>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</si>
  <si>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</si>
  <si>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</si>
  <si>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</si>
  <si>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</si>
  <si>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</si>
  <si>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</si>
  <si>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</si>
  <si>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</si>
  <si>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</si>
  <si>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</si>
  <si>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</si>
  <si>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</si>
  <si>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</si>
  <si>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</si>
  <si>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</si>
  <si>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</si>
  <si>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</si>
  <si>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</si>
  <si>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</si>
  <si>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</si>
  <si>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</si>
  <si>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</si>
  <si>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</si>
  <si>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</si>
  <si>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</si>
  <si>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</si>
  <si>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</si>
  <si>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</si>
  <si>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</si>
  <si>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</si>
  <si>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</si>
  <si>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</si>
  <si>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</si>
  <si>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</si>
  <si>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</si>
  <si>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</si>
  <si>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</si>
  <si>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</si>
  <si>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</si>
  <si>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</si>
  <si>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</si>
  <si>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</si>
  <si>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</si>
  <si>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</si>
  <si>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</si>
  <si>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</si>
  <si>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</si>
  <si>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</si>
  <si>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</si>
  <si>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</si>
  <si>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</si>
  <si>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</si>
  <si>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</si>
  <si>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</si>
  <si>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</si>
  <si>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</si>
  <si>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</si>
  <si>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</si>
  <si>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</si>
  <si>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</si>
  <si>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</si>
  <si>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</si>
  <si>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</si>
  <si>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</si>
  <si>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</si>
  <si>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</si>
  <si>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</si>
  <si>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</si>
  <si>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</si>
  <si>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</si>
  <si>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</si>
  <si>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</si>
  <si>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</si>
  <si>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</si>
  <si>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</si>
  <si>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</si>
  <si>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</si>
  <si>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</si>
  <si>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</si>
  <si>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</si>
  <si>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</si>
  <si>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</si>
  <si>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</si>
  <si>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</si>
  <si>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</si>
  <si>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</si>
  <si>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</si>
  <si>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</si>
  <si>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</si>
  <si>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</si>
  <si>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</si>
  <si>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</si>
  <si>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</si>
  <si>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</si>
  <si>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</si>
  <si>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</si>
  <si>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</si>
  <si>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</si>
  <si>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</si>
  <si>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</si>
  <si>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</si>
  <si>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</si>
  <si>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</si>
  <si>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</si>
  <si>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</si>
  <si>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</si>
  <si>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</si>
  <si>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</si>
  <si>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</si>
  <si>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</si>
  <si>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</si>
  <si>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</si>
  <si>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</si>
  <si>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</si>
  <si>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</si>
  <si>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</si>
  <si>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</si>
  <si>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</si>
  <si>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</si>
  <si>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</si>
  <si>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</si>
  <si>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</si>
  <si>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</si>
  <si>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</si>
  <si>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</si>
  <si>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</si>
  <si>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</si>
  <si>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</si>
  <si>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</si>
  <si>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</si>
  <si>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</si>
  <si>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</si>
  <si>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</si>
  <si>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</si>
  <si>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</si>
  <si>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</si>
  <si>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</si>
  <si>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</si>
  <si>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</si>
  <si>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</si>
  <si>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</si>
  <si>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</si>
  <si>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</si>
  <si>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</si>
  <si>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</si>
  <si>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</si>
  <si>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</si>
  <si>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</si>
  <si>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</si>
  <si>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</si>
  <si>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</si>
  <si>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</si>
  <si>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</si>
  <si>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</si>
  <si>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</si>
  <si>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</si>
  <si>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</si>
  <si>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</si>
  <si>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</si>
  <si>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</si>
  <si>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</si>
  <si>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</si>
  <si>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</si>
  <si>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</si>
  <si>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</si>
  <si>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</si>
  <si>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</si>
  <si>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</si>
  <si>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</si>
  <si>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</si>
  <si>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</si>
  <si>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</si>
  <si>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</si>
  <si>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</si>
  <si>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</si>
  <si>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</si>
  <si>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</si>
  <si>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</si>
  <si>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</si>
  <si>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</si>
  <si>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</si>
  <si>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</si>
  <si>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</si>
  <si>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</si>
  <si>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</si>
  <si>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</si>
  <si>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</si>
  <si>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</si>
  <si>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</si>
  <si>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</si>
  <si>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</si>
  <si>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</si>
  <si>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</si>
  <si>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</si>
  <si>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</si>
  <si>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</si>
  <si>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</si>
  <si>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</si>
  <si>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</si>
  <si>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</si>
  <si>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</si>
  <si>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</si>
  <si>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</si>
  <si>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</si>
  <si>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</si>
  <si>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</si>
  <si>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</si>
  <si>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</si>
  <si>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</si>
  <si>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</si>
  <si>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</si>
  <si>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</si>
  <si>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</si>
  <si>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</si>
  <si>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</si>
  <si>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</si>
  <si>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</si>
  <si>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</si>
  <si>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</si>
  <si>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</si>
  <si>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</si>
  <si>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</si>
  <si>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</si>
  <si>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</si>
  <si>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</si>
  <si>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</si>
  <si>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</si>
  <si>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</si>
  <si>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</si>
  <si>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</si>
  <si>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</si>
  <si>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</si>
  <si>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</si>
  <si>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</si>
  <si>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</si>
  <si>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</si>
  <si>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</si>
  <si>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</si>
  <si>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</si>
  <si>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</si>
  <si>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</si>
  <si>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</si>
  <si>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</si>
  <si>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</si>
  <si>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</si>
  <si>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</si>
  <si>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</si>
  <si>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</si>
  <si>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</si>
  <si>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</si>
  <si>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</si>
  <si>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</si>
  <si>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</si>
  <si>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</si>
  <si>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</si>
  <si>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</si>
  <si>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</si>
  <si>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</si>
  <si>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</si>
  <si>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</si>
  <si>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</si>
  <si>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</si>
  <si>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</si>
  <si>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</si>
  <si>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</si>
  <si>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</si>
  <si>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</si>
  <si>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</si>
  <si>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</si>
  <si>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</si>
  <si>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</si>
  <si>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</si>
  <si>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</si>
  <si>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</si>
  <si>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</si>
  <si>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</si>
  <si>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</si>
  <si>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</si>
  <si>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</si>
  <si>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</si>
  <si>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</si>
  <si>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</si>
  <si>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</si>
  <si>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</si>
  <si>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</si>
  <si>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</si>
  <si>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</si>
  <si>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</si>
  <si>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</si>
  <si>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</si>
  <si>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</si>
  <si>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</si>
  <si>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</si>
  <si>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</si>
  <si>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</si>
  <si>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</si>
  <si>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</si>
  <si>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</si>
  <si>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</si>
  <si>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</si>
  <si>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</si>
  <si>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</si>
  <si>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</si>
  <si>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</si>
  <si>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</si>
  <si>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</si>
  <si>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</si>
  <si>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</si>
  <si>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</si>
  <si>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</si>
  <si>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</si>
  <si>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</si>
  <si>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</si>
  <si>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</si>
  <si>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</si>
  <si>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</si>
  <si>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</si>
  <si>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</si>
  <si>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</si>
  <si>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</si>
  <si>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</si>
  <si>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</si>
  <si>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</si>
  <si>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</si>
  <si>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</si>
  <si>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</si>
  <si>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</si>
  <si>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</si>
  <si>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</si>
  <si>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</si>
  <si>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</si>
  <si>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</si>
  <si>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</si>
  <si>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</si>
  <si>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</si>
  <si>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</si>
  <si>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</si>
  <si>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</si>
  <si>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</si>
  <si>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</si>
  <si>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</si>
  <si>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</si>
  <si>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</si>
  <si>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</si>
  <si>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</si>
  <si>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</si>
  <si>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</si>
  <si>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</si>
  <si>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</si>
  <si>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</si>
  <si>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</si>
  <si>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</si>
  <si>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</si>
  <si>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</si>
  <si>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</si>
  <si>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</si>
  <si>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</si>
  <si>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</si>
  <si>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</si>
  <si>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</si>
  <si>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</si>
  <si>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</si>
  <si>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</si>
  <si>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</si>
  <si>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</si>
  <si>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</si>
  <si>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</si>
  <si>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</si>
  <si>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</si>
  <si>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</si>
  <si>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</si>
  <si>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</si>
  <si>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</si>
  <si>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</si>
  <si>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</si>
  <si>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</si>
  <si>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</si>
  <si>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</si>
  <si>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</si>
  <si>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</si>
  <si>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</si>
  <si>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</si>
  <si>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</si>
  <si>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</si>
  <si>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</si>
  <si>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</si>
  <si>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</si>
  <si>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</si>
  <si>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</si>
  <si>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</si>
  <si>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</si>
  <si>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</si>
  <si>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</si>
  <si>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</si>
  <si>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</si>
  <si>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</si>
  <si>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</si>
  <si>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</si>
  <si>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</si>
  <si>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</si>
  <si>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</si>
  <si>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</si>
  <si>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</si>
  <si>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</si>
  <si>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</si>
  <si>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</si>
  <si>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</si>
  <si>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</si>
  <si>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</si>
  <si>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</si>
  <si>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</si>
  <si>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</si>
  <si>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</si>
  <si>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</si>
  <si>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</si>
  <si>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</si>
  <si>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</si>
  <si>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</si>
  <si>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</si>
  <si>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</si>
  <si>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</si>
  <si>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</si>
  <si>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</si>
  <si>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</si>
  <si>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</si>
  <si>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</si>
  <si>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</si>
  <si>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</si>
  <si>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</si>
  <si>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</si>
  <si>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</si>
  <si>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</si>
  <si>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</si>
  <si>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</si>
  <si>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</si>
  <si>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</si>
  <si>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</si>
  <si>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</si>
  <si>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</si>
  <si>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</si>
  <si>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</si>
  <si>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</si>
  <si>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</si>
  <si>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</si>
  <si>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</si>
  <si>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</si>
  <si>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</si>
  <si>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</si>
  <si>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</si>
  <si>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</si>
  <si>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</si>
  <si>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</si>
  <si>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</si>
  <si>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</si>
  <si>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</si>
  <si>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</si>
  <si>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</si>
  <si>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</si>
  <si>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</si>
  <si>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</si>
  <si>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</si>
  <si>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</si>
  <si>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</si>
  <si>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</si>
  <si>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</si>
  <si>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</si>
  <si>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</si>
  <si>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</si>
  <si>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</si>
  <si>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</si>
  <si>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</si>
  <si>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</si>
  <si>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</si>
  <si>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</si>
  <si>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</si>
  <si>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</si>
  <si>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</si>
  <si>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</si>
  <si>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</si>
  <si>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</si>
  <si>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</si>
  <si>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</si>
  <si>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</si>
  <si>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</si>
  <si>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</si>
  <si>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</si>
  <si>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</si>
  <si>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</si>
  <si>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</si>
  <si>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</si>
  <si>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</si>
  <si>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</si>
  <si>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</si>
  <si>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</si>
  <si>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</si>
  <si>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</si>
  <si>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</si>
  <si>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</si>
  <si>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</si>
  <si>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</si>
  <si>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</si>
  <si>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</si>
  <si>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</si>
  <si>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</si>
  <si>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</si>
  <si>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</si>
  <si>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</si>
  <si>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</si>
  <si>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</si>
  <si>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</si>
  <si>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</si>
  <si>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</si>
  <si>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</si>
  <si>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</si>
  <si>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</si>
  <si>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</si>
  <si>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</si>
  <si>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</si>
  <si>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</si>
  <si>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</si>
  <si>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</si>
  <si>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</si>
  <si>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</si>
  <si>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</si>
  <si>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</si>
  <si>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</si>
  <si>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</si>
  <si>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</si>
  <si>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</si>
  <si>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</si>
  <si>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</si>
  <si>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</si>
  <si>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</si>
  <si>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</si>
  <si>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</si>
  <si>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</si>
  <si>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</si>
  <si>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</si>
  <si>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</si>
  <si>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</si>
  <si>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</si>
  <si>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</si>
  <si>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</si>
  <si>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</si>
  <si>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</si>
  <si>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</si>
  <si>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</si>
  <si>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</si>
  <si>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</si>
  <si>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</si>
  <si>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</si>
  <si>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</si>
  <si>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</si>
  <si>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</si>
  <si>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</si>
  <si>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</si>
  <si>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</si>
  <si>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</si>
  <si>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</si>
  <si>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</si>
  <si>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</si>
  <si>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</si>
  <si>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</si>
  <si>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</si>
  <si>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</si>
  <si>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</si>
  <si>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</si>
  <si>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</si>
  <si>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</si>
  <si>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</si>
  <si>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</si>
  <si>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</si>
  <si>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</si>
  <si>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</si>
  <si>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</si>
  <si>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</si>
  <si>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</si>
  <si>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</si>
  <si>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</si>
  <si>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</si>
  <si>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</si>
  <si>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</si>
  <si>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</si>
  <si>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</si>
  <si>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</si>
  <si>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</si>
  <si>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</si>
  <si>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</si>
  <si>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</si>
  <si>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</si>
  <si>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</si>
  <si>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</si>
  <si>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</si>
  <si>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</si>
  <si>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</si>
  <si>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</si>
  <si>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</si>
  <si>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</si>
  <si>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</si>
  <si>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</si>
  <si>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</si>
  <si>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</si>
  <si>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</si>
  <si>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</si>
  <si>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</si>
  <si>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</si>
  <si>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</si>
  <si>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</si>
  <si>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</si>
  <si>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</si>
  <si>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</si>
  <si>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</si>
  <si>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</si>
  <si>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</si>
  <si>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</si>
  <si>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</si>
  <si>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</si>
  <si>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</si>
  <si>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</si>
  <si>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</si>
  <si>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</si>
  <si>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</si>
  <si>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</si>
  <si>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</si>
  <si>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</si>
  <si>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</si>
  <si>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</si>
  <si>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</si>
  <si>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</si>
  <si>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</si>
  <si>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</si>
  <si>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</si>
  <si>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</si>
  <si>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</si>
  <si>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</si>
  <si>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</si>
  <si>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</si>
  <si>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</si>
  <si>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</si>
  <si>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</si>
  <si>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</si>
  <si>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</si>
  <si>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</si>
  <si>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</si>
  <si>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</si>
  <si>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</si>
  <si>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</si>
  <si>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</si>
  <si>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</si>
  <si>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</si>
  <si>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</si>
  <si>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</si>
  <si>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</si>
  <si>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</si>
  <si>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</si>
  <si>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</si>
  <si>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</si>
  <si>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</si>
  <si>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</si>
  <si>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</si>
  <si>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</si>
  <si>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</si>
  <si>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</si>
  <si>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</si>
  <si>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</si>
  <si>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</si>
  <si>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</si>
  <si>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</si>
  <si>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</si>
  <si>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</si>
  <si>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</si>
  <si>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</si>
  <si>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</si>
  <si>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</si>
  <si>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</si>
  <si>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</si>
  <si>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</si>
  <si>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</si>
  <si>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</si>
  <si>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</si>
  <si>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</si>
  <si>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</si>
  <si>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</si>
  <si>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</si>
  <si>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</si>
  <si>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</si>
  <si>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</si>
  <si>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</si>
  <si>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</si>
  <si>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</si>
  <si>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</si>
  <si>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</si>
  <si>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</si>
  <si>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</si>
  <si>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</si>
  <si>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</si>
  <si>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</si>
  <si>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</si>
  <si>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</si>
  <si>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</si>
  <si>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</si>
  <si>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</si>
  <si>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</si>
  <si>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</si>
  <si>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</si>
  <si>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</si>
  <si>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</si>
  <si>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</si>
  <si>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</si>
  <si>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</si>
  <si>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</si>
  <si>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</si>
  <si>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</si>
  <si>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</si>
  <si>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</si>
  <si>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</si>
  <si>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</si>
  <si>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</si>
  <si>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</si>
  <si>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</si>
  <si>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</si>
  <si>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</si>
  <si>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</si>
  <si>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</si>
  <si>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</si>
  <si>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</si>
  <si>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</si>
  <si>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</si>
  <si>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</si>
  <si>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</si>
  <si>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</si>
  <si>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</si>
  <si>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</si>
  <si>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</si>
  <si>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</si>
  <si>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</si>
  <si>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</si>
  <si>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</si>
  <si>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</si>
  <si>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</si>
  <si>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</si>
  <si>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</si>
  <si>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</si>
  <si>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</si>
  <si>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</si>
  <si>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</si>
  <si>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</si>
  <si>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</si>
  <si>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</si>
  <si>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</si>
  <si>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</si>
  <si>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</si>
  <si>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</si>
  <si>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</si>
  <si>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</si>
  <si>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</si>
  <si>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</si>
  <si>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</si>
  <si>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</si>
  <si>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</si>
  <si>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</si>
  <si>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</si>
  <si>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</si>
  <si>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</si>
  <si>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</si>
  <si>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</si>
  <si>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</si>
  <si>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</si>
  <si>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</si>
  <si>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</si>
  <si>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</si>
  <si>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</si>
  <si>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</si>
  <si>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</si>
  <si>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</si>
  <si>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</si>
  <si>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</si>
  <si>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</si>
  <si>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</si>
  <si>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</si>
  <si>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</si>
  <si>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</si>
  <si>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</si>
  <si>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</si>
  <si>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</si>
  <si>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</si>
  <si>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</si>
  <si>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</si>
  <si>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</si>
  <si>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</si>
  <si>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</si>
  <si>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</si>
  <si>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</si>
  <si>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</si>
  <si>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</si>
  <si>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</si>
  <si>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</si>
  <si>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</si>
  <si>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</si>
  <si>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</si>
  <si>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</si>
  <si>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</si>
  <si>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</si>
  <si>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</si>
  <si>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</si>
  <si>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</si>
  <si>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</si>
  <si>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</si>
  <si>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</si>
  <si>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</si>
  <si>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</si>
  <si>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</si>
  <si>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</si>
  <si>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</si>
  <si>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</si>
  <si>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</si>
  <si>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</si>
  <si>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</si>
  <si>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</si>
  <si>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</si>
  <si>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</si>
  <si>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</si>
  <si>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</si>
  <si>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</si>
  <si>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</si>
  <si>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</si>
  <si>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</si>
  <si>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</si>
  <si>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</si>
  <si>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</si>
  <si>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</si>
  <si>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</si>
  <si>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</si>
  <si>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</si>
  <si>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</si>
  <si>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</si>
  <si>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</si>
  <si>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</si>
  <si>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</si>
  <si>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</si>
  <si>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</si>
  <si>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</si>
  <si>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</si>
  <si>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</si>
  <si>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</si>
  <si>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</si>
  <si>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</si>
  <si>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</si>
  <si>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</si>
  <si>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</si>
  <si>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</si>
  <si>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</si>
  <si>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</si>
  <si>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</si>
  <si>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</si>
  <si>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</si>
  <si>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</si>
  <si>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</si>
  <si>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</si>
  <si>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</si>
  <si>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</si>
  <si>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</si>
  <si>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</si>
  <si>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</si>
  <si>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</si>
  <si>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</si>
  <si>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</si>
  <si>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</si>
  <si>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</si>
  <si>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</si>
  <si>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</si>
  <si>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</si>
  <si>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</si>
  <si>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</si>
  <si>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</si>
  <si>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</si>
  <si>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</si>
  <si>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</si>
  <si>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</si>
  <si>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</si>
  <si>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</si>
  <si>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</si>
  <si>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</si>
  <si>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</si>
  <si>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</si>
  <si>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</si>
  <si>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</si>
  <si>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</si>
  <si>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</si>
  <si>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</si>
  <si>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</si>
  <si>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</si>
  <si>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</si>
  <si>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</si>
  <si>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</si>
  <si>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</si>
  <si>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</si>
  <si>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</si>
  <si>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</si>
  <si>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</si>
  <si>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</si>
  <si>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</si>
  <si>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</si>
  <si>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</si>
  <si>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</si>
  <si>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</si>
  <si>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</si>
  <si>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</si>
  <si>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</si>
  <si>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</si>
  <si>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</si>
  <si>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</si>
  <si>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</si>
  <si>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</si>
  <si>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</si>
  <si>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</si>
  <si>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</si>
  <si>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</si>
  <si>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</si>
  <si>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</si>
  <si>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</si>
  <si>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</si>
  <si>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</si>
  <si>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</si>
  <si>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</si>
  <si>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</si>
  <si>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</si>
  <si>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</si>
  <si>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</si>
  <si>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</si>
  <si>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</si>
  <si>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</si>
  <si>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</si>
  <si>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</si>
  <si>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</si>
  <si>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</si>
  <si>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</si>
  <si>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</si>
  <si>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</si>
  <si>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</si>
  <si>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</si>
  <si>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</si>
  <si>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</si>
  <si>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</si>
  <si>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</si>
  <si>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</si>
  <si>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</si>
  <si>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</si>
  <si>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</si>
  <si>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</si>
  <si>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</si>
  <si>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</si>
  <si>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</si>
  <si>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</si>
  <si>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</si>
  <si>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</si>
  <si>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</si>
  <si>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</si>
  <si>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</si>
  <si>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</si>
  <si>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</si>
  <si>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</si>
  <si>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</si>
  <si>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</si>
  <si>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</si>
  <si>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</si>
  <si>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</si>
  <si>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</si>
  <si>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</si>
  <si>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</si>
  <si>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</si>
  <si>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</si>
  <si>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</si>
  <si>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</si>
  <si>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</si>
  <si>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</si>
  <si>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</si>
  <si>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</si>
  <si>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</si>
  <si>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</si>
  <si>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</si>
  <si>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</si>
  <si>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</si>
  <si>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</si>
  <si>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</si>
  <si>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</si>
  <si>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</si>
  <si>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</si>
  <si>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</si>
  <si>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</si>
  <si>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</si>
  <si>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</si>
  <si>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</si>
  <si>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</si>
  <si>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</si>
  <si>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</si>
  <si>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</si>
  <si>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</si>
  <si>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</si>
  <si>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</si>
  <si>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</si>
  <si>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</si>
  <si>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</si>
  <si>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</si>
  <si>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</si>
  <si>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</si>
  <si>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</si>
  <si>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</si>
  <si>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</si>
  <si>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</si>
  <si>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</si>
  <si>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</si>
  <si>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</si>
  <si>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</si>
  <si>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</si>
  <si>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</si>
  <si>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</si>
  <si>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</si>
  <si>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</si>
  <si>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</si>
  <si>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</si>
  <si>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</si>
  <si>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</si>
  <si>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</si>
  <si>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</si>
  <si>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</si>
  <si>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</si>
  <si>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</si>
  <si>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</si>
  <si>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</si>
  <si>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</si>
  <si>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</si>
  <si>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</si>
  <si>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</si>
  <si>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</si>
  <si>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</si>
  <si>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</si>
  <si>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</si>
  <si>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</si>
  <si>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</si>
  <si>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</si>
  <si>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</si>
  <si>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</si>
  <si>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</si>
  <si>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</si>
  <si>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</si>
  <si>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</si>
  <si>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</si>
  <si>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</si>
  <si>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</si>
  <si>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</si>
  <si>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</si>
  <si>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</si>
  <si>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</si>
  <si>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</si>
  <si>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</si>
  <si>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</si>
  <si>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</si>
  <si>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</si>
  <si>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</si>
  <si>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</si>
  <si>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</si>
  <si>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</si>
  <si>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</si>
  <si>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</si>
  <si>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</si>
  <si>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</si>
  <si>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</si>
  <si>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</si>
  <si>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</si>
  <si>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</si>
  <si>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</si>
  <si>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</si>
  <si>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</si>
  <si>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</si>
  <si>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</si>
  <si>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</si>
  <si>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</si>
  <si>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</si>
  <si>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</si>
  <si>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</si>
  <si>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</si>
  <si>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</si>
  <si>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</si>
  <si>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</si>
  <si>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</si>
  <si>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</si>
  <si>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</si>
  <si>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</si>
  <si>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</si>
  <si>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</si>
  <si>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</si>
  <si>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</si>
  <si>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</si>
  <si>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</si>
  <si>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</si>
  <si>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</si>
  <si>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</si>
  <si>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</si>
  <si>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</si>
  <si>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</si>
  <si>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</si>
  <si>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</si>
  <si>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</si>
  <si>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</si>
  <si>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</si>
  <si>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</si>
  <si>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</si>
  <si>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</si>
  <si>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</si>
  <si>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</si>
  <si>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</si>
  <si>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</si>
  <si>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</si>
  <si>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</si>
  <si>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</si>
  <si>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</si>
  <si>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</si>
  <si>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</si>
  <si>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</si>
  <si>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</si>
  <si>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</si>
  <si>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</si>
  <si>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</si>
  <si>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</si>
  <si>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</si>
  <si>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</si>
  <si>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</si>
  <si>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</si>
  <si>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</si>
  <si>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</si>
  <si>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</si>
  <si>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</si>
  <si>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</si>
  <si>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</si>
  <si>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</si>
  <si>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</si>
  <si>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</si>
  <si>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</si>
  <si>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</si>
  <si>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</si>
  <si>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</si>
  <si>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</si>
  <si>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</si>
  <si>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</si>
  <si>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</si>
  <si>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</si>
  <si>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</si>
  <si>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</si>
  <si>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</si>
  <si>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</si>
  <si>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</si>
  <si>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</si>
  <si>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</si>
  <si>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</si>
  <si>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</si>
  <si>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</si>
  <si>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</si>
  <si>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</si>
  <si>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</si>
  <si>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</si>
  <si>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</si>
  <si>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</si>
  <si>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</si>
  <si>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</si>
  <si>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</si>
  <si>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</si>
  <si>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</si>
  <si>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</si>
  <si>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</si>
  <si>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</si>
  <si>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</si>
  <si>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</si>
  <si>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</si>
  <si>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</si>
  <si>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</si>
  <si>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</si>
  <si>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</si>
  <si>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</si>
  <si>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</si>
  <si>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</si>
  <si>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</si>
  <si>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</si>
  <si>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</si>
  <si>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</si>
  <si>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</si>
  <si>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</si>
  <si>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</si>
  <si>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</si>
  <si>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</si>
  <si>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</si>
  <si>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</si>
  <si>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</si>
  <si>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</si>
  <si>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</si>
  <si>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</si>
  <si>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</si>
  <si>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</si>
  <si>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</si>
  <si>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</si>
  <si>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</si>
  <si>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</si>
  <si>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</si>
  <si>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</si>
  <si>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</si>
  <si>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</si>
  <si>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</si>
  <si>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</si>
  <si>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</si>
  <si>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</si>
  <si>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</si>
  <si>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</si>
  <si>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</si>
  <si>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</si>
  <si>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</si>
  <si>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</si>
  <si>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</si>
  <si>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</si>
  <si>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</si>
  <si>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</si>
  <si>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</si>
  <si>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</si>
  <si>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</si>
  <si>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</si>
  <si>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</si>
  <si>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</si>
  <si>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</si>
  <si>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</si>
  <si>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</si>
  <si>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</si>
  <si>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</si>
  <si>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</si>
  <si>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</si>
  <si>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</si>
  <si>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</si>
  <si>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</si>
  <si>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</si>
  <si>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</si>
  <si>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</si>
  <si>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</si>
  <si>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</si>
  <si>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</si>
  <si>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</si>
  <si>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</si>
  <si>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</si>
  <si>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</si>
  <si>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</si>
  <si>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</si>
  <si>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</si>
  <si>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</si>
  <si>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</si>
  <si>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</si>
  <si>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</si>
  <si>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</si>
  <si>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</si>
  <si>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</si>
  <si>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</si>
  <si>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</si>
  <si>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</si>
  <si>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</si>
  <si>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</si>
  <si>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</si>
  <si>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</si>
  <si>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</si>
  <si>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</si>
  <si>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</si>
  <si>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</si>
  <si>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</si>
  <si>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</si>
  <si>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</si>
  <si>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</si>
  <si>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</si>
  <si>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</si>
  <si>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</si>
  <si>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</si>
  <si>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</si>
  <si>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</si>
  <si>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</si>
  <si>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</si>
  <si>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</si>
  <si>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</si>
  <si>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</si>
  <si>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</si>
  <si>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</si>
  <si>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</si>
  <si>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</si>
  <si>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</si>
  <si>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</si>
  <si>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</si>
  <si>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</si>
  <si>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</si>
  <si>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</si>
  <si>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</si>
  <si>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</si>
  <si>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</si>
  <si>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</si>
  <si>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</si>
  <si>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</si>
  <si>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</si>
  <si>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</si>
  <si>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</si>
  <si>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</si>
  <si>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</si>
  <si>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</si>
  <si>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</si>
  <si>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</si>
  <si>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</si>
  <si>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</si>
  <si>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</si>
  <si>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</si>
  <si>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</si>
  <si>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</si>
  <si>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</si>
  <si>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</si>
  <si>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</si>
  <si>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</si>
  <si>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</si>
  <si>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</si>
  <si>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</si>
  <si>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</si>
  <si>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</si>
  <si>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</si>
  <si>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</si>
  <si>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</si>
  <si>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</si>
  <si>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</si>
  <si>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</si>
  <si>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</si>
  <si>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</si>
  <si>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</si>
  <si>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</si>
  <si>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</si>
  <si>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</si>
  <si>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</si>
  <si>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</si>
  <si>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</si>
  <si>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</si>
  <si>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</si>
  <si>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</si>
  <si>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</si>
  <si>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</si>
  <si>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</si>
  <si>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</si>
  <si>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</si>
  <si>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</si>
  <si>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</si>
  <si>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</si>
  <si>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</si>
  <si>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</si>
  <si>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</si>
  <si>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</si>
  <si>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</si>
  <si>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</si>
  <si>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</si>
  <si>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</si>
  <si>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</si>
  <si>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</si>
  <si>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</si>
  <si>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</si>
  <si>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</si>
  <si>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</si>
  <si>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</si>
  <si>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</si>
  <si>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</si>
  <si>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</si>
  <si>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</si>
  <si>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</si>
  <si>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</si>
  <si>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</si>
  <si>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</si>
  <si>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</si>
  <si>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</si>
  <si>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</si>
  <si>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</si>
  <si>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</si>
  <si>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</si>
  <si>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</si>
  <si>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</si>
  <si>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</si>
  <si>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</si>
  <si>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</si>
  <si>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</si>
  <si>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</si>
  <si>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</si>
  <si>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</si>
  <si>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</si>
  <si>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</si>
  <si>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</si>
  <si>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</si>
  <si>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</si>
  <si>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</si>
  <si>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</si>
  <si>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</si>
  <si>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</si>
  <si>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</si>
  <si>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</si>
  <si>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</si>
  <si>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</si>
  <si>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</si>
  <si>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</si>
  <si>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</si>
  <si>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</si>
  <si>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</si>
  <si>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</si>
  <si>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</si>
  <si>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</si>
  <si>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</si>
  <si>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</si>
  <si>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</si>
  <si>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</si>
  <si>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</si>
  <si>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</si>
  <si>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</si>
  <si>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</si>
  <si>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</si>
  <si>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</si>
  <si>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</si>
  <si>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</si>
  <si>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</si>
  <si>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</si>
  <si>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</si>
  <si>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</si>
  <si>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</si>
  <si>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</si>
  <si>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</si>
  <si>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</si>
  <si>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</si>
  <si>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</si>
  <si>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</si>
  <si>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</si>
  <si>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</si>
  <si>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</si>
  <si>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</si>
  <si>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</si>
  <si>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</si>
  <si>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</si>
  <si>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</si>
  <si>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</si>
  <si>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</si>
  <si>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</si>
  <si>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</si>
  <si>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</si>
  <si>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</si>
  <si>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</si>
  <si>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</si>
  <si>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</si>
  <si>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</si>
  <si>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</si>
  <si>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</si>
  <si>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</si>
  <si>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</si>
  <si>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</si>
  <si>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</si>
  <si>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</si>
  <si>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</si>
  <si>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</si>
  <si>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</si>
  <si>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</si>
  <si>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</si>
  <si>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</si>
  <si>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</si>
  <si>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</si>
  <si>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</si>
  <si>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</si>
  <si>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</si>
  <si>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</si>
  <si>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</si>
  <si>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</si>
  <si>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</si>
  <si>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</si>
  <si>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</si>
  <si>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</si>
  <si>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</si>
  <si>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</si>
  <si>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</si>
  <si>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</si>
  <si>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</si>
  <si>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</si>
  <si>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</si>
  <si>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</si>
  <si>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</si>
  <si>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</si>
  <si>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</si>
  <si>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</si>
  <si>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</si>
  <si>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</si>
  <si>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</si>
  <si>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</si>
  <si>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</si>
  <si>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</si>
  <si>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</si>
  <si>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</si>
  <si>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</si>
  <si>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</si>
  <si>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</si>
  <si>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</si>
  <si>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</si>
  <si>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</si>
  <si>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</si>
  <si>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</si>
  <si>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</si>
  <si>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</si>
  <si>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</si>
  <si>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</si>
  <si>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</si>
  <si>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</si>
  <si>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</si>
  <si>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</si>
  <si>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</si>
  <si>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</si>
  <si>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</si>
  <si>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</si>
  <si>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</si>
  <si>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</si>
  <si>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</si>
  <si>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</si>
  <si>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</si>
  <si>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</si>
  <si>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</si>
  <si>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</si>
  <si>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</si>
  <si>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</si>
  <si>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</si>
  <si>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</si>
  <si>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</si>
  <si>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</si>
  <si>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</si>
  <si>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</si>
  <si>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</si>
  <si>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</si>
  <si>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</si>
  <si>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</si>
  <si>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</si>
  <si>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</si>
  <si>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</si>
  <si>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</si>
  <si>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</si>
  <si>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</si>
  <si>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</si>
  <si>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</si>
  <si>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</si>
  <si>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</si>
  <si>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</si>
  <si>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</si>
  <si>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</si>
  <si>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</si>
  <si>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</si>
  <si>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</si>
  <si>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</si>
  <si>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</si>
  <si>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</si>
  <si>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</si>
  <si>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</si>
  <si>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</si>
  <si>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</si>
  <si>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</si>
  <si>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</si>
  <si>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</si>
  <si>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</si>
  <si>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</si>
  <si>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</si>
  <si>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</si>
  <si>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</si>
  <si>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</si>
  <si>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</si>
  <si>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</si>
  <si>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</si>
  <si>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</si>
  <si>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</si>
  <si>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</si>
  <si>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</si>
  <si>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</si>
  <si>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</si>
  <si>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</si>
  <si>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</si>
  <si>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</si>
  <si>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</si>
  <si>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</si>
  <si>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</si>
  <si>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</si>
  <si>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</si>
  <si>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</si>
  <si>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</si>
  <si>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</si>
  <si>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</si>
  <si>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</si>
  <si>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</si>
  <si>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</si>
  <si>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</si>
  <si>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</si>
  <si>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</si>
  <si>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</si>
  <si>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</si>
  <si>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</si>
  <si>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</si>
  <si>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</si>
  <si>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</si>
  <si>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</si>
  <si>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</si>
  <si>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</si>
  <si>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</si>
  <si>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</si>
  <si>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</si>
  <si>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</si>
  <si>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</si>
  <si>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</si>
  <si>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</si>
  <si>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</si>
  <si>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</si>
  <si>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</si>
  <si>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</si>
  <si>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</si>
  <si>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</si>
  <si>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</si>
  <si>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</si>
  <si>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</si>
  <si>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</si>
  <si>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</si>
  <si>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</si>
  <si>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</si>
  <si>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</si>
  <si>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</si>
  <si>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</si>
  <si>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</si>
  <si>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</si>
  <si>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</si>
  <si>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</si>
  <si>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</si>
  <si>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</si>
  <si>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</si>
  <si>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</si>
  <si>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</si>
  <si>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</si>
  <si>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</si>
  <si>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</si>
  <si>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</si>
  <si>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</si>
  <si>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</si>
  <si>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</si>
  <si>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</si>
  <si>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</si>
  <si>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</si>
  <si>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</si>
  <si>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</si>
  <si>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</si>
  <si>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</si>
  <si>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</si>
  <si>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</si>
  <si>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</si>
  <si>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</si>
  <si>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</si>
  <si>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</si>
  <si>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</si>
  <si>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</si>
  <si>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</si>
  <si>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</si>
  <si>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</si>
  <si>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</si>
  <si>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</si>
  <si>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</si>
  <si>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</si>
  <si>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</si>
  <si>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</si>
  <si>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</si>
  <si>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</si>
  <si>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</si>
  <si>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</si>
  <si>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</si>
  <si>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</si>
  <si>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</si>
  <si>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</si>
  <si>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</si>
  <si>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</si>
  <si>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</si>
  <si>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</si>
  <si>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</si>
  <si>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</si>
  <si>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</si>
  <si>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</si>
  <si>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</si>
  <si>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</si>
  <si>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</si>
  <si>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</si>
  <si>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</si>
  <si>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</si>
  <si>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</si>
  <si>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</si>
  <si>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</si>
  <si>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</si>
  <si>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</si>
  <si>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</si>
  <si>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</si>
  <si>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</si>
  <si>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</si>
  <si>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</si>
  <si>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</si>
  <si>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</si>
  <si>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</si>
  <si>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</si>
  <si>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</si>
  <si>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</si>
  <si>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</si>
  <si>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</si>
  <si>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</si>
  <si>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</si>
  <si>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</si>
  <si>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</si>
  <si>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</si>
  <si>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</si>
  <si>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</si>
  <si>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</si>
  <si>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</si>
  <si>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</si>
  <si>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</si>
  <si>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</si>
  <si>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</si>
  <si>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</si>
  <si>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</si>
  <si>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</si>
  <si>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</si>
  <si>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</si>
  <si>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</si>
  <si>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</si>
  <si>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</si>
  <si>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</si>
  <si>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</si>
  <si>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</si>
  <si>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</si>
  <si>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</si>
  <si>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</si>
  <si>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</si>
  <si>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</si>
  <si>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</si>
  <si>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</si>
  <si>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</si>
  <si>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</si>
  <si>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</si>
  <si>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</si>
  <si>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</si>
  <si>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</si>
  <si>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</si>
  <si>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</si>
  <si>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</si>
  <si>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</si>
  <si>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</si>
  <si>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</si>
  <si>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</si>
  <si>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</si>
  <si>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</si>
  <si>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</si>
  <si>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</si>
  <si>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</si>
  <si>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</si>
  <si>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</si>
  <si>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</si>
  <si>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</si>
  <si>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</si>
  <si>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</si>
  <si>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</si>
  <si>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</si>
  <si>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</si>
  <si>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</si>
  <si>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</si>
  <si>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</si>
  <si>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</si>
  <si>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</si>
  <si>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</si>
  <si>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</si>
  <si>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</si>
  <si>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</si>
  <si>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</si>
  <si>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</si>
  <si>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</si>
  <si>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</si>
  <si>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</si>
  <si>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</si>
  <si>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</si>
  <si>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</si>
  <si>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</si>
  <si>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</si>
  <si>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</si>
  <si>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</si>
  <si>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</si>
  <si>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</si>
  <si>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</si>
  <si>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</si>
  <si>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</si>
  <si>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</si>
  <si>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</si>
  <si>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</si>
  <si>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</si>
  <si>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</si>
  <si>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</si>
  <si>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</si>
  <si>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</si>
  <si>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</si>
  <si>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</si>
  <si>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</si>
  <si>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</si>
  <si>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</si>
  <si>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</si>
  <si>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</si>
  <si>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</si>
  <si>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</si>
  <si>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</si>
  <si>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</si>
  <si>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</si>
  <si>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</si>
  <si>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</si>
  <si>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</si>
  <si>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</si>
  <si>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</si>
  <si>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</si>
  <si>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</si>
  <si>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</si>
  <si>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</si>
  <si>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</si>
  <si>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</si>
  <si>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</si>
  <si>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</si>
  <si>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</si>
  <si>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</si>
  <si>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</si>
  <si>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</si>
  <si>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</si>
  <si>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</si>
  <si>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</si>
  <si>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</si>
  <si>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</si>
  <si>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</si>
  <si>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</si>
  <si>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</si>
  <si>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</si>
  <si>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</si>
  <si>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</si>
  <si>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</si>
  <si>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</si>
  <si>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</si>
  <si>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</si>
  <si>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</si>
  <si>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</si>
  <si>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</si>
  <si>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</si>
  <si>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</si>
  <si>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</si>
  <si>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</si>
  <si>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</si>
  <si>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</si>
  <si>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</si>
  <si>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</si>
  <si>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</si>
  <si>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</si>
  <si>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</si>
  <si>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</si>
  <si>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</si>
  <si>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</si>
  <si>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</si>
  <si>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</si>
  <si>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</si>
  <si>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</si>
  <si>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</si>
  <si>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</si>
  <si>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</si>
  <si>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</si>
  <si>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</si>
  <si>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</si>
  <si>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</si>
  <si>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</si>
  <si>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</si>
  <si>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</si>
  <si>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</si>
  <si>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</si>
  <si>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</si>
  <si>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</si>
  <si>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</si>
  <si>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</si>
  <si>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</si>
  <si>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</si>
  <si>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</si>
  <si>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</si>
  <si>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</si>
  <si>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</si>
  <si>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</si>
  <si>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</si>
  <si>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</si>
  <si>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</si>
  <si>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</si>
  <si>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</si>
  <si>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</si>
  <si>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</si>
  <si>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</si>
  <si>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</si>
  <si>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</si>
  <si>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</si>
  <si>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</si>
  <si>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</si>
  <si>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</si>
  <si>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</si>
  <si>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</si>
  <si>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</si>
  <si>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</si>
  <si>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</si>
  <si>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</si>
  <si>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</si>
  <si>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</si>
  <si>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</si>
  <si>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</si>
  <si>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</si>
  <si>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</si>
  <si>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</si>
  <si>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</si>
  <si>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</si>
  <si>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</si>
  <si>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</si>
  <si>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</si>
  <si>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</si>
  <si>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</si>
  <si>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</si>
  <si>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</si>
  <si>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</si>
  <si>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</si>
  <si>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</si>
  <si>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</si>
  <si>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</si>
  <si>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</si>
  <si>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</si>
  <si>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</si>
  <si>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</si>
  <si>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</si>
  <si>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</si>
  <si>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</si>
  <si>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</si>
  <si>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</si>
  <si>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</si>
  <si>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</si>
  <si>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</si>
  <si>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</si>
  <si>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</si>
  <si>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</si>
  <si>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</si>
  <si>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</si>
  <si>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</si>
  <si>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</si>
  <si>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</si>
  <si>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</si>
  <si>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</si>
  <si>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</si>
  <si>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</si>
  <si>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</si>
  <si>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</si>
  <si>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</si>
  <si>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</si>
  <si>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</si>
  <si>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</si>
  <si>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</si>
  <si>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</si>
  <si>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</si>
  <si>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</si>
  <si>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</si>
  <si>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</si>
  <si>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</si>
  <si>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</si>
  <si>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</si>
  <si>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</si>
  <si>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</si>
  <si>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</si>
  <si>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</si>
  <si>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</si>
  <si>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</si>
  <si>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</si>
  <si>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</si>
  <si>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</si>
  <si>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</si>
  <si>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</si>
  <si>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</si>
  <si>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</si>
  <si>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</si>
  <si>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</si>
  <si>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</si>
  <si>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</si>
  <si>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</si>
  <si>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</si>
  <si>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</si>
  <si>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</si>
  <si>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</si>
  <si>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</si>
  <si>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</si>
  <si>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</si>
  <si>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</si>
  <si>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</si>
  <si>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</si>
  <si>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</si>
  <si>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</si>
  <si>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</si>
  <si>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</si>
  <si>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</si>
  <si>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</si>
  <si>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</si>
  <si>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</si>
  <si>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</si>
  <si>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</si>
  <si>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</si>
  <si>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</si>
  <si>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</si>
  <si>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</si>
  <si>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</si>
  <si>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</si>
  <si>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</si>
  <si>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</si>
  <si>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</si>
  <si>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</si>
  <si>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</si>
  <si>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</si>
  <si>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</si>
  <si>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</si>
  <si>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</si>
  <si>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</si>
  <si>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</si>
  <si>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</si>
  <si>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</si>
  <si>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</si>
  <si>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</si>
  <si>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</si>
  <si>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</si>
  <si>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</si>
  <si>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</si>
  <si>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</si>
  <si>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</si>
  <si>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</si>
  <si>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</si>
  <si>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</si>
  <si>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</si>
  <si>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</si>
  <si>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</si>
  <si>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</si>
  <si>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</si>
  <si>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</si>
  <si>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</si>
  <si>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</si>
  <si>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</si>
  <si>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</si>
  <si>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</si>
  <si>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</si>
  <si>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</si>
  <si>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</si>
  <si>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</si>
  <si>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</si>
  <si>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</si>
  <si>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</si>
  <si>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</si>
  <si>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</si>
  <si>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</si>
  <si>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</si>
  <si>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</si>
  <si>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</si>
  <si>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</si>
  <si>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</si>
  <si>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</si>
  <si>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</si>
  <si>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</si>
  <si>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</si>
  <si>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</si>
  <si>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</si>
  <si>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</si>
  <si>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</si>
  <si>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</si>
  <si>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</si>
  <si>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</si>
  <si>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</si>
  <si>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</si>
  <si>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</si>
  <si>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</si>
  <si>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</si>
  <si>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</si>
  <si>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</si>
  <si>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</si>
  <si>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</si>
  <si>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</si>
  <si>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</si>
  <si>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</si>
  <si>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</si>
  <si>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</si>
  <si>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</si>
  <si>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</si>
  <si>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</si>
  <si>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</si>
  <si>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</si>
  <si>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</si>
  <si>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</si>
  <si>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</si>
  <si>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</si>
  <si>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</si>
  <si>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</si>
  <si>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</si>
  <si>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</si>
  <si>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</si>
  <si>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</si>
  <si>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</si>
  <si>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</si>
  <si>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</si>
  <si>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</si>
  <si>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</si>
  <si>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</si>
  <si>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</si>
  <si>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</si>
  <si>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</si>
  <si>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</si>
  <si>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</si>
  <si>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</si>
  <si>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</si>
  <si>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</si>
  <si>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</si>
  <si>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</si>
  <si>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</si>
  <si>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</si>
  <si>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</si>
  <si>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</si>
  <si>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</si>
  <si>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</si>
  <si>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</si>
  <si>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</si>
  <si>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</si>
  <si>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</si>
  <si>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</si>
  <si>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</si>
  <si>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</si>
  <si>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</si>
  <si>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</si>
  <si>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</si>
  <si>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</si>
  <si>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</si>
  <si>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</si>
  <si>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</si>
  <si>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</si>
  <si>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</si>
  <si>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</si>
  <si>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</si>
  <si>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</si>
  <si>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</si>
  <si>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</si>
  <si>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</si>
  <si>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</si>
  <si>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</si>
  <si>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</si>
  <si>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</si>
  <si>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</si>
  <si>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</si>
  <si>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</si>
  <si>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</si>
  <si>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</si>
  <si>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</si>
  <si>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</si>
  <si>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</si>
  <si>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</si>
  <si>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</si>
  <si>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</si>
  <si>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</si>
  <si>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</si>
  <si>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</si>
  <si>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</si>
  <si>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</si>
  <si>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</si>
  <si>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</si>
  <si>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</si>
  <si>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</si>
  <si>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</si>
  <si>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</si>
  <si>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</si>
  <si>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</si>
  <si>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</si>
  <si>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</si>
  <si>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</si>
  <si>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</si>
  <si>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</si>
  <si>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</si>
  <si>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</si>
  <si>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</si>
  <si>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</si>
  <si>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</si>
  <si>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</si>
  <si>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</si>
  <si>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</si>
  <si>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</si>
  <si>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</si>
  <si>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</si>
  <si>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</si>
  <si>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</si>
  <si>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</si>
  <si>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</si>
  <si>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</si>
  <si>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</si>
  <si>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</si>
  <si>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</si>
  <si>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</si>
  <si>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</si>
  <si>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</si>
  <si>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</si>
  <si>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</si>
  <si>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</si>
  <si>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</si>
  <si>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</si>
  <si>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</si>
  <si>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</si>
  <si>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</si>
  <si>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</si>
  <si>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</si>
  <si>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</si>
  <si>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</si>
  <si>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</si>
  <si>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</si>
  <si>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</si>
  <si>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</si>
  <si>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</si>
  <si>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</si>
  <si>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</si>
  <si>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</si>
  <si>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</si>
  <si>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</si>
  <si>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</si>
  <si>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</si>
  <si>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</si>
  <si>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</si>
  <si>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</si>
  <si>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</si>
  <si>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</si>
  <si>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</si>
  <si>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</si>
  <si>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</si>
  <si>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</si>
  <si>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</si>
  <si>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</si>
  <si>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</si>
  <si>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</si>
  <si>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</si>
  <si>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</si>
  <si>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</si>
  <si>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</si>
  <si>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</si>
  <si>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</si>
  <si>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</si>
  <si>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</si>
  <si>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</si>
  <si>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</si>
  <si>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</si>
  <si>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</si>
  <si>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</si>
  <si>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</si>
  <si>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</si>
  <si>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</si>
  <si>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</si>
  <si>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</si>
  <si>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</si>
  <si>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</si>
  <si>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</si>
  <si>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</si>
  <si>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</si>
  <si>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</si>
  <si>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</si>
  <si>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</si>
  <si>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</si>
  <si>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</si>
  <si>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</si>
  <si>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</si>
  <si>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</si>
  <si>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</si>
  <si>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</si>
  <si>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</si>
  <si>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</si>
  <si>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</si>
  <si>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</si>
  <si>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</si>
  <si>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</si>
  <si>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</si>
  <si>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</si>
  <si>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</si>
  <si>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</si>
  <si>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</si>
  <si>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</si>
  <si>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</si>
  <si>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</si>
  <si>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</si>
  <si>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</si>
  <si>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</si>
  <si>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</si>
  <si>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</si>
  <si>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</si>
  <si>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</si>
  <si>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</si>
  <si>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</si>
  <si>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</si>
  <si>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</si>
  <si>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</si>
  <si>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</si>
  <si>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</si>
  <si>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</si>
  <si>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</si>
  <si>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</si>
  <si>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</si>
  <si>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</si>
  <si>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</si>
  <si>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</si>
  <si>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</si>
  <si>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</si>
  <si>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</si>
  <si>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</si>
  <si>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</si>
  <si>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</si>
  <si>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</si>
  <si>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</si>
  <si>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</si>
  <si>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</si>
  <si>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</si>
  <si>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</si>
  <si>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</si>
  <si>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</si>
  <si>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</si>
  <si>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</si>
  <si>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</si>
  <si>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</si>
  <si>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</si>
  <si>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</si>
  <si>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</si>
  <si>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</si>
  <si>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</si>
  <si>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</si>
  <si>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</si>
  <si>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</si>
  <si>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</si>
  <si>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</si>
  <si>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</si>
  <si>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</si>
  <si>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</si>
  <si>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</si>
  <si>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</si>
  <si>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</si>
  <si>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</si>
  <si>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</si>
  <si>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</si>
  <si>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</si>
  <si>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</si>
  <si>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</si>
  <si>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</si>
  <si>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</si>
  <si>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</si>
  <si>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</si>
  <si>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</si>
  <si>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</si>
  <si>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</si>
  <si>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</si>
  <si>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</si>
  <si>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</si>
  <si>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</si>
  <si>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</si>
  <si>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</si>
  <si>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</si>
  <si>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</si>
  <si>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</si>
  <si>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</si>
  <si>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</si>
  <si>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</si>
  <si>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</si>
  <si>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</si>
  <si>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</si>
  <si>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</si>
  <si>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</si>
  <si>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</si>
  <si>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</si>
  <si>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</si>
  <si>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</si>
  <si>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</si>
  <si>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</si>
  <si>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</si>
  <si>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</si>
  <si>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</si>
  <si>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</si>
  <si>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</si>
  <si>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</si>
  <si>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</si>
  <si>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</si>
  <si>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</si>
  <si>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</si>
  <si>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</si>
  <si>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</si>
  <si>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</si>
  <si>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</si>
  <si>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</si>
  <si>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</si>
  <si>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</si>
  <si>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</si>
  <si>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</si>
  <si>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</si>
  <si>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</si>
  <si>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</si>
  <si>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</si>
  <si>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</si>
  <si>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</si>
  <si>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</si>
  <si>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</si>
  <si>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</si>
  <si>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</si>
  <si>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</si>
  <si>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</si>
  <si>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</si>
  <si>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</si>
  <si>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</si>
  <si>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</si>
  <si>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</si>
  <si>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</si>
  <si>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</si>
  <si>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</si>
  <si>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</si>
  <si>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</si>
  <si>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</si>
  <si>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</si>
  <si>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</si>
  <si>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</si>
  <si>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</si>
  <si>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</si>
  <si>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</si>
  <si>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</si>
  <si>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</si>
  <si>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</si>
  <si>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</si>
  <si>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</si>
  <si>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</si>
  <si>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</si>
  <si>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</si>
  <si>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</si>
  <si>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</si>
  <si>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</si>
  <si>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</si>
  <si>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</si>
  <si>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</si>
  <si>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</si>
  <si>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</si>
  <si>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</si>
  <si>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</si>
  <si>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</si>
  <si>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</si>
  <si>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</si>
  <si>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</si>
  <si>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</si>
  <si>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</si>
  <si>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</si>
  <si>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</si>
  <si>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</si>
  <si>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</si>
  <si>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</si>
  <si>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</si>
  <si>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</si>
  <si>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</si>
  <si>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</si>
  <si>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</si>
  <si>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</si>
  <si>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</si>
  <si>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</si>
  <si>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</si>
  <si>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</si>
  <si>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</si>
  <si>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</si>
  <si>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</si>
  <si>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</si>
  <si>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</si>
  <si>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</si>
  <si>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</si>
  <si>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</si>
  <si>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</si>
  <si>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</si>
  <si>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</si>
  <si>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</si>
  <si>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</si>
  <si>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</si>
  <si>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</si>
  <si>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</si>
  <si>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</si>
  <si>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</si>
  <si>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</si>
  <si>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</si>
  <si>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</si>
  <si>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</si>
  <si>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</si>
  <si>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</si>
  <si>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</si>
  <si>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</si>
  <si>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</si>
  <si>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</si>
  <si>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</si>
  <si>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</si>
  <si>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</si>
  <si>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</si>
  <si>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</si>
  <si>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</si>
  <si>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</si>
  <si>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</si>
  <si>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</si>
  <si>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</si>
  <si>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</si>
  <si>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</si>
  <si>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</si>
  <si>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</si>
  <si>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</si>
  <si>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</si>
  <si>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</si>
  <si>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</si>
  <si>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</si>
  <si>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</si>
  <si>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</si>
  <si>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</si>
  <si>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</si>
  <si>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</si>
  <si>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</si>
  <si>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</si>
  <si>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</si>
  <si>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</si>
  <si>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</si>
  <si>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</si>
  <si>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</si>
  <si>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</si>
  <si>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</si>
  <si>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</si>
  <si>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</si>
  <si>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</si>
  <si>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</si>
  <si>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</si>
  <si>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</si>
  <si>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</si>
  <si>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</si>
  <si>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</si>
  <si>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</si>
  <si>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</si>
  <si>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</si>
  <si>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</si>
  <si>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</si>
  <si>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</si>
  <si>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</si>
  <si>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</si>
  <si>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</si>
  <si>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</si>
  <si>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</si>
  <si>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</si>
  <si>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</si>
  <si>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</si>
  <si>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</si>
  <si>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</si>
  <si>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</si>
  <si>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</si>
  <si>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</si>
  <si>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</si>
  <si>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</si>
  <si>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</si>
  <si>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</si>
  <si>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</si>
  <si>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</si>
  <si>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</si>
  <si>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</si>
  <si>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</si>
  <si>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</si>
  <si>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</si>
  <si>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</si>
  <si>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</si>
  <si>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</si>
  <si>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</si>
  <si>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</si>
  <si>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</si>
  <si>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</si>
  <si>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</si>
  <si>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</si>
  <si>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</si>
  <si>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</si>
  <si>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</si>
  <si>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</si>
  <si>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</si>
  <si>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</si>
  <si>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</si>
  <si>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</si>
  <si>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</si>
  <si>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</si>
  <si>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</si>
  <si>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</si>
  <si>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</si>
  <si>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</si>
  <si>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</si>
  <si>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</si>
  <si>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</si>
  <si>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</si>
  <si>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</si>
  <si>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</si>
  <si>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</si>
  <si>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</si>
  <si>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</si>
  <si>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</si>
  <si>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</si>
  <si>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</si>
  <si>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</si>
  <si>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</si>
  <si>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</si>
  <si>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</si>
  <si>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</si>
  <si>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</si>
  <si>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</si>
  <si>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</si>
  <si>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</si>
  <si>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</si>
  <si>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</si>
  <si>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</si>
  <si>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</si>
  <si>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</si>
  <si>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</si>
  <si>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</si>
  <si>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</si>
  <si>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</si>
  <si>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</si>
  <si>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</si>
  <si>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</si>
  <si>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</si>
  <si>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</si>
  <si>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</si>
  <si>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</si>
  <si>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</si>
  <si>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</si>
  <si>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</si>
  <si>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</si>
  <si>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</si>
  <si>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</si>
  <si>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</si>
  <si>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</si>
  <si>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</si>
  <si>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</si>
  <si>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</si>
  <si>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</si>
  <si>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</si>
  <si>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</si>
  <si>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</si>
  <si>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</si>
  <si>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</si>
  <si>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</si>
  <si>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</si>
  <si>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</si>
  <si>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</si>
  <si>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</si>
  <si>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</si>
  <si>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</si>
  <si>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</si>
  <si>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</si>
  <si>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</si>
  <si>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</si>
  <si>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</si>
  <si>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</si>
  <si>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</si>
  <si>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</si>
  <si>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</si>
  <si>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</si>
  <si>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</si>
  <si>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</si>
  <si>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</si>
  <si>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</si>
  <si>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</si>
  <si>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</si>
  <si>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</si>
  <si>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</si>
  <si>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</si>
  <si>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</si>
  <si>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</si>
  <si>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</si>
  <si>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</si>
  <si>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</si>
  <si>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</si>
  <si>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</si>
  <si>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</si>
  <si>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</si>
  <si>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</si>
  <si>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</si>
  <si>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</si>
  <si>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</si>
  <si>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</si>
  <si>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</si>
  <si>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</si>
  <si>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</si>
  <si>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</si>
  <si>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</si>
  <si>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</si>
  <si>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</si>
  <si>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</si>
  <si>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</si>
  <si>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</si>
  <si>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</si>
  <si>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</si>
  <si>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</si>
  <si>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</si>
  <si>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</si>
  <si>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</si>
  <si>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</si>
  <si>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</si>
  <si>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</si>
  <si>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</si>
  <si>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</si>
  <si>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</si>
  <si>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</si>
  <si>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</si>
  <si>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</si>
  <si>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</si>
  <si>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</si>
  <si>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</si>
  <si>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</si>
  <si>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</si>
  <si>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</si>
  <si>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</si>
  <si>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</si>
  <si>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</si>
  <si>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</si>
  <si>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2018-1-0469</t>
    <phoneticPr fontId="7" type="noConversion"/>
  </si>
  <si>
    <t>刘梅</t>
  </si>
  <si>
    <t>吴薇</t>
  </si>
  <si>
    <t>中诚信托</t>
    <phoneticPr fontId="4" type="noConversion"/>
  </si>
  <si>
    <t>天津弘盛房地产开发有限公司</t>
    <phoneticPr fontId="4" type="noConversion"/>
  </si>
  <si>
    <t>房地产抵押价值</t>
  </si>
  <si>
    <t>抵押</t>
  </si>
  <si>
    <t>其他：</t>
  </si>
  <si>
    <t>天津市</t>
    <phoneticPr fontId="4" type="noConversion"/>
  </si>
  <si>
    <t>滨海新区中心商务区庆盛道以东，安阳道以南</t>
    <phoneticPr fontId="7" type="noConversion"/>
  </si>
  <si>
    <t>企业</t>
  </si>
  <si>
    <t>天津弘盛房地产开发有限公司</t>
    <phoneticPr fontId="4" type="noConversion"/>
  </si>
  <si>
    <t>天津弘盛房地产开发有限公司</t>
    <phoneticPr fontId="7" type="noConversion"/>
  </si>
  <si>
    <t>出让</t>
  </si>
  <si>
    <t>《不动产权证书》[津（2017）滨海新区中心商务区不动产权第1004912号]</t>
    <phoneticPr fontId="7" type="noConversion"/>
  </si>
  <si>
    <t>《天津市国有建设用地使用权出让合同（建设类）》[电子监管号：1201072016B01565]及附件、《建设工程规划许可证》[2017滨海住证0021、0024、0025、0026、0027号]</t>
    <phoneticPr fontId="7" type="noConversion"/>
  </si>
  <si>
    <t>住宅、商业、地下车库</t>
    <phoneticPr fontId="7" type="noConversion"/>
  </si>
  <si>
    <r>
      <rPr>
        <sz val="12"/>
        <color theme="9" tint="-0.249977111117893"/>
        <rFont val="宋体"/>
        <family val="3"/>
        <charset val="134"/>
      </rPr>
      <t>住宅</t>
    </r>
    <r>
      <rPr>
        <sz val="12"/>
        <color theme="9" tint="-0.249977111117893"/>
        <rFont val="Arial"/>
        <family val="2"/>
      </rPr>
      <t>68.7</t>
    </r>
    <r>
      <rPr>
        <sz val="12"/>
        <color theme="9" tint="-0.249977111117893"/>
        <rFont val="宋体"/>
        <family val="3"/>
        <charset val="134"/>
      </rPr>
      <t>年、商业</t>
    </r>
    <r>
      <rPr>
        <sz val="12"/>
        <color theme="9" tint="-0.249977111117893"/>
        <rFont val="Arial"/>
        <family val="2"/>
      </rPr>
      <t>38.7</t>
    </r>
    <r>
      <rPr>
        <sz val="12"/>
        <color theme="9" tint="-0.249977111117893"/>
        <rFont val="宋体"/>
        <family val="3"/>
        <charset val="134"/>
      </rPr>
      <t>年、地下车库</t>
    </r>
    <r>
      <rPr>
        <sz val="12"/>
        <color theme="9" tint="-0.249977111117893"/>
        <rFont val="Arial"/>
        <family val="2"/>
      </rPr>
      <t>48.7</t>
    </r>
    <r>
      <rPr>
        <sz val="12"/>
        <color theme="9" tint="-0.249977111117893"/>
        <rFont val="宋体"/>
        <family val="3"/>
        <charset val="134"/>
      </rPr>
      <t>年</t>
    </r>
    <phoneticPr fontId="7" type="noConversion"/>
  </si>
  <si>
    <t>是</t>
  </si>
  <si>
    <t>《不动产权证书》</t>
  </si>
  <si>
    <t>资阳民生村镇股份有限公司</t>
    <phoneticPr fontId="7" type="noConversion"/>
  </si>
  <si>
    <r>
      <t>310000</t>
    </r>
    <r>
      <rPr>
        <sz val="10"/>
        <color theme="9" tint="-0.249977111117893"/>
        <rFont val="宋体"/>
        <family val="3"/>
        <charset val="134"/>
      </rPr>
      <t>万元</t>
    </r>
    <phoneticPr fontId="7" type="noConversion"/>
  </si>
  <si>
    <t>中国民生银行股份有限公司天津分行</t>
    <phoneticPr fontId="7" type="noConversion"/>
  </si>
  <si>
    <r>
      <rPr>
        <sz val="10"/>
        <color theme="9" tint="-0.249977111117893"/>
        <rFont val="宋体"/>
        <family val="3"/>
        <charset val="134"/>
      </rPr>
      <t>该宗土地使用权</t>
    </r>
    <r>
      <rPr>
        <sz val="10"/>
        <color theme="9" tint="-0.249977111117893"/>
        <rFont val="Arial"/>
        <family val="2"/>
      </rPr>
      <t>106984.7</t>
    </r>
    <r>
      <rPr>
        <sz val="10"/>
        <color theme="9" tint="-0.249977111117893"/>
        <rFont val="宋体"/>
        <family val="3"/>
        <charset val="134"/>
      </rPr>
      <t>平方米</t>
    </r>
    <phoneticPr fontId="7" type="noConversion"/>
  </si>
  <si>
    <r>
      <t>150000</t>
    </r>
    <r>
      <rPr>
        <sz val="10"/>
        <color theme="9" tint="-0.249977111117893"/>
        <rFont val="宋体"/>
        <family val="3"/>
        <charset val="134"/>
      </rPr>
      <t>万元</t>
    </r>
    <phoneticPr fontId="7" type="noConversion"/>
  </si>
  <si>
    <t>居住项目</t>
  </si>
  <si>
    <t>无</t>
  </si>
  <si>
    <t>否</t>
  </si>
  <si>
    <t>在建</t>
  </si>
  <si>
    <t>通路</t>
  </si>
  <si>
    <t>通电</t>
  </si>
  <si>
    <t>通讯</t>
  </si>
  <si>
    <t>地上</t>
  </si>
  <si>
    <t>住宅</t>
  </si>
  <si>
    <t>平层住宅</t>
  </si>
  <si>
    <t>小高层</t>
  </si>
  <si>
    <t>小高层</t>
    <phoneticPr fontId="17" type="noConversion"/>
  </si>
  <si>
    <t>地下</t>
  </si>
  <si>
    <t>车库</t>
  </si>
  <si>
    <t>序号</t>
    <phoneticPr fontId="144" type="noConversion"/>
  </si>
  <si>
    <t>《建设工程规划许可证》证号</t>
    <phoneticPr fontId="144" type="noConversion"/>
  </si>
  <si>
    <t>建设项目名称</t>
    <phoneticPr fontId="144" type="noConversion"/>
  </si>
  <si>
    <t>总建筑面积</t>
    <phoneticPr fontId="144" type="noConversion"/>
  </si>
  <si>
    <t>地上建筑面积</t>
    <phoneticPr fontId="144" type="noConversion"/>
  </si>
  <si>
    <t>地下建筑面积</t>
    <phoneticPr fontId="144" type="noConversion"/>
  </si>
  <si>
    <r>
      <t>2</t>
    </r>
    <r>
      <rPr>
        <sz val="11"/>
        <color theme="1"/>
        <rFont val="宋体"/>
        <family val="3"/>
        <charset val="134"/>
        <scheme val="minor"/>
      </rPr>
      <t>017滨海住证0021</t>
    </r>
    <phoneticPr fontId="144" type="noConversion"/>
  </si>
  <si>
    <r>
      <t>誉峰园一期2</t>
    </r>
    <r>
      <rPr>
        <sz val="11"/>
        <color theme="1"/>
        <rFont val="宋体"/>
        <family val="3"/>
        <charset val="134"/>
        <scheme val="minor"/>
      </rPr>
      <t>6#楼28#楼及配建15</t>
    </r>
    <phoneticPr fontId="144" type="noConversion"/>
  </si>
  <si>
    <r>
      <t>2</t>
    </r>
    <r>
      <rPr>
        <sz val="11"/>
        <color theme="1"/>
        <rFont val="宋体"/>
        <family val="3"/>
        <charset val="134"/>
        <scheme val="minor"/>
      </rPr>
      <t>017滨海住证0026</t>
    </r>
    <phoneticPr fontId="144" type="noConversion"/>
  </si>
  <si>
    <r>
      <t>誉峰园二期2</t>
    </r>
    <r>
      <rPr>
        <sz val="11"/>
        <color theme="1"/>
        <rFont val="宋体"/>
        <family val="3"/>
        <charset val="134"/>
        <scheme val="minor"/>
      </rPr>
      <t>5#楼</t>
    </r>
    <phoneticPr fontId="144" type="noConversion"/>
  </si>
  <si>
    <r>
      <t>2</t>
    </r>
    <r>
      <rPr>
        <sz val="11"/>
        <color theme="1"/>
        <rFont val="宋体"/>
        <family val="3"/>
        <charset val="134"/>
        <scheme val="minor"/>
      </rPr>
      <t>017滨海住证0027</t>
    </r>
    <r>
      <rPr>
        <sz val="11"/>
        <color theme="1"/>
        <rFont val="宋体"/>
        <family val="2"/>
        <charset val="134"/>
        <scheme val="minor"/>
      </rPr>
      <t/>
    </r>
  </si>
  <si>
    <t>誉峰园三期27#楼</t>
    <phoneticPr fontId="144" type="noConversion"/>
  </si>
  <si>
    <t>2017滨海住证0025</t>
    <phoneticPr fontId="144" type="noConversion"/>
  </si>
  <si>
    <t>誉峰园四期地下车库</t>
    <phoneticPr fontId="144" type="noConversion"/>
  </si>
  <si>
    <t>2017滨海住证0024</t>
    <phoneticPr fontId="144" type="noConversion"/>
  </si>
  <si>
    <t>誉峰园五期配建1</t>
    <phoneticPr fontId="144" type="noConversion"/>
  </si>
  <si>
    <t>分摊土地面积计算</t>
    <phoneticPr fontId="144" type="noConversion"/>
  </si>
  <si>
    <t>总土地面积</t>
    <phoneticPr fontId="144" type="noConversion"/>
  </si>
  <si>
    <t>总地上建筑面积</t>
    <phoneticPr fontId="144" type="noConversion"/>
  </si>
  <si>
    <t>在建地上面积</t>
    <phoneticPr fontId="144" type="noConversion"/>
  </si>
  <si>
    <t xml:space="preserve">分摊土地面积 </t>
    <phoneticPr fontId="144" type="noConversion"/>
  </si>
  <si>
    <t>高层</t>
  </si>
  <si>
    <t>高层</t>
    <phoneticPr fontId="8" type="noConversion"/>
  </si>
  <si>
    <t>小高层</t>
    <phoneticPr fontId="8" type="noConversion"/>
  </si>
  <si>
    <t>地下车库</t>
    <phoneticPr fontId="8" type="noConversion"/>
  </si>
  <si>
    <t>全部缴纳</t>
  </si>
  <si>
    <t>未包含在土地购买价格中</t>
  </si>
  <si>
    <t>已包含在土地取得成本中</t>
  </si>
  <si>
    <t>收益法</t>
  </si>
  <si>
    <t>在建（套用方法）</t>
  </si>
  <si>
    <t>钢混</t>
  </si>
  <si>
    <t>非生产用房</t>
  </si>
  <si>
    <t>按租金收入计税</t>
  </si>
  <si>
    <t>合景誉峰</t>
    <phoneticPr fontId="4" type="noConversion"/>
  </si>
  <si>
    <t>滨海新区中心商务区庆盛道以东，安阳道以南</t>
    <phoneticPr fontId="4" type="noConversion"/>
  </si>
  <si>
    <t>天津港北疆港区航运五道以南</t>
    <phoneticPr fontId="4" type="noConversion"/>
  </si>
  <si>
    <t>东至航运中路、南至航运四道、西至航运西路、北至航运五道</t>
    <phoneticPr fontId="4" type="noConversion"/>
  </si>
  <si>
    <t>滨海新区新港一号路以南、海滨大道以东</t>
    <phoneticPr fontId="4" type="noConversion"/>
  </si>
  <si>
    <t>东至规划次干路一、南至华安路、西至海滨大道、北至新港一号</t>
    <phoneticPr fontId="4" type="noConversion"/>
  </si>
  <si>
    <t>天津市滨海新区北塘</t>
    <phoneticPr fontId="4" type="noConversion"/>
  </si>
  <si>
    <t>东至阳澄湖路、南至柳州道、西至青海湖路、北至徽州道</t>
    <phoneticPr fontId="4" type="noConversion"/>
  </si>
  <si>
    <t>住宅</t>
    <phoneticPr fontId="32" type="noConversion"/>
  </si>
  <si>
    <r>
      <rPr>
        <sz val="11"/>
        <color indexed="8"/>
        <rFont val="宋体"/>
        <family val="3"/>
        <charset val="134"/>
      </rPr>
      <t>住宅</t>
    </r>
    <r>
      <rPr>
        <sz val="11"/>
        <color indexed="8"/>
        <rFont val="Arial"/>
        <family val="2"/>
      </rPr>
      <t>68.7</t>
    </r>
    <r>
      <rPr>
        <sz val="11"/>
        <color indexed="8"/>
        <rFont val="宋体"/>
        <family val="3"/>
        <charset val="134"/>
      </rPr>
      <t>年</t>
    </r>
    <phoneticPr fontId="32"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</si>
  <si>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32" type="noConversion"/>
  </si>
  <si>
    <t>估价对象周边居住用地比例较大、居住小区规模较大和社区发展完善程度较好，有远景庄园、碧桂园海昌天澜等住宅项目，综合评价居住社区成熟度较好。</t>
    <phoneticPr fontId="42" type="noConversion"/>
  </si>
  <si>
    <t>估价对象位于天津市滨海新区响螺湾地区，周边商业氛围成熟度一般，人流量一般，商业繁华度一般。</t>
    <phoneticPr fontId="26" type="noConversion"/>
  </si>
  <si>
    <t>估价对象紧邻城市支路——大新路、安阳道，周边路网密集程度一般、公共交通通达情况一般，有821、529路等公共交通，停车便捷程度一般，综合评价交通便捷度一般。</t>
    <phoneticPr fontId="42" type="noConversion"/>
  </si>
  <si>
    <t>估价对象所在区域2公里范围内有：银行（天津滨海惠民村镇银行、中信银行），购物（宝龙广场、保华突查百货），医院（响螺湾医院），学校（滨海新区幸福幼儿园、塘沽盐场小学）等，公共配套设施齐备情况较好。</t>
    <phoneticPr fontId="42" type="noConversion"/>
  </si>
  <si>
    <t>估价对象所在区域基础设施水平达到“七通”。</t>
    <phoneticPr fontId="26" type="noConversion"/>
  </si>
  <si>
    <t>区域自然环境：彩带公园；人文环境：无博物馆、展览馆等人文景观；综合评价环境状况一般。</t>
    <phoneticPr fontId="42"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</si>
  <si>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大新路</t>
    </r>
    <phoneticPr fontId="26" type="noConversion"/>
  </si>
  <si>
    <t>区域内多为住宅用地，土地利用方向较为一致。</t>
    <phoneticPr fontId="26" type="noConversion"/>
  </si>
  <si>
    <t>多面临街</t>
  </si>
  <si>
    <t>周边居住用地比例大、居住小区规模大和社区发展完善程度好，有月荣轩、合生君景湾等住宅项目，综合评价居住社区成熟度好。</t>
    <phoneticPr fontId="32" type="noConversion"/>
  </si>
  <si>
    <t>周边居住用地比例大、居住小区规模大和社区发展完善程度好，有和睦里、福慧花园等住宅项目，综合评价居住社区成熟度好。</t>
    <phoneticPr fontId="32" type="noConversion"/>
  </si>
  <si>
    <t>周边居住用地比例较大、居住小区规模较大和社区发展完善程度较好，有融创融公馆等住宅项目，综合评价居住社区成熟度较好。</t>
    <phoneticPr fontId="32" type="noConversion"/>
  </si>
  <si>
    <t>较好</t>
  </si>
  <si>
    <t>好</t>
  </si>
  <si>
    <t>位于天津市滨海新区，周边商业氛围成熟度较好，人流量较大，有永旺购物中心、合生广场等商业项目，商业繁华度较好。</t>
    <phoneticPr fontId="32" type="noConversion"/>
  </si>
  <si>
    <t>位于天津市滨海新区，周边商业氛围成熟度一般，人流量一般，商业繁华度一般。</t>
    <phoneticPr fontId="32" type="noConversion"/>
  </si>
  <si>
    <t>位于天津市滨海新区，周边商业氛围成熟度一般，人流量一般，商业繁华度一般。</t>
    <phoneticPr fontId="32" type="noConversion"/>
  </si>
  <si>
    <t>一般</t>
  </si>
  <si>
    <r>
      <rPr>
        <sz val="11"/>
        <rFont val="宋体"/>
        <family val="3"/>
        <charset val="134"/>
      </rPr>
      <t>紧邻城市高速路</t>
    </r>
    <r>
      <rPr>
        <sz val="11"/>
        <rFont val="Arial"/>
        <family val="2"/>
      </rPr>
      <t>——</t>
    </r>
    <r>
      <rPr>
        <sz val="11"/>
        <rFont val="宋体"/>
        <family val="3"/>
        <charset val="134"/>
      </rPr>
      <t>滨海高速，周边路网较密集、公共交通通达情况较好，有</t>
    </r>
    <r>
      <rPr>
        <sz val="11"/>
        <rFont val="Arial"/>
        <family val="2"/>
      </rPr>
      <t>130</t>
    </r>
    <r>
      <rPr>
        <sz val="11"/>
        <rFont val="宋体"/>
        <family val="3"/>
        <charset val="134"/>
      </rPr>
      <t>、</t>
    </r>
    <r>
      <rPr>
        <sz val="11"/>
        <rFont val="Arial"/>
        <family val="2"/>
      </rPr>
      <t>524</t>
    </r>
    <r>
      <rPr>
        <sz val="11"/>
        <rFont val="宋体"/>
        <family val="3"/>
        <charset val="134"/>
      </rPr>
      <t>路及地铁</t>
    </r>
    <r>
      <rPr>
        <sz val="11"/>
        <rFont val="Arial"/>
        <family val="2"/>
      </rPr>
      <t>9</t>
    </r>
    <r>
      <rPr>
        <sz val="11"/>
        <rFont val="宋体"/>
        <family val="3"/>
        <charset val="134"/>
      </rPr>
      <t>号线等公共交通，停车便捷程度较好，综合评价交通便捷度较好。</t>
    </r>
    <phoneticPr fontId="32" type="noConversion"/>
  </si>
  <si>
    <r>
      <rPr>
        <sz val="11"/>
        <rFont val="宋体"/>
        <family val="3"/>
        <charset val="134"/>
      </rPr>
      <t>紧邻城市高速路</t>
    </r>
    <r>
      <rPr>
        <sz val="11"/>
        <rFont val="Arial"/>
        <family val="2"/>
      </rPr>
      <t>——</t>
    </r>
    <r>
      <rPr>
        <sz val="11"/>
        <rFont val="宋体"/>
        <family val="3"/>
        <charset val="134"/>
      </rPr>
      <t>滨海高速，周边路网较密集、公共交通通达情况较好，有</t>
    </r>
    <r>
      <rPr>
        <sz val="11"/>
        <rFont val="Arial"/>
        <family val="2"/>
      </rPr>
      <t>102</t>
    </r>
    <r>
      <rPr>
        <sz val="11"/>
        <rFont val="宋体"/>
        <family val="3"/>
        <charset val="134"/>
      </rPr>
      <t>、</t>
    </r>
    <r>
      <rPr>
        <sz val="11"/>
        <rFont val="Arial"/>
        <family val="2"/>
      </rPr>
      <t>529</t>
    </r>
    <r>
      <rPr>
        <sz val="11"/>
        <rFont val="宋体"/>
        <family val="3"/>
        <charset val="134"/>
      </rPr>
      <t>路等公共交通，停车便捷程度较好，综合评价交通便捷度较好。</t>
    </r>
    <phoneticPr fontId="32" type="noConversion"/>
  </si>
  <si>
    <r>
      <rPr>
        <sz val="11"/>
        <rFont val="宋体"/>
        <family val="3"/>
        <charset val="134"/>
      </rPr>
      <t>紧邻城市支路</t>
    </r>
    <r>
      <rPr>
        <sz val="11"/>
        <rFont val="Arial"/>
        <family val="2"/>
      </rPr>
      <t>——</t>
    </r>
    <r>
      <rPr>
        <sz val="11"/>
        <rFont val="宋体"/>
        <family val="3"/>
        <charset val="134"/>
      </rPr>
      <t>阳澄湖路，周边路网密集程度一般、公共交通通达情况一般，有</t>
    </r>
    <r>
      <rPr>
        <sz val="11"/>
        <rFont val="Arial"/>
        <family val="2"/>
      </rPr>
      <t>103</t>
    </r>
    <r>
      <rPr>
        <sz val="11"/>
        <rFont val="宋体"/>
        <family val="3"/>
        <charset val="134"/>
      </rPr>
      <t>、</t>
    </r>
    <r>
      <rPr>
        <sz val="11"/>
        <rFont val="Arial"/>
        <family val="2"/>
      </rPr>
      <t>133</t>
    </r>
    <r>
      <rPr>
        <sz val="11"/>
        <rFont val="宋体"/>
        <family val="3"/>
        <charset val="134"/>
      </rPr>
      <t>路等公共交通，停车便捷程度一般，综合评价交通便捷度一般。</t>
    </r>
    <phoneticPr fontId="32" type="noConversion"/>
  </si>
  <si>
    <t>区域内多为住宅用地，土地利用方向较为一致。</t>
    <phoneticPr fontId="32" type="noConversion"/>
  </si>
  <si>
    <t>区域自然环境：泰丰公园、海港公园；人文环境：天津港博览馆；综合评价环境状况较好。</t>
    <phoneticPr fontId="32" type="noConversion"/>
  </si>
  <si>
    <t>区域自然环境：新港公园；人文环境：无博物馆、展览馆等人文景观；综合评价环境状况一般。</t>
    <phoneticPr fontId="32" type="noConversion"/>
  </si>
  <si>
    <t>区域自然环境：永定洲公园、天津水魔方；人文环境：天津科技大学观；综合评价环境状况较好。</t>
    <phoneticPr fontId="32" type="noConversion"/>
  </si>
  <si>
    <r>
      <rPr>
        <sz val="11"/>
        <rFont val="宋体"/>
        <family val="3"/>
        <charset val="134"/>
      </rPr>
      <t>所在区域</t>
    </r>
    <r>
      <rPr>
        <sz val="11"/>
        <rFont val="Arial"/>
        <family val="2"/>
      </rPr>
      <t>2</t>
    </r>
    <r>
      <rPr>
        <sz val="11"/>
        <rFont val="宋体"/>
        <family val="3"/>
        <charset val="134"/>
      </rPr>
      <t>公里范围内有：银行（交通银行、中国农业银行），购物（永旺购物中心、润通百货超市），医院（金海岸中医医院），学校（泰达东方剑桥幼儿园、海港城实验小学）等，公共配套设施齐备情况较好。</t>
    </r>
    <phoneticPr fontId="32" type="noConversion"/>
  </si>
  <si>
    <r>
      <rPr>
        <sz val="11"/>
        <rFont val="宋体"/>
        <family val="3"/>
        <charset val="134"/>
      </rPr>
      <t>所在区域</t>
    </r>
    <r>
      <rPr>
        <sz val="11"/>
        <rFont val="Arial"/>
        <family val="2"/>
      </rPr>
      <t>2</t>
    </r>
    <r>
      <rPr>
        <sz val="11"/>
        <rFont val="宋体"/>
        <family val="3"/>
        <charset val="134"/>
      </rPr>
      <t>公里范围内有：银行（中国邮政储蓄银行、中国工商银行），购物（滨海市场、家乐福超市），医院（天津港口医院），学校（新港第一小学、新港中学）等，公共配套设施齐备情况较好。</t>
    </r>
    <phoneticPr fontId="32" type="noConversion"/>
  </si>
  <si>
    <r>
      <rPr>
        <sz val="11"/>
        <rFont val="宋体"/>
        <family val="3"/>
        <charset val="134"/>
      </rPr>
      <t>所在区域</t>
    </r>
    <r>
      <rPr>
        <sz val="11"/>
        <rFont val="Arial"/>
        <family val="2"/>
      </rPr>
      <t>2</t>
    </r>
    <r>
      <rPr>
        <sz val="11"/>
        <rFont val="宋体"/>
        <family val="3"/>
        <charset val="134"/>
      </rPr>
      <t>公里范围内有：银行（中国建设银行、交通银行），购物（明耀超市、天峰超市），医院（天津科技大学校医院），学校（卡酷七色光幼儿园、北塘学校）等，公共配套设施齐备情况较好。</t>
    </r>
    <phoneticPr fontId="32" type="noConversion"/>
  </si>
  <si>
    <t>七通</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</si>
  <si>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</si>
  <si>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</si>
  <si>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t>双面临街</t>
  </si>
  <si>
    <t>单面临街</t>
  </si>
  <si>
    <r>
      <rPr>
        <sz val="11"/>
        <rFont val="宋体"/>
        <family val="3"/>
        <charset val="134"/>
      </rPr>
      <t>城市支路</t>
    </r>
    <r>
      <rPr>
        <sz val="11"/>
        <rFont val="Arial"/>
        <family val="2"/>
      </rPr>
      <t>——</t>
    </r>
    <r>
      <rPr>
        <sz val="11"/>
        <rFont val="宋体"/>
        <family val="3"/>
        <charset val="134"/>
      </rPr>
      <t>大新路</t>
    </r>
    <phoneticPr fontId="32" type="noConversion"/>
  </si>
  <si>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</si>
  <si>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</si>
  <si>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</si>
  <si>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</si>
  <si>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</si>
  <si>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城市支路</t>
  </si>
  <si>
    <r>
      <rPr>
        <sz val="11"/>
        <rFont val="宋体"/>
        <family val="3"/>
        <charset val="134"/>
      </rPr>
      <t>城市高速路</t>
    </r>
    <r>
      <rPr>
        <sz val="11"/>
        <rFont val="Arial"/>
        <family val="2"/>
      </rPr>
      <t>——</t>
    </r>
    <r>
      <rPr>
        <sz val="11"/>
        <rFont val="宋体"/>
        <family val="3"/>
        <charset val="134"/>
      </rPr>
      <t>滨海高速</t>
    </r>
    <phoneticPr fontId="32" type="noConversion"/>
  </si>
  <si>
    <t>城市高速路</t>
  </si>
  <si>
    <r>
      <rPr>
        <sz val="11"/>
        <rFont val="宋体"/>
        <family val="3"/>
        <charset val="134"/>
      </rPr>
      <t>城市高速路</t>
    </r>
    <r>
      <rPr>
        <sz val="11"/>
        <rFont val="Arial"/>
        <family val="2"/>
      </rPr>
      <t>——</t>
    </r>
    <r>
      <rPr>
        <sz val="11"/>
        <rFont val="宋体"/>
        <family val="3"/>
        <charset val="134"/>
      </rPr>
      <t>滨海高速</t>
    </r>
    <phoneticPr fontId="32" type="noConversion"/>
  </si>
  <si>
    <r>
      <rPr>
        <sz val="11"/>
        <rFont val="宋体"/>
        <family val="3"/>
        <charset val="134"/>
      </rPr>
      <t>城市支路</t>
    </r>
    <r>
      <rPr>
        <sz val="11"/>
        <rFont val="Arial"/>
        <family val="2"/>
      </rPr>
      <t>——</t>
    </r>
    <r>
      <rPr>
        <sz val="11"/>
        <rFont val="宋体"/>
        <family val="3"/>
        <charset val="134"/>
      </rPr>
      <t>阳澄湖路</t>
    </r>
    <phoneticPr fontId="32" type="noConversion"/>
  </si>
  <si>
    <t>规则</t>
    <phoneticPr fontId="4" type="noConversion"/>
  </si>
  <si>
    <t>较规则</t>
    <phoneticPr fontId="4" type="noConversion"/>
  </si>
  <si>
    <t>较不规则</t>
    <phoneticPr fontId="4" type="noConversion"/>
  </si>
  <si>
    <t>不规则</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</si>
  <si>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</si>
  <si>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</si>
  <si>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</si>
  <si>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</si>
  <si>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</si>
  <si>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三通</t>
  </si>
  <si>
    <t>较规则</t>
  </si>
  <si>
    <t>滨海万达广场</t>
    <phoneticPr fontId="4" type="noConversion"/>
  </si>
  <si>
    <t>天津滨海新区洞庭路与上海道交口紫云公园西侧</t>
    <phoneticPr fontId="4" type="noConversion"/>
  </si>
  <si>
    <t>万科滨海大都会</t>
    <phoneticPr fontId="4" type="noConversion"/>
  </si>
  <si>
    <t>天津市滨海新区洞庭路与上海道交口</t>
    <phoneticPr fontId="4" type="noConversion"/>
  </si>
  <si>
    <t>南益名士华庭</t>
    <phoneticPr fontId="4" type="noConversion"/>
  </si>
  <si>
    <t>塘沽新河街福州道延长线</t>
    <phoneticPr fontId="4" type="noConversion"/>
  </si>
  <si>
    <t>住宅</t>
    <phoneticPr fontId="26" type="noConversion"/>
  </si>
  <si>
    <t>60-70（含）</t>
  </si>
  <si>
    <t>周边居住用地比例较大、居住小区规模较大和社区发展完善程度较好，有岳阳里、新华里小区等住宅项目，综合评价居住社区成熟度较好。</t>
    <phoneticPr fontId="26" type="noConversion"/>
  </si>
  <si>
    <t>周边居住用地比例较大、居住小区规模较大和社区发展完善程度较好，有岳阳里、新华里小区等住宅项目，综合评价居住社区成熟度较好。</t>
    <phoneticPr fontId="26" type="noConversion"/>
  </si>
  <si>
    <t>周边居住用地比例较大、居住小区规模较大和社区发展完善程度较好，有中海津湖湾、融科心贻湾小区等住宅项目，综合评价居住社区成熟度较好。</t>
    <phoneticPr fontId="26" type="noConversion"/>
  </si>
  <si>
    <r>
      <rPr>
        <sz val="11"/>
        <rFont val="宋体"/>
        <family val="3"/>
        <charset val="134"/>
      </rPr>
      <t>紧邻城市次干道</t>
    </r>
    <r>
      <rPr>
        <sz val="11"/>
        <rFont val="Arial"/>
        <family val="2"/>
      </rPr>
      <t>——</t>
    </r>
    <r>
      <rPr>
        <sz val="11"/>
        <rFont val="宋体"/>
        <family val="3"/>
        <charset val="134"/>
      </rPr>
      <t>洞庭路、安阳道，周边路网密集程度较好、公共交通通达情况较好，有</t>
    </r>
    <r>
      <rPr>
        <sz val="11"/>
        <rFont val="Arial"/>
        <family val="2"/>
      </rPr>
      <t>135</t>
    </r>
    <r>
      <rPr>
        <sz val="11"/>
        <rFont val="宋体"/>
        <family val="3"/>
        <charset val="134"/>
      </rPr>
      <t>、</t>
    </r>
    <r>
      <rPr>
        <sz val="11"/>
        <rFont val="Arial"/>
        <family val="2"/>
      </rPr>
      <t>816</t>
    </r>
    <r>
      <rPr>
        <sz val="11"/>
        <rFont val="宋体"/>
        <family val="3"/>
        <charset val="134"/>
      </rPr>
      <t>路等公共交通，停车便捷程度较好，综合评价交通便捷度较好。</t>
    </r>
    <phoneticPr fontId="26" type="noConversion"/>
  </si>
  <si>
    <r>
      <rPr>
        <sz val="11"/>
        <rFont val="宋体"/>
        <family val="3"/>
        <charset val="134"/>
      </rPr>
      <t>紧邻城市支路</t>
    </r>
    <r>
      <rPr>
        <sz val="11"/>
        <rFont val="Arial"/>
        <family val="2"/>
      </rPr>
      <t>——</t>
    </r>
    <r>
      <rPr>
        <sz val="11"/>
        <rFont val="宋体"/>
        <family val="3"/>
        <charset val="134"/>
      </rPr>
      <t>宁车沽路，周边路网密集程度一般、公共交通通达情况一般，有</t>
    </r>
    <r>
      <rPr>
        <sz val="11"/>
        <rFont val="Arial"/>
        <family val="2"/>
      </rPr>
      <t>132</t>
    </r>
    <r>
      <rPr>
        <sz val="11"/>
        <rFont val="宋体"/>
        <family val="3"/>
        <charset val="134"/>
      </rPr>
      <t>、</t>
    </r>
    <r>
      <rPr>
        <sz val="11"/>
        <rFont val="Arial"/>
        <family val="2"/>
      </rPr>
      <t>834</t>
    </r>
    <r>
      <rPr>
        <sz val="11"/>
        <rFont val="宋体"/>
        <family val="3"/>
        <charset val="134"/>
      </rPr>
      <t>路等公共交通，停车便捷程度一般，综合评价交通便捷度一般。</t>
    </r>
    <phoneticPr fontId="26" type="noConversion"/>
  </si>
  <si>
    <r>
      <rPr>
        <sz val="11"/>
        <rFont val="宋体"/>
        <family val="3"/>
        <charset val="134"/>
      </rPr>
      <t>所在区域</t>
    </r>
    <r>
      <rPr>
        <sz val="11"/>
        <rFont val="Arial"/>
        <family val="2"/>
      </rPr>
      <t>2</t>
    </r>
    <r>
      <rPr>
        <sz val="11"/>
        <rFont val="宋体"/>
        <family val="3"/>
        <charset val="134"/>
      </rPr>
      <t>公里范围内有：银行（中国工商银行、招商银行），购物（巨川金海岸购物广场、宝龙广场），医院（天津市永久医院），学校（塘沽第六中学、第一中心小学）等，公共配套设施齐备情况较好。</t>
    </r>
    <phoneticPr fontId="26" type="noConversion"/>
  </si>
  <si>
    <r>
      <rPr>
        <sz val="11"/>
        <rFont val="宋体"/>
        <family val="3"/>
        <charset val="134"/>
      </rPr>
      <t>所在区域</t>
    </r>
    <r>
      <rPr>
        <sz val="11"/>
        <rFont val="Arial"/>
        <family val="2"/>
      </rPr>
      <t>2</t>
    </r>
    <r>
      <rPr>
        <sz val="11"/>
        <rFont val="宋体"/>
        <family val="3"/>
        <charset val="134"/>
      </rPr>
      <t>公里范围内有：银行（中国建设银行），购物（金水畔商业广场、乐佳超市），医院（岷江里社区卫生服务站），学校（东方剑桥幼儿园、岷江里小学）等，公共配套设施齐备情况一般。</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</si>
  <si>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</si>
  <si>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</si>
  <si>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区域自然环境：紫云公园；人文环境：无博物馆、展览馆等人文景观；综合评价环境状况一般。</t>
    <phoneticPr fontId="26" type="noConversion"/>
  </si>
  <si>
    <t>区域自然环境：紫云公园；人文环境：无博物馆、展览馆等人文景观；综合评价环境状况一般。</t>
    <phoneticPr fontId="26" type="noConversion"/>
  </si>
  <si>
    <t>区域自然环境：有龙园；人文环境：无博物馆、展览馆等人文景观；综合评价环境状况一般。</t>
    <phoneticPr fontId="26" type="noConversion"/>
  </si>
  <si>
    <t>精装修</t>
    <phoneticPr fontId="4" type="noConversion"/>
  </si>
  <si>
    <t>普通装修</t>
    <phoneticPr fontId="4" type="noConversion"/>
  </si>
  <si>
    <t>简单装修</t>
    <phoneticPr fontId="4" type="noConversion"/>
  </si>
  <si>
    <t>毛坯</t>
    <phoneticPr fontId="4" type="noConversion"/>
  </si>
  <si>
    <t>精装修</t>
  </si>
  <si>
    <t>毛坯</t>
  </si>
  <si>
    <t>专业</t>
  </si>
  <si>
    <t>专业</t>
    <phoneticPr fontId="26" type="noConversion"/>
  </si>
  <si>
    <r>
      <rPr>
        <sz val="11"/>
        <color indexed="8"/>
        <rFont val="宋体"/>
        <family val="3"/>
        <charset val="134"/>
      </rPr>
      <t>普通</t>
    </r>
    <r>
      <rPr>
        <sz val="11"/>
        <color indexed="8"/>
        <rFont val="Arial"/>
        <family val="2"/>
      </rPr>
      <t xml:space="preserve"> </t>
    </r>
    <phoneticPr fontId="26" type="noConversion"/>
  </si>
  <si>
    <t>已全部缴纳</t>
  </si>
  <si>
    <t>成本法</t>
  </si>
  <si>
    <t>假设开发法</t>
  </si>
  <si>
    <t>项目局部</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</si>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</sst>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宋体"/>
      <family val="3"/>
      <charset val="134"/>
      <scheme val="minor"/>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2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1" xfId="0" applyFont="1" applyFill="1" applyBorder="1" applyAlignment="1" applyProtection="1">
      <alignment vertical="center"/>
    </xf>
    <xf numFmtId="0" fontId="50" fillId="6" borderId="151" xfId="0" applyFont="1" applyFill="1" applyBorder="1" applyAlignment="1" applyProtection="1">
      <alignment vertical="center" wrapText="1"/>
    </xf>
    <xf numFmtId="0" fontId="50" fillId="6" borderId="152" xfId="0" applyFont="1" applyFill="1" applyBorder="1" applyAlignment="1" applyProtection="1">
      <alignment vertical="center" wrapText="1"/>
    </xf>
    <xf numFmtId="0" fontId="50" fillId="6" borderId="151" xfId="0" applyFont="1" applyFill="1" applyBorder="1" applyAlignment="1" applyProtection="1">
      <alignment horizontal="center" vertical="center" wrapText="1"/>
    </xf>
    <xf numFmtId="0" fontId="50" fillId="0" borderId="151"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3" xfId="5" applyFont="1" applyBorder="1" applyAlignment="1">
      <alignment vertical="center"/>
    </xf>
    <xf numFmtId="0" fontId="127" fillId="0" borderId="153" xfId="5" applyFont="1" applyFill="1" applyBorder="1">
      <alignment vertical="center"/>
    </xf>
    <xf numFmtId="0" fontId="127" fillId="0" borderId="153"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3" xfId="5" applyFont="1" applyFill="1" applyBorder="1" applyAlignment="1">
      <alignment horizontal="right" vertical="center"/>
    </xf>
    <xf numFmtId="0" fontId="129"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4"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4"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255" fillId="7" borderId="5" xfId="0" applyFont="1" applyFill="1" applyBorder="1" applyAlignment="1" applyProtection="1">
      <alignment vertical="center"/>
      <protection locked="0"/>
    </xf>
    <xf numFmtId="0" fontId="255"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protection locked="0"/>
    </xf>
    <xf numFmtId="0" fontId="242" fillId="0" borderId="24" xfId="0" applyFont="1" applyFill="1" applyBorder="1" applyAlignment="1" applyProtection="1">
      <alignment horizontal="left" vertical="center" wrapText="1"/>
      <protection locked="0"/>
    </xf>
    <xf numFmtId="0" fontId="242" fillId="0" borderId="48" xfId="0" applyFont="1" applyFill="1" applyBorder="1" applyAlignment="1" applyProtection="1">
      <alignment horizontal="left" vertical="center" wrapText="1"/>
      <protection locked="0"/>
    </xf>
    <xf numFmtId="0" fontId="100" fillId="0" borderId="0" xfId="0" applyFont="1" applyAlignment="1">
      <alignment horizontal="center" vertical="center"/>
    </xf>
    <xf numFmtId="0" fontId="0" fillId="0" borderId="0" xfId="0" applyAlignment="1">
      <alignment horizontal="center" vertical="center"/>
    </xf>
    <xf numFmtId="0" fontId="100" fillId="0" borderId="0" xfId="0" applyFont="1">
      <alignment vertical="center"/>
    </xf>
    <xf numFmtId="177" fontId="81" fillId="0" borderId="1" xfId="1" applyNumberFormat="1" applyFont="1" applyFill="1" applyBorder="1" applyAlignment="1" applyProtection="1">
      <alignment vertical="center"/>
      <protection locked="0" hidden="1"/>
    </xf>
    <xf numFmtId="0" fontId="99" fillId="0" borderId="9"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99" fillId="0" borderId="40"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48" fillId="9" borderId="9" xfId="1" applyFont="1" applyFill="1" applyBorder="1" applyAlignment="1" applyProtection="1">
      <alignment horizontal="center" vertical="center" wrapText="1"/>
      <protection locked="0"/>
    </xf>
    <xf numFmtId="186" fontId="106" fillId="7" borderId="13" xfId="0" applyNumberFormat="1" applyFont="1" applyFill="1" applyBorder="1" applyAlignment="1" applyProtection="1">
      <alignment horizontal="center" vertical="center"/>
      <protection locked="0"/>
    </xf>
    <xf numFmtId="10" fontId="51" fillId="6" borderId="0" xfId="0" applyNumberFormat="1" applyFont="1" applyFill="1" applyAlignment="1" applyProtection="1">
      <alignment vertical="center"/>
      <protection locked="0"/>
    </xf>
    <xf numFmtId="0" fontId="51" fillId="6" borderId="0" xfId="0" applyNumberFormat="1" applyFont="1" applyFill="1" applyAlignment="1" applyProtection="1">
      <alignment vertical="center"/>
      <protection locked="0"/>
    </xf>
    <xf numFmtId="181" fontId="48" fillId="0" borderId="5"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3"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79" fillId="0" borderId="11"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25913;&#20116;&#30719;&#65289;&#21512;&#26223;&#35465;&#23792;&#8212;&#8212;&#22303;&#22320;&#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 (车库)"/>
      <sheetName val="规证面积整理"/>
      <sheetName val="土地检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254680.93</v>
          </cell>
          <cell r="C14">
            <v>84533.11</v>
          </cell>
          <cell r="D14">
            <v>363390</v>
          </cell>
          <cell r="G14">
            <v>363390</v>
          </cell>
        </row>
      </sheetData>
      <sheetData sheetId="16">
        <row r="19">
          <cell r="G19">
            <v>363390</v>
          </cell>
        </row>
      </sheetData>
      <sheetData sheetId="17">
        <row r="50">
          <cell r="C50">
            <v>16965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28" sqref="F28"/>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e">
        <f>'预评函-封皮'!B37:I37</f>
        <v>#REF!</v>
      </c>
    </row>
    <row r="3" spans="1:2" s="1595" customFormat="1">
      <c r="A3" s="1593" t="s">
        <v>1221</v>
      </c>
      <c r="B3" s="1594" t="str">
        <f>'预评函-封皮'!B40</f>
        <v>天津弘盛房地产开发有限公司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康正预评字2018-1-0469号</v>
      </c>
    </row>
    <row r="6" spans="1:2" s="1592" customFormat="1" ht="15" thickTop="1">
      <c r="A6" s="1590" t="s">
        <v>1224</v>
      </c>
      <c r="B6" s="1591" t="e">
        <f>'预评函-1'!A4</f>
        <v>#REF!</v>
      </c>
    </row>
    <row r="7" spans="1:2" s="1595" customFormat="1">
      <c r="A7" s="1593" t="s">
        <v>1264</v>
      </c>
      <c r="B7" s="1594" t="e">
        <f>'预评函-1'!A7</f>
        <v>#REF!</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e">
        <f>'预评函-1'!A10</f>
        <v>#REF!</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为估价委托人在向中诚信托办理贷款手续过程中，确定房地产抵押贷款额度提供参考依据而评估房地产抵押价值。</v>
      </c>
    </row>
    <row r="12" spans="1:2" s="1595" customFormat="1">
      <c r="A12" s="1593" t="s">
        <v>1226</v>
      </c>
      <c r="B12" s="1594" t="str">
        <f>'预评函-1'!A15</f>
        <v>2018年6月28日（评估专业人员实地查勘之日）</v>
      </c>
    </row>
    <row r="13" spans="1:2" s="1595" customFormat="1">
      <c r="A13" s="1593" t="s">
        <v>1227</v>
      </c>
      <c r="B13" s="1594" t="str">
        <f>'预评函-1'!A18</f>
        <v>本次估价的“房地产价值”是指在正常市场情况下，在价值时点2018年6月28日，估价对象规划用途为住宅、商业、地下车库，土地取得方式为出让，出让国有建设用地使用权剩余土地使用年限为住宅68.7年、商业38.7年、地下车库48.7年，假定未设立法定优先受偿款下的房地产市场价值。</v>
      </c>
    </row>
    <row r="14" spans="1:2" s="1595" customFormat="1">
      <c r="A14" s="1593" t="s">
        <v>1228</v>
      </c>
      <c r="B14" s="1594" t="str">
        <f>'预评函-1'!A19</f>
        <v>其中，“出让国有建设用地使用权价值”是指估价对象用途为住宅、商业、地下车库，实际开发程度为宗地红线外“七通”（即通路、通电、通讯、、、、）、红线内场地平整条件下，剩余土地使用年限为住宅68.7年、商业38.7年、地下车库48.7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119535</v>
      </c>
    </row>
    <row r="21" spans="1:2" s="1595" customFormat="1">
      <c r="A21" s="1593" t="s">
        <v>1235</v>
      </c>
      <c r="B21" s="1594">
        <f ca="1">'预评函-2'!D7</f>
        <v>17750</v>
      </c>
    </row>
    <row r="22" spans="1:2" s="1595" customFormat="1">
      <c r="A22" s="1593" t="s">
        <v>1236</v>
      </c>
      <c r="B22" s="1594" t="str">
        <f ca="1">'预评函-2'!D6</f>
        <v>壹拾壹亿玖仟伍佰叁拾伍万元整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119535</v>
      </c>
    </row>
    <row r="31" spans="1:2" s="1595" customFormat="1">
      <c r="A31" s="1593" t="s">
        <v>1274</v>
      </c>
      <c r="B31" s="1594">
        <f ca="1">'预评函-2'!D15</f>
        <v>17750</v>
      </c>
    </row>
    <row r="32" spans="1:2" s="1595" customFormat="1">
      <c r="A32" s="1593" t="s">
        <v>1241</v>
      </c>
      <c r="B32" s="1594" t="str">
        <f ca="1">'预评函-2'!D14</f>
        <v>壹拾壹亿玖仟伍佰叁拾伍万元整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e">
        <f>'预评函-3'!A4</f>
        <v>#REF!</v>
      </c>
    </row>
    <row r="42" spans="1:2" s="1595" customFormat="1">
      <c r="A42" s="1593" t="s">
        <v>1288</v>
      </c>
      <c r="B42" s="1594" t="str">
        <f>'预评函-3'!B2</f>
        <v>建筑面积</v>
      </c>
    </row>
    <row r="43" spans="1:2" s="1595" customFormat="1">
      <c r="A43" s="1593" t="s">
        <v>1289</v>
      </c>
      <c r="B43" s="1594">
        <f>'预评函-3'!B4</f>
        <v>67341.78</v>
      </c>
    </row>
    <row r="44" spans="1:2" s="1595" customFormat="1">
      <c r="A44" s="1593" t="s">
        <v>1273</v>
      </c>
      <c r="B44" s="1594" t="str">
        <f>'预评函-3'!C2</f>
        <v>(分摊)土地面积</v>
      </c>
    </row>
    <row r="45" spans="1:2" s="1595" customFormat="1">
      <c r="A45" s="1593" t="s">
        <v>1245</v>
      </c>
      <c r="B45" s="1594">
        <f>'预评函-3'!C4</f>
        <v>22451.59</v>
      </c>
    </row>
    <row r="46" spans="1:2" s="1595" customFormat="1">
      <c r="A46" s="1593" t="s">
        <v>1271</v>
      </c>
      <c r="B46" s="1594" t="str">
        <f>'预评函-3'!D2</f>
        <v>出让国有建设用地使用权价值</v>
      </c>
    </row>
    <row r="47" spans="1:2" s="1595" customFormat="1">
      <c r="A47" s="1593" t="s">
        <v>1246</v>
      </c>
      <c r="B47" s="1594">
        <f ca="1">'预评函-3'!D4</f>
        <v>111168</v>
      </c>
    </row>
    <row r="48" spans="1:2" s="1595" customFormat="1">
      <c r="A48" s="1593" t="s">
        <v>1247</v>
      </c>
      <c r="B48" s="1594">
        <f ca="1">'预评函-3'!E4</f>
        <v>16508</v>
      </c>
    </row>
    <row r="49" spans="1:2" s="1595" customFormat="1">
      <c r="A49" s="1593" t="s">
        <v>1248</v>
      </c>
      <c r="B49" s="1594" t="str">
        <f ca="1">'预评函-3'!D5</f>
        <v>壹拾壹亿壹仟壹佰陆拾捌万元整</v>
      </c>
    </row>
    <row r="50" spans="1:2" s="1595" customFormat="1">
      <c r="A50" s="1593" t="s">
        <v>1272</v>
      </c>
      <c r="B50" s="1594" t="str">
        <f>'预评函-3'!F2</f>
        <v>在建建筑物价值</v>
      </c>
    </row>
    <row r="51" spans="1:2" s="1595" customFormat="1">
      <c r="A51" s="1593" t="s">
        <v>1249</v>
      </c>
      <c r="B51" s="1594">
        <f ca="1">'预评函-3'!F4</f>
        <v>8367</v>
      </c>
    </row>
    <row r="52" spans="1:2" s="1595" customFormat="1">
      <c r="A52" s="1593" t="s">
        <v>1250</v>
      </c>
      <c r="B52" s="1594">
        <f ca="1">'预评函-3'!G4</f>
        <v>1242</v>
      </c>
    </row>
    <row r="53" spans="1:2" s="1595" customFormat="1">
      <c r="A53" s="1593" t="s">
        <v>1278</v>
      </c>
      <c r="B53" s="1594" t="str">
        <f ca="1">'预评函-3'!F5</f>
        <v>捌仟叁佰陆拾柒万元整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原件、，截至价值时点，估价对象已设定抵押。上述抵押权设定日期为2017年5月19日，权利人为资阳民生村镇股份有限公司，权利范围为资阳民生村镇股份有限公司，权利价值为310000万元。</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8" sqref="Y18"/>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3077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2021" t="e">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2024" t="s">
        <v>1284</v>
      </c>
    </row>
    <row r="52" spans="1:4">
      <c r="A52" s="2023" t="s">
        <v>858</v>
      </c>
      <c r="B52" s="2023" t="s">
        <v>859</v>
      </c>
      <c r="C52" s="2021" t="s">
        <v>860</v>
      </c>
      <c r="D52" s="2021" t="s">
        <v>861</v>
      </c>
    </row>
    <row r="53" spans="1:4">
      <c r="A53" s="300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28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09"/>
      <c r="B54" s="2024" t="s">
        <v>864</v>
      </c>
      <c r="C54" s="2021" t="s">
        <v>1281</v>
      </c>
    </row>
    <row r="55" spans="1:4">
      <c r="A55" s="3009"/>
      <c r="B55" s="2024" t="s">
        <v>865</v>
      </c>
      <c r="C55" s="2021" t="s">
        <v>1282</v>
      </c>
    </row>
    <row r="56" spans="1:4">
      <c r="A56" s="3009"/>
      <c r="B56" s="2024" t="s">
        <v>866</v>
      </c>
      <c r="C56" s="2021" t="s">
        <v>1286</v>
      </c>
    </row>
    <row r="57" spans="1:4">
      <c r="A57" s="300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5" customWidth="1"/>
    <col min="10" max="10" width="10" style="2034" customWidth="1"/>
    <col min="11" max="11" width="10" style="2156" customWidth="1"/>
    <col min="12" max="13" width="10" style="2157" customWidth="1"/>
    <col min="14" max="14" width="10" style="2034" customWidth="1"/>
    <col min="15" max="15" width="10" style="2155" customWidth="1"/>
    <col min="16" max="17" width="10" style="2034"/>
    <col min="18" max="18" width="10" style="2034" customWidth="1"/>
    <col min="19" max="16384" width="10" style="2034"/>
  </cols>
  <sheetData>
    <row r="1" spans="1:19" ht="38.25" customHeight="1" thickBot="1">
      <c r="A1" s="2027" t="s">
        <v>1776</v>
      </c>
      <c r="B1" s="3018" t="e">
        <f>IF(B10="北京市","北京市",#REF!)&amp;F10&amp;IF(结果表!G1="在建","出让国有建设用地使用权及在建建筑物",IF(结果表!G1="土地","出让国有建设用地使用权",))&amp;B9&amp;"预评估"</f>
        <v>#REF!</v>
      </c>
      <c r="C1" s="3019"/>
      <c r="D1" s="3019"/>
      <c r="E1" s="3019"/>
      <c r="F1" s="3019"/>
      <c r="G1" s="3019"/>
      <c r="H1" s="3019"/>
      <c r="I1" s="3020"/>
      <c r="J1" s="2028"/>
      <c r="K1" s="2029"/>
      <c r="L1" s="2030"/>
      <c r="M1" s="2030"/>
      <c r="N1" s="2031"/>
      <c r="O1" s="2032"/>
      <c r="P1" s="2031"/>
      <c r="Q1" s="2031"/>
      <c r="R1" s="2031"/>
      <c r="S1" s="2033" t="e">
        <f>IF(B10="北京市","北京市",#REF!)&amp;F10&amp;IF(结果表!G1="在建","出让国有建设用地使用权及在建建筑物房地产抵押价值",IF(结果表!G1="土地","出让国有建设用地使用权抵押价值",B9))</f>
        <v>#REF!</v>
      </c>
    </row>
    <row r="2" spans="1:19" ht="18" customHeight="1">
      <c r="A2" s="2028" t="s">
        <v>1777</v>
      </c>
      <c r="B2" s="1042" t="s">
        <v>3041</v>
      </c>
      <c r="C2" s="2035"/>
      <c r="D2" s="2028"/>
      <c r="E2" s="2036"/>
      <c r="F2" s="2036"/>
      <c r="G2" s="2028"/>
      <c r="H2" s="2028"/>
      <c r="I2" s="2028"/>
      <c r="J2" s="2028"/>
      <c r="K2" s="2029"/>
      <c r="L2" s="2030"/>
      <c r="M2" s="2030"/>
      <c r="N2" s="2031"/>
      <c r="O2" s="2032"/>
      <c r="P2" s="2031"/>
      <c r="Q2" s="2031"/>
      <c r="R2" s="2031"/>
      <c r="S2" s="2033" t="e">
        <f>IF(B10="北京市","北京市",#REF!)&amp;F10&amp;IF(结果表!G1="在建","出让国有建设用地使用权及在建建筑物房地产",IF(结果表!G1="土地","出让国有建设用地使用权","房地产"))</f>
        <v>#REF!</v>
      </c>
    </row>
    <row r="3" spans="1:19" ht="18" customHeight="1">
      <c r="A3" s="2037" t="s">
        <v>1778</v>
      </c>
      <c r="B3" s="2038">
        <v>43279</v>
      </c>
      <c r="C3" s="2039" t="s">
        <v>1779</v>
      </c>
      <c r="D3" s="2038">
        <v>43279</v>
      </c>
      <c r="E3" s="2028"/>
      <c r="F3" s="2028"/>
      <c r="G3" s="2028"/>
      <c r="H3" s="2028"/>
      <c r="I3" s="2028"/>
      <c r="J3" s="2028"/>
      <c r="K3" s="2029"/>
      <c r="L3" s="2030"/>
      <c r="M3" s="2030"/>
      <c r="N3" s="2031"/>
      <c r="O3" s="2032"/>
      <c r="P3" s="2031"/>
      <c r="Q3" s="2031"/>
      <c r="R3" s="2031"/>
      <c r="S3" s="2033"/>
    </row>
    <row r="4" spans="1:19" ht="18" customHeight="1" thickBot="1">
      <c r="A4" s="2040" t="s">
        <v>1780</v>
      </c>
      <c r="B4" s="2041" t="s">
        <v>3042</v>
      </c>
      <c r="C4" s="1040">
        <f ca="1">SUMIF(注册房地产估价师,B4,估价师及机构信息!B3:B24)</f>
        <v>1120140022</v>
      </c>
      <c r="D4" s="2041" t="s">
        <v>3043</v>
      </c>
      <c r="E4" s="1041">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1781</v>
      </c>
      <c r="B5" s="2937" t="s">
        <v>3052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37" t="s">
        <v>3044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37" t="s">
        <v>3045</v>
      </c>
      <c r="C7" s="2050"/>
      <c r="D7" s="2051"/>
      <c r="E7" s="2036"/>
      <c r="F7" s="2044"/>
      <c r="G7" s="2044"/>
      <c r="H7" s="2044"/>
      <c r="I7" s="2044"/>
      <c r="J7" s="2044"/>
      <c r="K7" s="2053"/>
      <c r="L7" s="2030"/>
      <c r="M7" s="2030"/>
      <c r="N7" s="2031"/>
      <c r="O7" s="2032"/>
      <c r="P7" s="2031"/>
      <c r="Q7" s="2031"/>
      <c r="R7" s="2031"/>
    </row>
    <row r="8" spans="1:19" ht="18" customHeight="1">
      <c r="A8" s="2049" t="s">
        <v>1784</v>
      </c>
      <c r="B8" s="2054" t="s">
        <v>3047</v>
      </c>
      <c r="C8" s="2055"/>
      <c r="D8" s="3021" t="s">
        <v>1785</v>
      </c>
      <c r="E8" s="2056" t="s">
        <v>3046</v>
      </c>
      <c r="F8" s="2057"/>
      <c r="G8" s="2028"/>
      <c r="H8" s="2028"/>
      <c r="I8" s="2028"/>
      <c r="J8" s="2044"/>
      <c r="K8" s="2045"/>
      <c r="L8" s="2030"/>
      <c r="M8" s="2030"/>
      <c r="N8" s="2031"/>
      <c r="O8" s="2032"/>
      <c r="P8" s="2031"/>
      <c r="Q8" s="2031"/>
      <c r="R8" s="2031"/>
    </row>
    <row r="9" spans="1:19" ht="18" customHeight="1" thickBot="1">
      <c r="A9" s="2042" t="s">
        <v>1786</v>
      </c>
      <c r="B9" s="2058" t="s">
        <v>3046</v>
      </c>
      <c r="C9" s="2059"/>
      <c r="D9" s="3022"/>
      <c r="E9" s="2058"/>
      <c r="F9" s="2060"/>
      <c r="G9" s="2061"/>
      <c r="H9" s="2061"/>
      <c r="I9" s="2061"/>
      <c r="J9" s="2044"/>
      <c r="K9" s="2053"/>
      <c r="L9" s="2030"/>
      <c r="M9" s="2030"/>
      <c r="N9" s="2031"/>
      <c r="O9" s="2032"/>
      <c r="P9" s="2031"/>
      <c r="Q9" s="2031"/>
      <c r="R9" s="2031"/>
    </row>
    <row r="10" spans="1:19" ht="18" customHeight="1" thickTop="1">
      <c r="A10" s="2062" t="s">
        <v>1787</v>
      </c>
      <c r="B10" s="2063" t="s">
        <v>3048</v>
      </c>
      <c r="C10" s="2938" t="s">
        <v>3049</v>
      </c>
      <c r="D10" s="2048"/>
      <c r="E10" s="2064" t="s">
        <v>1788</v>
      </c>
      <c r="F10" s="2939" t="s">
        <v>3050</v>
      </c>
      <c r="G10" s="2065"/>
      <c r="H10" s="2066"/>
      <c r="I10" s="2048"/>
      <c r="J10" s="2044"/>
      <c r="K10" s="2053"/>
      <c r="L10" s="2030"/>
      <c r="M10" s="2030"/>
      <c r="N10" s="2031"/>
      <c r="O10" s="2032"/>
      <c r="P10" s="2031"/>
      <c r="Q10" s="2031"/>
      <c r="R10" s="2031"/>
    </row>
    <row r="11" spans="1:19" ht="18" customHeight="1">
      <c r="A11" s="2067" t="s">
        <v>1789</v>
      </c>
      <c r="B11" s="2068" t="s">
        <v>3051</v>
      </c>
      <c r="C11" s="2940" t="s">
        <v>3053</v>
      </c>
      <c r="D11" s="2069"/>
      <c r="E11" s="2044"/>
      <c r="F11" s="2044"/>
      <c r="G11" s="2044"/>
      <c r="H11" s="2044"/>
      <c r="I11" s="2044"/>
      <c r="J11" s="2044"/>
      <c r="K11" s="2053"/>
      <c r="L11" s="2030"/>
      <c r="M11" s="2030"/>
      <c r="N11" s="2031"/>
      <c r="O11" s="2032"/>
      <c r="P11" s="2031"/>
      <c r="Q11" s="2031"/>
      <c r="R11" s="2031"/>
    </row>
    <row r="12" spans="1:19" ht="18" customHeight="1">
      <c r="A12" s="2070" t="s">
        <v>1790</v>
      </c>
      <c r="B12" s="2068" t="s">
        <v>3054</v>
      </c>
      <c r="C12" s="2071" t="s">
        <v>1791</v>
      </c>
      <c r="D12" s="2072" t="s">
        <v>1792</v>
      </c>
      <c r="E12" s="2072" t="s">
        <v>1793</v>
      </c>
      <c r="F12" s="2072" t="s">
        <v>1794</v>
      </c>
      <c r="G12" s="2072" t="s">
        <v>1795</v>
      </c>
      <c r="H12" s="2072" t="s">
        <v>1796</v>
      </c>
      <c r="I12" s="2072" t="s">
        <v>1797</v>
      </c>
      <c r="J12" s="2044"/>
      <c r="K12" s="2053"/>
      <c r="L12" s="2030"/>
      <c r="M12" s="2030"/>
      <c r="N12" s="2031"/>
      <c r="O12" s="2032"/>
      <c r="P12" s="2031"/>
      <c r="Q12" s="2031"/>
      <c r="R12" s="2031"/>
    </row>
    <row r="13" spans="1:19" ht="18" customHeight="1">
      <c r="A13" s="2073"/>
      <c r="B13" s="2074"/>
      <c r="C13" s="2075" t="s">
        <v>1798</v>
      </c>
      <c r="D13" s="2076">
        <v>68375</v>
      </c>
      <c r="E13" s="2076">
        <v>57418</v>
      </c>
      <c r="F13" s="2076"/>
      <c r="G13" s="2076">
        <v>61070</v>
      </c>
      <c r="H13" s="2076"/>
      <c r="I13" s="1050"/>
      <c r="J13" s="2044"/>
      <c r="K13" s="2053"/>
      <c r="L13" s="2030"/>
      <c r="M13" s="2030"/>
      <c r="N13" s="2031"/>
      <c r="O13" s="2032"/>
      <c r="P13" s="2031"/>
      <c r="Q13" s="2031"/>
      <c r="R13" s="2031"/>
    </row>
    <row r="14" spans="1:19" ht="18" customHeight="1">
      <c r="A14" s="2073"/>
      <c r="B14" s="2074"/>
      <c r="C14" s="2075" t="s">
        <v>1799</v>
      </c>
      <c r="D14" s="1053">
        <v>70</v>
      </c>
      <c r="E14" s="1053">
        <v>40</v>
      </c>
      <c r="F14" s="1053"/>
      <c r="G14" s="1053">
        <v>50</v>
      </c>
      <c r="H14" s="1053"/>
      <c r="I14" s="1053"/>
      <c r="J14" s="2044"/>
      <c r="K14" s="2077"/>
      <c r="L14" s="2030"/>
      <c r="M14" s="2030"/>
      <c r="N14" s="2031"/>
      <c r="O14" s="2032"/>
      <c r="P14" s="2031"/>
      <c r="Q14" s="2031"/>
      <c r="R14" s="2031"/>
    </row>
    <row r="15" spans="1:19" ht="18" customHeight="1">
      <c r="A15" s="2062"/>
      <c r="B15" s="2078"/>
      <c r="C15" s="2075" t="s">
        <v>1800</v>
      </c>
      <c r="D15" s="1052">
        <f>IF(B12="出让",IF(D13="","",ROUNDDOWN(MIN((D13-$D$3)/365,D14),2)),D14)</f>
        <v>68.75</v>
      </c>
      <c r="E15" s="1052">
        <f>IF(B12="出让",IF(E13="","",ROUNDDOWN(MIN((E13-$D$3)/365,E14),2)),E14)</f>
        <v>38.729999999999997</v>
      </c>
      <c r="F15" s="1052" t="str">
        <f>IF(B12="出让",IF(F13="","",ROUNDDOWN(MIN((F13-$D$3)/365,F14),2)),F14)</f>
        <v/>
      </c>
      <c r="G15" s="1052">
        <f>IF(B12="出让",IF(G13="","",ROUNDDOWN(MIN((G13-$D$3)/365,G14),2)),G14)</f>
        <v>48.74</v>
      </c>
      <c r="H15" s="1052" t="str">
        <f>IF(B12="出让",IF(H13="","",ROUNDDOWN(MIN((H13-$D$3)/365,H14),2)),H14)</f>
        <v/>
      </c>
      <c r="I15" s="1052" t="str">
        <f>IF(B12="出让",IF(I13="","",ROUNDDOWN(MIN((I13-$D$3)/365,I14),2)),I14)</f>
        <v/>
      </c>
      <c r="J15" s="2044"/>
      <c r="K15" s="2079"/>
      <c r="L15" s="2080"/>
      <c r="M15" s="2080"/>
      <c r="N15" s="2081"/>
      <c r="O15" s="2080"/>
      <c r="P15" s="2081"/>
      <c r="Q15" s="2031"/>
      <c r="R15" s="2031"/>
    </row>
    <row r="16" spans="1:19" ht="30.75" customHeight="1">
      <c r="A16" s="2064" t="s">
        <v>1801</v>
      </c>
      <c r="B16" s="3028" t="s">
        <v>3057</v>
      </c>
      <c r="C16" s="3029"/>
      <c r="D16" s="3030"/>
      <c r="E16" s="2082" t="s">
        <v>1802</v>
      </c>
      <c r="F16" s="3031" t="s">
        <v>3058</v>
      </c>
      <c r="G16" s="3032"/>
      <c r="H16" s="3032"/>
      <c r="I16" s="3033"/>
      <c r="J16" s="2031"/>
      <c r="K16" s="2079"/>
      <c r="L16" s="2080"/>
      <c r="M16" s="2080"/>
      <c r="N16" s="2081"/>
      <c r="O16" s="2080"/>
      <c r="P16" s="2081"/>
      <c r="Q16" s="2031"/>
      <c r="R16" s="2031"/>
    </row>
    <row r="17" spans="1:22" ht="18" customHeight="1">
      <c r="A17" s="2083" t="s">
        <v>1803</v>
      </c>
      <c r="B17" s="2037" t="s">
        <v>1804</v>
      </c>
      <c r="C17" s="1057">
        <f>'数据-汇总表'!E3</f>
        <v>67341.78</v>
      </c>
      <c r="D17" s="2084" t="s">
        <v>1805</v>
      </c>
      <c r="E17" s="3034" t="s">
        <v>3056</v>
      </c>
      <c r="F17" s="3035"/>
      <c r="G17" s="3035"/>
      <c r="H17" s="3035"/>
      <c r="I17" s="3036"/>
      <c r="J17" s="2031"/>
      <c r="K17" s="2085"/>
      <c r="L17" s="2080"/>
      <c r="M17" s="2080"/>
      <c r="N17" s="2081"/>
      <c r="O17" s="2080"/>
      <c r="P17" s="2081"/>
      <c r="Q17" s="2031"/>
      <c r="R17" s="2031"/>
      <c r="S17" s="2031"/>
      <c r="T17" s="2031"/>
      <c r="U17" s="2031"/>
      <c r="V17" s="2031"/>
    </row>
    <row r="18" spans="1:22" ht="36" customHeight="1" thickBot="1">
      <c r="A18" s="2086" t="s">
        <v>70</v>
      </c>
      <c r="B18" s="2040" t="s">
        <v>1806</v>
      </c>
      <c r="C18" s="1447">
        <f>'数据-汇总表'!D3</f>
        <v>22451.59</v>
      </c>
      <c r="D18" s="2087" t="s">
        <v>1805</v>
      </c>
      <c r="E18" s="3037" t="s">
        <v>3055</v>
      </c>
      <c r="F18" s="3038"/>
      <c r="G18" s="3038"/>
      <c r="H18" s="3038"/>
      <c r="I18" s="3039"/>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3059</v>
      </c>
      <c r="D19" s="2089" t="s">
        <v>1809</v>
      </c>
      <c r="E19" s="2090" t="s">
        <v>3059</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024" t="s">
        <v>1811</v>
      </c>
      <c r="C20" s="3025"/>
      <c r="D20" s="3026" t="s">
        <v>1812</v>
      </c>
      <c r="E20" s="3027"/>
      <c r="F20" s="2094" t="s">
        <v>1813</v>
      </c>
      <c r="G20" s="2044"/>
      <c r="H20" s="2044"/>
      <c r="I20" s="2044"/>
      <c r="J20" s="2044"/>
      <c r="K20" s="3023" t="s">
        <v>1814</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30"/>
      <c r="N20" s="2081"/>
      <c r="O20" s="2080"/>
      <c r="P20" s="2081"/>
      <c r="Q20" s="2031"/>
      <c r="R20" s="2031"/>
      <c r="S20" s="2031"/>
      <c r="T20" s="2031"/>
      <c r="U20" s="2031"/>
      <c r="V20" s="2031"/>
    </row>
    <row r="21" spans="1:22" ht="24.75" customHeight="1">
      <c r="A21" s="2093"/>
      <c r="B21" s="2095" t="s">
        <v>3060</v>
      </c>
      <c r="C21" s="2096" t="s">
        <v>1815</v>
      </c>
      <c r="D21" s="2097"/>
      <c r="E21" s="2098"/>
      <c r="F21" s="2099"/>
      <c r="G21" s="2044"/>
      <c r="H21" s="2044"/>
      <c r="I21" s="2044"/>
      <c r="J21" s="2044"/>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上述抵押权设定日期为2017年5月19日，权利人为资阳民生村镇股份有限公司，权利范围为资阳民生村镇股份有限公司，权利价值为310000万元。</v>
      </c>
      <c r="M21" s="2030"/>
      <c r="N21" s="2081"/>
      <c r="O21" s="2080"/>
      <c r="P21" s="2081"/>
      <c r="Q21" s="2031"/>
      <c r="R21" s="2031"/>
      <c r="S21" s="2031"/>
      <c r="T21" s="2031"/>
      <c r="U21" s="2031"/>
      <c r="V21" s="2031"/>
    </row>
    <row r="22" spans="1:22" ht="24.75" customHeight="1" thickBot="1">
      <c r="A22" s="2093"/>
      <c r="B22" s="2100"/>
      <c r="C22" s="2096"/>
      <c r="D22" s="2028"/>
      <c r="E22" s="2028"/>
      <c r="F22" s="2101"/>
      <c r="G22" s="2044"/>
      <c r="H22" s="2044"/>
      <c r="I22" s="2044"/>
      <c r="J22" s="2044"/>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1816</v>
      </c>
      <c r="B23" s="183" t="s">
        <v>1817</v>
      </c>
      <c r="C23" s="2103">
        <v>42874</v>
      </c>
      <c r="D23" s="2104" t="s">
        <v>1817</v>
      </c>
      <c r="E23" s="2105">
        <v>43063</v>
      </c>
      <c r="F23" s="2101"/>
      <c r="G23" s="2044"/>
      <c r="H23" s="2044"/>
      <c r="I23" s="2044"/>
      <c r="J23" s="2044"/>
      <c r="K23" s="2106"/>
      <c r="L23" s="748"/>
      <c r="M23" s="2030"/>
      <c r="N23" s="2081"/>
      <c r="O23" s="2080"/>
      <c r="P23" s="2081"/>
      <c r="Q23" s="2031"/>
      <c r="R23" s="2031"/>
      <c r="S23" s="2031"/>
      <c r="T23" s="2031"/>
      <c r="U23" s="2031"/>
      <c r="V23" s="2031"/>
    </row>
    <row r="24" spans="1:22" ht="26.25" customHeight="1">
      <c r="A24" s="2107"/>
      <c r="B24" s="183" t="s">
        <v>1818</v>
      </c>
      <c r="C24" s="2941" t="s">
        <v>3061</v>
      </c>
      <c r="D24" s="2102" t="s">
        <v>1818</v>
      </c>
      <c r="E24" s="2942" t="s">
        <v>3063</v>
      </c>
      <c r="F24" s="2101"/>
      <c r="G24" s="2044"/>
      <c r="H24" s="2044"/>
      <c r="I24" s="2044"/>
      <c r="J24" s="2044"/>
      <c r="K24" s="2106"/>
      <c r="L24" s="748"/>
      <c r="M24" s="2030"/>
      <c r="N24" s="2081"/>
      <c r="O24" s="2080"/>
      <c r="P24" s="2081"/>
      <c r="Q24" s="2031"/>
      <c r="R24" s="2031"/>
      <c r="S24" s="2031"/>
      <c r="T24" s="2031"/>
      <c r="U24" s="2031"/>
      <c r="V24" s="2031"/>
    </row>
    <row r="25" spans="1:22" ht="25.5" customHeight="1">
      <c r="A25" s="2107"/>
      <c r="B25" s="183" t="s">
        <v>1819</v>
      </c>
      <c r="C25" s="2941" t="s">
        <v>3061</v>
      </c>
      <c r="D25" s="2102" t="s">
        <v>1819</v>
      </c>
      <c r="E25" s="2108" t="s">
        <v>3064</v>
      </c>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09"/>
      <c r="B26" s="2110" t="s">
        <v>1820</v>
      </c>
      <c r="C26" s="2111" t="s">
        <v>3062</v>
      </c>
      <c r="D26" s="2112" t="s">
        <v>1821</v>
      </c>
      <c r="E26" s="2113" t="s">
        <v>3065</v>
      </c>
      <c r="F26" s="2114"/>
      <c r="G26" s="2061"/>
      <c r="H26" s="2061"/>
      <c r="I26" s="2061"/>
      <c r="J26" s="2044"/>
      <c r="K26" s="2053"/>
      <c r="L26" s="2030"/>
      <c r="M26" s="2030"/>
      <c r="N26" s="2081"/>
      <c r="O26" s="2080"/>
      <c r="P26" s="2081"/>
      <c r="Q26" s="2031"/>
      <c r="R26" s="2031"/>
      <c r="S26" s="2031"/>
      <c r="T26" s="2031"/>
      <c r="U26" s="2031"/>
      <c r="V26" s="2031"/>
    </row>
    <row r="27" spans="1:22" ht="18" customHeight="1" thickTop="1">
      <c r="A27" s="3011" t="s">
        <v>1822</v>
      </c>
      <c r="B27" s="2062" t="s">
        <v>1823</v>
      </c>
      <c r="C27" s="2115" t="s">
        <v>3066</v>
      </c>
      <c r="D27" s="2116"/>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11"/>
      <c r="B28" s="2037" t="s">
        <v>1824</v>
      </c>
      <c r="C28" s="2117" t="s">
        <v>3067</v>
      </c>
      <c r="D28" s="2118"/>
      <c r="E28" s="2044"/>
      <c r="F28" s="2044"/>
      <c r="G28" s="2044"/>
      <c r="H28" s="2044"/>
      <c r="I28" s="2044"/>
      <c r="J28" s="2031"/>
      <c r="K28" s="2119"/>
      <c r="L28" s="2030"/>
      <c r="M28" s="2030"/>
      <c r="N28" s="2031"/>
      <c r="O28" s="2032"/>
      <c r="P28" s="2031"/>
      <c r="Q28" s="2031"/>
      <c r="R28" s="2031"/>
      <c r="S28" s="2031"/>
      <c r="T28" s="2031"/>
      <c r="U28" s="2031"/>
      <c r="V28" s="2031"/>
    </row>
    <row r="29" spans="1:22" ht="18" customHeight="1">
      <c r="A29" s="3011"/>
      <c r="B29" s="2037" t="s">
        <v>1825</v>
      </c>
      <c r="C29" s="2120" t="s">
        <v>3068</v>
      </c>
      <c r="D29" s="2121"/>
      <c r="E29" s="2044"/>
      <c r="F29" s="2044"/>
      <c r="G29" s="2044"/>
      <c r="H29" s="2044"/>
      <c r="I29" s="2044"/>
      <c r="J29" s="2031"/>
      <c r="K29" s="2119"/>
      <c r="L29" s="2030"/>
      <c r="M29" s="2030"/>
      <c r="N29" s="2031"/>
      <c r="O29" s="2032"/>
      <c r="P29" s="2031"/>
      <c r="Q29" s="2031"/>
      <c r="R29" s="2031"/>
      <c r="S29" s="2031"/>
      <c r="T29" s="2031"/>
      <c r="U29" s="2031"/>
      <c r="V29" s="2031"/>
    </row>
    <row r="30" spans="1:22" ht="18" customHeight="1">
      <c r="A30" s="3012"/>
      <c r="B30" s="2037" t="s">
        <v>1826</v>
      </c>
      <c r="C30" s="3013"/>
      <c r="D30" s="3014"/>
      <c r="E30" s="2044"/>
      <c r="F30" s="2044"/>
      <c r="G30" s="2044"/>
      <c r="H30" s="2044"/>
      <c r="I30" s="2044"/>
      <c r="J30" s="2031"/>
      <c r="K30" s="2119"/>
      <c r="L30" s="2030"/>
      <c r="M30" s="2030"/>
      <c r="N30" s="2031"/>
      <c r="O30" s="2032"/>
      <c r="P30" s="2031"/>
      <c r="Q30" s="2031"/>
      <c r="R30" s="2031"/>
      <c r="S30" s="2031"/>
      <c r="T30" s="2031"/>
      <c r="U30" s="2031"/>
      <c r="V30" s="2031"/>
    </row>
    <row r="31" spans="1:22" ht="18" customHeight="1">
      <c r="A31" s="3015" t="s">
        <v>1827</v>
      </c>
      <c r="B31" s="2122" t="s">
        <v>3069</v>
      </c>
      <c r="C31" s="2123" t="str">
        <f>IF(B31="现房","成新及维护状况正常否",IF(B31="在建","工程状态是否正常",IF(B31="土地","是否闲置","-")))</f>
        <v>工程状态是否正常</v>
      </c>
      <c r="D31" s="2124"/>
      <c r="E31" s="2125"/>
      <c r="F31" s="2044"/>
      <c r="G31" s="2044"/>
      <c r="H31" s="2044"/>
      <c r="I31" s="2044"/>
      <c r="J31" s="2044"/>
      <c r="K31" s="2052"/>
      <c r="L31" s="2030"/>
      <c r="M31" s="2030"/>
      <c r="N31" s="2031"/>
      <c r="O31" s="2032"/>
      <c r="P31" s="2031"/>
      <c r="Q31" s="2031"/>
      <c r="R31" s="2031"/>
      <c r="S31" s="2031"/>
      <c r="T31" s="2031"/>
      <c r="U31" s="2031"/>
      <c r="V31" s="2031"/>
    </row>
    <row r="32" spans="1:22" ht="18" customHeight="1">
      <c r="A32" s="3016"/>
      <c r="B32" s="2122"/>
      <c r="C32" s="2123" t="str">
        <f>IF(B32="现房","成新及维护状况是否正常",IF(B32="在建","工程状态是否正常",IF(B32="土地","是否闲置","-")))</f>
        <v>-</v>
      </c>
      <c r="D32" s="2124"/>
      <c r="E32" s="2125"/>
      <c r="F32" s="2044"/>
      <c r="G32" s="2044"/>
      <c r="H32" s="2044"/>
      <c r="I32" s="2044"/>
      <c r="J32" s="2044"/>
      <c r="K32" s="2053"/>
      <c r="L32" s="2030"/>
      <c r="M32" s="2030"/>
      <c r="N32" s="2031"/>
      <c r="O32" s="2032"/>
      <c r="P32" s="2031"/>
      <c r="Q32" s="2031"/>
      <c r="R32" s="2031"/>
      <c r="S32" s="2031"/>
      <c r="T32" s="2031"/>
      <c r="U32" s="2031"/>
      <c r="V32" s="2031"/>
    </row>
    <row r="33" spans="1:22" ht="18" customHeight="1">
      <c r="A33" s="3016"/>
      <c r="B33" s="2126"/>
      <c r="C33" s="2067" t="str">
        <f>IF(B33="现房","成新及维护状况是否正常",IF(B33="在建","工程状态是否正常",IF(B33="土地","是否闲置","-")))</f>
        <v>-</v>
      </c>
      <c r="D33" s="2127"/>
      <c r="E33" s="2128"/>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1828</v>
      </c>
      <c r="B34" s="2129" t="s">
        <v>3070</v>
      </c>
      <c r="C34" s="2129" t="s">
        <v>3071</v>
      </c>
      <c r="D34" s="2129" t="s">
        <v>3072</v>
      </c>
      <c r="E34" s="2129"/>
      <c r="F34" s="2129"/>
      <c r="G34" s="2129"/>
      <c r="H34" s="2129"/>
      <c r="I34" s="2044"/>
      <c r="J34" s="2044"/>
      <c r="K34" s="1797">
        <f>COUNTIF(B34:H34,"——")</f>
        <v>0</v>
      </c>
      <c r="L34" s="2071" t="s">
        <v>1829</v>
      </c>
      <c r="M34" s="2071" t="s">
        <v>1830</v>
      </c>
      <c r="N34" s="2071" t="s">
        <v>1831</v>
      </c>
      <c r="O34" s="2071" t="s">
        <v>1832</v>
      </c>
      <c r="P34" s="2071" t="s">
        <v>1833</v>
      </c>
      <c r="Q34" s="2071" t="s">
        <v>1834</v>
      </c>
      <c r="R34" s="2071" t="s">
        <v>1835</v>
      </c>
      <c r="S34" s="3010" t="s">
        <v>1836</v>
      </c>
      <c r="T34" s="2130" t="str">
        <f>NUMBERSTRING(7-K34,1)&amp;"通"</f>
        <v>七通</v>
      </c>
      <c r="U34" s="2031"/>
      <c r="V34" s="2031"/>
    </row>
    <row r="35" spans="1:22" ht="18" customHeight="1">
      <c r="A35" s="2131"/>
      <c r="B35" s="3017" t="s">
        <v>1837</v>
      </c>
      <c r="C35" s="3017"/>
      <c r="D35" s="3017"/>
      <c r="E35" s="3017"/>
      <c r="F35" s="2132" t="e">
        <f>#REF!</f>
        <v>#REF!</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v>
      </c>
      <c r="P35" s="48" t="str">
        <f>B34&amp;"、"&amp;C34&amp;"、"&amp;D34&amp;"、"&amp;E34&amp;"、"&amp;F34</f>
        <v>通路、通电、通讯、、</v>
      </c>
      <c r="Q35" s="48" t="str">
        <f>B34&amp;"、"&amp;C34&amp;"、"&amp;D34&amp;"、"&amp;E34&amp;"、"&amp;F34&amp;"、"&amp;G34</f>
        <v>通路、通电、通讯、、、</v>
      </c>
      <c r="R35" s="48" t="str">
        <f>B34&amp;"、"&amp;C34&amp;"、"&amp;D34&amp;"、"&amp;E34&amp;"、"&amp;F34&amp;"、"&amp;G34&amp;"、"&amp;H34</f>
        <v>通路、通电、通讯、、、、</v>
      </c>
      <c r="S35" s="3010"/>
      <c r="T35" s="48" t="str">
        <f>IF(T34="一通",L35,IF(T34="二通",M35,IF(T34="三通",N35,IF(T34="四通",O35,IF(T34="五通",P35,IF(T34="六通",Q35,R35))))))</f>
        <v>通路、通电、通讯、、、、</v>
      </c>
      <c r="U35" s="2031"/>
      <c r="V35" s="2031"/>
    </row>
    <row r="36" spans="1:22" ht="18" customHeight="1">
      <c r="A36" s="2133"/>
      <c r="B36" s="2132" t="s">
        <v>1838</v>
      </c>
      <c r="C36" s="2132" t="s">
        <v>1839</v>
      </c>
      <c r="D36" s="2132" t="s">
        <v>1840</v>
      </c>
      <c r="E36" s="2132" t="s">
        <v>1841</v>
      </c>
      <c r="F36" s="2134"/>
      <c r="G36" s="2044"/>
      <c r="H36" s="2044"/>
      <c r="I36" s="2044"/>
      <c r="J36" s="2044"/>
      <c r="K36" s="2053"/>
      <c r="L36" s="2030"/>
      <c r="M36" s="2030"/>
      <c r="N36" s="2031"/>
      <c r="O36" s="2032"/>
      <c r="P36" s="2031"/>
      <c r="Q36" s="2031"/>
      <c r="R36" s="2031"/>
      <c r="S36" s="2031"/>
      <c r="T36" s="2031"/>
      <c r="U36" s="2031"/>
      <c r="V36" s="2031"/>
    </row>
    <row r="37" spans="1:22" ht="18" customHeight="1">
      <c r="A37" s="2135" t="s">
        <v>1842</v>
      </c>
      <c r="B37" s="2136"/>
      <c r="C37" s="2136"/>
      <c r="D37" s="2136"/>
      <c r="E37" s="2136"/>
      <c r="F37" s="2134"/>
      <c r="G37" s="2044"/>
      <c r="H37" s="2044"/>
      <c r="I37" s="2044"/>
      <c r="J37" s="2044"/>
      <c r="K37" s="2053"/>
      <c r="L37" s="2030"/>
      <c r="M37" s="2030"/>
      <c r="N37" s="2031"/>
      <c r="O37" s="2032"/>
      <c r="P37" s="2031"/>
      <c r="Q37" s="2031"/>
      <c r="R37" s="2031"/>
      <c r="S37" s="2031"/>
      <c r="T37" s="2031"/>
      <c r="U37" s="2031"/>
      <c r="V37" s="2031"/>
    </row>
    <row r="38" spans="1:22" ht="18" customHeight="1" thickBot="1">
      <c r="A38" s="2137" t="s">
        <v>1843</v>
      </c>
      <c r="B38" s="2138"/>
      <c r="C38" s="2138"/>
      <c r="D38" s="2138"/>
      <c r="E38" s="2138"/>
      <c r="F38" s="2139"/>
      <c r="G38" s="2061"/>
      <c r="H38" s="2061"/>
      <c r="I38" s="2061"/>
      <c r="J38" s="2044"/>
      <c r="K38" s="2053"/>
      <c r="L38" s="2030"/>
      <c r="M38" s="2030"/>
      <c r="N38" s="2031"/>
      <c r="O38" s="2032"/>
      <c r="P38" s="2031"/>
      <c r="Q38" s="2031"/>
      <c r="R38" s="2031"/>
      <c r="S38" s="2031"/>
      <c r="T38" s="2031"/>
      <c r="U38" s="2031"/>
      <c r="V38" s="2031"/>
    </row>
    <row r="39" spans="1:22" s="2144" customFormat="1" ht="18" customHeight="1" thickTop="1" thickBot="1">
      <c r="A39" s="2140" t="s">
        <v>1844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31"/>
      <c r="B40" s="2031"/>
      <c r="C40" s="2031"/>
      <c r="D40" s="2031"/>
      <c r="E40" s="2031"/>
      <c r="F40" s="2031"/>
      <c r="G40" s="2031"/>
      <c r="H40" s="2031"/>
      <c r="I40" s="2145"/>
      <c r="J40" s="2081"/>
      <c r="K40" s="666"/>
      <c r="L40" s="2080"/>
      <c r="M40" s="2080"/>
      <c r="N40" s="2081"/>
      <c r="O40" s="2080"/>
      <c r="P40" s="2031"/>
      <c r="Q40" s="2031"/>
      <c r="R40" s="2031"/>
      <c r="S40" s="2031"/>
      <c r="T40" s="2031"/>
      <c r="U40" s="2031"/>
      <c r="V40" s="2031"/>
    </row>
    <row r="41" spans="1:22" ht="18" customHeight="1">
      <c r="A41" s="8" t="s">
        <v>1845</v>
      </c>
      <c r="B41" s="2146"/>
      <c r="C41" s="2147"/>
      <c r="D41" s="2031"/>
      <c r="E41" s="2031"/>
      <c r="F41" s="2031"/>
      <c r="G41" s="2031"/>
      <c r="H41" s="2031"/>
      <c r="I41" s="2032"/>
      <c r="J41" s="2031"/>
      <c r="K41" s="2119"/>
      <c r="L41" s="2030"/>
      <c r="M41" s="2030"/>
      <c r="N41" s="2031"/>
      <c r="O41" s="2032"/>
      <c r="P41" s="2031"/>
      <c r="Q41" s="2031"/>
      <c r="R41" s="2031"/>
      <c r="S41" s="2031"/>
      <c r="T41" s="2031"/>
      <c r="U41" s="2031"/>
      <c r="V41" s="2031"/>
    </row>
    <row r="42" spans="1:22" ht="18" customHeight="1">
      <c r="A42" s="2071" t="s">
        <v>1846</v>
      </c>
      <c r="B42" s="1797" t="s">
        <v>1847</v>
      </c>
      <c r="C42" s="1797" t="s">
        <v>1848</v>
      </c>
      <c r="D42" s="1797" t="s">
        <v>1849</v>
      </c>
      <c r="E42" s="1797" t="s">
        <v>1850</v>
      </c>
      <c r="F42" s="1797" t="s">
        <v>1851</v>
      </c>
      <c r="G42" s="1797" t="s">
        <v>1852</v>
      </c>
      <c r="H42" s="1797" t="s">
        <v>1853</v>
      </c>
      <c r="I42" s="1797" t="s">
        <v>1854</v>
      </c>
      <c r="J42" s="2148" t="s">
        <v>1855</v>
      </c>
      <c r="K42" s="2072" t="s">
        <v>1856</v>
      </c>
      <c r="L42" s="2072" t="s">
        <v>1857</v>
      </c>
      <c r="M42" s="2072" t="s">
        <v>1858</v>
      </c>
      <c r="N42" s="1797" t="s">
        <v>1859</v>
      </c>
      <c r="O42" s="1797" t="s">
        <v>1860</v>
      </c>
      <c r="P42" s="1797" t="s">
        <v>1861</v>
      </c>
      <c r="Q42" s="2071" t="s">
        <v>1862</v>
      </c>
      <c r="R42" s="2071" t="s">
        <v>1863</v>
      </c>
      <c r="S42" s="2031"/>
      <c r="T42" s="2031"/>
      <c r="U42" s="2031"/>
      <c r="V42" s="2031"/>
    </row>
    <row r="43" spans="1:22" s="2153" customFormat="1" ht="18" customHeight="1">
      <c r="A43" s="2149"/>
      <c r="B43" s="1275"/>
      <c r="C43" s="1275"/>
      <c r="D43" s="1275"/>
      <c r="E43" s="1275"/>
      <c r="F43" s="1275"/>
      <c r="G43" s="1275"/>
      <c r="H43" s="9"/>
      <c r="I43" s="9"/>
      <c r="J43" s="2150"/>
      <c r="K43" s="2151"/>
      <c r="L43" s="2151"/>
      <c r="M43" s="9"/>
      <c r="N43" s="1275"/>
      <c r="O43" s="9"/>
      <c r="P43" s="1275"/>
      <c r="Q43" s="1275"/>
      <c r="R43" s="1275"/>
      <c r="S43" s="2152"/>
      <c r="T43" s="2152"/>
      <c r="U43" s="2152"/>
      <c r="V43" s="2152"/>
    </row>
    <row r="44" spans="1:22" s="2153" customFormat="1" ht="18" customHeight="1">
      <c r="A44" s="2149"/>
      <c r="B44" s="2149"/>
      <c r="C44" s="1275"/>
      <c r="D44" s="1275"/>
      <c r="E44" s="1275"/>
      <c r="F44" s="1275"/>
      <c r="G44" s="1275"/>
      <c r="H44" s="9"/>
      <c r="I44" s="9"/>
      <c r="J44" s="2150"/>
      <c r="K44" s="2151"/>
      <c r="L44" s="2151"/>
      <c r="M44" s="9"/>
      <c r="N44" s="1275"/>
      <c r="O44" s="9"/>
      <c r="P44" s="1275"/>
      <c r="Q44" s="1275"/>
      <c r="R44" s="1275"/>
      <c r="S44" s="2152"/>
      <c r="T44" s="2152"/>
      <c r="U44" s="2152"/>
      <c r="V44" s="2152"/>
    </row>
    <row r="45" spans="1:22" s="2153" customFormat="1" ht="18" customHeight="1">
      <c r="A45" s="2149"/>
      <c r="B45" s="2149"/>
      <c r="C45" s="1275"/>
      <c r="D45" s="1275"/>
      <c r="E45" s="1275"/>
      <c r="F45" s="1275"/>
      <c r="G45" s="1275"/>
      <c r="H45" s="9"/>
      <c r="I45" s="9"/>
      <c r="J45" s="2150"/>
      <c r="K45" s="2151"/>
      <c r="L45" s="2151"/>
      <c r="M45" s="9"/>
      <c r="N45" s="1275"/>
      <c r="O45" s="9"/>
      <c r="P45" s="1275"/>
      <c r="Q45" s="1275"/>
      <c r="R45" s="1275"/>
      <c r="S45" s="2152"/>
      <c r="T45" s="2152"/>
      <c r="U45" s="2152"/>
      <c r="V45" s="2152"/>
    </row>
    <row r="46" spans="1:22" s="2153" customFormat="1" ht="18" customHeight="1">
      <c r="A46" s="2149"/>
      <c r="B46" s="2149"/>
      <c r="C46" s="1275"/>
      <c r="D46" s="1275"/>
      <c r="E46" s="1275"/>
      <c r="F46" s="1275"/>
      <c r="G46" s="1275"/>
      <c r="H46" s="9"/>
      <c r="I46" s="9"/>
      <c r="J46" s="2150"/>
      <c r="K46" s="2151"/>
      <c r="L46" s="2151"/>
      <c r="M46" s="9"/>
      <c r="N46" s="1275"/>
      <c r="O46" s="9"/>
      <c r="P46" s="1275"/>
      <c r="Q46" s="1275"/>
      <c r="R46" s="1275"/>
      <c r="S46" s="2152"/>
      <c r="T46" s="2152"/>
      <c r="U46" s="2152"/>
      <c r="V46" s="2152"/>
    </row>
    <row r="47" spans="1:22" s="2153" customFormat="1" ht="18" customHeight="1">
      <c r="A47" s="2149"/>
      <c r="B47" s="2149"/>
      <c r="C47" s="1275"/>
      <c r="D47" s="1275"/>
      <c r="E47" s="1275"/>
      <c r="F47" s="1275"/>
      <c r="G47" s="1275"/>
      <c r="H47" s="9"/>
      <c r="I47" s="9"/>
      <c r="J47" s="2150"/>
      <c r="K47" s="2151"/>
      <c r="L47" s="2151"/>
      <c r="M47" s="9"/>
      <c r="N47" s="1275"/>
      <c r="O47" s="9"/>
      <c r="P47" s="1275"/>
      <c r="Q47" s="1275"/>
      <c r="R47" s="1275"/>
      <c r="S47" s="2152"/>
      <c r="T47" s="2152"/>
      <c r="U47" s="2152"/>
      <c r="V47" s="2152"/>
    </row>
    <row r="48" spans="1:22" s="2153" customFormat="1" ht="18" customHeight="1">
      <c r="A48" s="2149"/>
      <c r="B48" s="2149"/>
      <c r="C48" s="1275"/>
      <c r="D48" s="1275"/>
      <c r="E48" s="1275"/>
      <c r="F48" s="1275"/>
      <c r="G48" s="1275"/>
      <c r="H48" s="9"/>
      <c r="I48" s="9"/>
      <c r="J48" s="2150"/>
      <c r="K48" s="2151"/>
      <c r="L48" s="2151"/>
      <c r="M48" s="9"/>
      <c r="N48" s="1275"/>
      <c r="O48" s="9"/>
      <c r="P48" s="1275"/>
      <c r="Q48" s="1275"/>
      <c r="R48" s="1275"/>
      <c r="S48" s="2152"/>
      <c r="T48" s="2152"/>
      <c r="U48" s="2152"/>
      <c r="V48" s="2152"/>
    </row>
    <row r="49" spans="1:22" s="2153" customFormat="1" ht="18" customHeight="1">
      <c r="A49" s="2149"/>
      <c r="B49" s="2149"/>
      <c r="C49" s="1275"/>
      <c r="D49" s="1275"/>
      <c r="E49" s="1275"/>
      <c r="F49" s="1275"/>
      <c r="G49" s="1275"/>
      <c r="H49" s="9"/>
      <c r="I49" s="9"/>
      <c r="J49" s="2150"/>
      <c r="K49" s="2151"/>
      <c r="L49" s="2151"/>
      <c r="M49" s="9"/>
      <c r="N49" s="1275"/>
      <c r="O49" s="9"/>
      <c r="P49" s="1275"/>
      <c r="Q49" s="1275"/>
      <c r="R49" s="1275"/>
      <c r="S49" s="2152"/>
      <c r="T49" s="2152"/>
      <c r="U49" s="2152"/>
      <c r="V49" s="2152"/>
    </row>
    <row r="50" spans="1:22" s="2153" customFormat="1" ht="18" customHeight="1">
      <c r="A50" s="2149"/>
      <c r="B50" s="2149"/>
      <c r="C50" s="1275"/>
      <c r="D50" s="1275"/>
      <c r="E50" s="1275"/>
      <c r="F50" s="1275"/>
      <c r="G50" s="1275"/>
      <c r="H50" s="9"/>
      <c r="I50" s="9"/>
      <c r="J50" s="2150"/>
      <c r="K50" s="2151"/>
      <c r="L50" s="2151"/>
      <c r="M50" s="9"/>
      <c r="N50" s="1275"/>
      <c r="O50" s="9"/>
      <c r="P50" s="1275"/>
      <c r="Q50" s="1275"/>
      <c r="R50" s="1275"/>
      <c r="S50" s="2152"/>
      <c r="T50" s="2152"/>
      <c r="U50" s="2152"/>
      <c r="V50" s="2152"/>
    </row>
    <row r="51" spans="1:22" s="2153" customFormat="1" ht="18" customHeight="1">
      <c r="A51" s="2149"/>
      <c r="B51" s="2149"/>
      <c r="C51" s="1275"/>
      <c r="D51" s="1275"/>
      <c r="E51" s="1275"/>
      <c r="F51" s="1275"/>
      <c r="G51" s="1275"/>
      <c r="H51" s="9"/>
      <c r="I51" s="9"/>
      <c r="J51" s="2150"/>
      <c r="K51" s="2151"/>
      <c r="L51" s="2151"/>
      <c r="M51" s="9"/>
      <c r="N51" s="1275"/>
      <c r="O51" s="9"/>
      <c r="P51" s="1275"/>
      <c r="Q51" s="1275"/>
      <c r="R51" s="1275"/>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3" width="9.5" style="2155" customWidth="1"/>
    <col min="14"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9"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3" customFormat="1" ht="24">
      <c r="A2" s="11" t="s">
        <v>1866</v>
      </c>
      <c r="B2" s="11" t="s">
        <v>1867</v>
      </c>
      <c r="C2" s="11" t="s">
        <v>1868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2" t="s">
        <v>1869</v>
      </c>
      <c r="AZ2" s="1273" t="s">
        <v>1870</v>
      </c>
      <c r="BA2" s="11" t="s">
        <v>1871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规证面积整理!C14</f>
        <v>22451.59</v>
      </c>
      <c r="B3" s="14">
        <f>IF(C3="否",G5-AT5,G5)</f>
        <v>67341.78</v>
      </c>
      <c r="C3" s="2164" t="s">
        <v>3068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4"/>
      <c r="AZ3" s="1275"/>
      <c r="BA3" s="1276"/>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1872</v>
      </c>
      <c r="B5" s="1805"/>
      <c r="C5" s="1805"/>
      <c r="D5" s="1808"/>
      <c r="E5" s="16" t="s">
        <v>1</v>
      </c>
      <c r="F5" s="16">
        <f>SUM(F13:F587)</f>
        <v>0</v>
      </c>
      <c r="G5" s="16">
        <f>SUM(G13:G587)</f>
        <v>67341.78</v>
      </c>
      <c r="H5" s="16">
        <f t="shared" ref="H5:AT5" si="0">SUM(H13:H656)</f>
        <v>62698.479999999996</v>
      </c>
      <c r="I5" s="16">
        <f t="shared" si="0"/>
        <v>48557.02</v>
      </c>
      <c r="J5" s="16">
        <f t="shared" si="0"/>
        <v>0</v>
      </c>
      <c r="K5" s="16">
        <f t="shared" si="0"/>
        <v>5754.26</v>
      </c>
      <c r="L5" s="16">
        <f t="shared" si="0"/>
        <v>0</v>
      </c>
      <c r="M5" s="16">
        <f t="shared" si="0"/>
        <v>8387.2000000000007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4643.3</v>
      </c>
      <c r="AD5" s="16">
        <f t="shared" si="0"/>
        <v>499.06</v>
      </c>
      <c r="AE5" s="16">
        <f t="shared" si="0"/>
        <v>0</v>
      </c>
      <c r="AF5" s="16">
        <f t="shared" si="0"/>
        <v>2142.33</v>
      </c>
      <c r="AG5" s="16">
        <f t="shared" si="0"/>
        <v>0</v>
      </c>
      <c r="AH5" s="16">
        <f t="shared" si="0"/>
        <v>0</v>
      </c>
      <c r="AI5" s="16">
        <f t="shared" si="0"/>
        <v>0</v>
      </c>
      <c r="AJ5" s="16">
        <f t="shared" si="0"/>
        <v>0</v>
      </c>
      <c r="AK5" s="16">
        <f t="shared" si="0"/>
        <v>0</v>
      </c>
      <c r="AL5" s="16">
        <f t="shared" si="0"/>
        <v>194</v>
      </c>
      <c r="AM5" s="16">
        <f t="shared" si="0"/>
        <v>0</v>
      </c>
      <c r="AN5" s="16">
        <f t="shared" si="0"/>
        <v>1807.91</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67341.78</v>
      </c>
      <c r="BA5" s="18">
        <f t="shared" si="1"/>
        <v>62698.479999999996</v>
      </c>
      <c r="BB5" s="18">
        <f t="shared" si="1"/>
        <v>48557.02</v>
      </c>
      <c r="BC5" s="18">
        <f t="shared" si="1"/>
        <v>5754.26</v>
      </c>
      <c r="BD5" s="18">
        <f t="shared" si="1"/>
        <v>8387.2000000000007</v>
      </c>
      <c r="BE5" s="18">
        <f t="shared" si="1"/>
        <v>0</v>
      </c>
      <c r="BF5" s="18">
        <f t="shared" si="1"/>
        <v>0</v>
      </c>
      <c r="BG5" s="18">
        <f t="shared" si="1"/>
        <v>0</v>
      </c>
      <c r="BH5" s="18">
        <f t="shared" si="1"/>
        <v>0</v>
      </c>
      <c r="BI5" s="18">
        <f t="shared" si="1"/>
        <v>0</v>
      </c>
      <c r="BJ5" s="18">
        <f t="shared" si="1"/>
        <v>0</v>
      </c>
      <c r="BK5" s="18">
        <f t="shared" si="1"/>
        <v>0</v>
      </c>
      <c r="BL5" s="18">
        <f t="shared" si="1"/>
        <v>4643.3</v>
      </c>
      <c r="BM5" s="18">
        <f t="shared" si="1"/>
        <v>499.06</v>
      </c>
      <c r="BN5" s="18">
        <f t="shared" si="1"/>
        <v>2142.33</v>
      </c>
      <c r="BO5" s="18">
        <f t="shared" si="1"/>
        <v>0</v>
      </c>
      <c r="BP5" s="18">
        <f t="shared" si="1"/>
        <v>0</v>
      </c>
      <c r="BQ5" s="18">
        <f t="shared" si="1"/>
        <v>194</v>
      </c>
      <c r="BR5" s="18">
        <f t="shared" si="1"/>
        <v>1807.91</v>
      </c>
      <c r="BS5" s="18">
        <f t="shared" si="1"/>
        <v>0</v>
      </c>
      <c r="BT5" s="19">
        <f t="shared" si="1"/>
        <v>0</v>
      </c>
    </row>
    <row r="6" spans="1:72" s="2173" customFormat="1" ht="12.75">
      <c r="A6" s="15" t="s">
        <v>1873</v>
      </c>
      <c r="B6" s="2170"/>
      <c r="C6" s="2170"/>
      <c r="D6" s="2171"/>
      <c r="E6" s="16">
        <f>H6+AC6+AT6</f>
        <v>22451.599999999999</v>
      </c>
      <c r="F6" s="16" t="s">
        <v>1</v>
      </c>
      <c r="G6" s="16" t="s">
        <v>2</v>
      </c>
      <c r="H6" s="20">
        <f>SUMIF(I$12:AB$12,"总值",I6:AB6)</f>
        <v>20903.53</v>
      </c>
      <c r="I6" s="16">
        <f t="shared" ref="I6:AB6" si="2">ROUND($A$3*I5/$B$3,2)</f>
        <v>16188.8</v>
      </c>
      <c r="J6" s="16">
        <f t="shared" si="2"/>
        <v>0</v>
      </c>
      <c r="K6" s="16">
        <f t="shared" si="2"/>
        <v>1918.46</v>
      </c>
      <c r="L6" s="16">
        <f t="shared" si="2"/>
        <v>0</v>
      </c>
      <c r="M6" s="16">
        <f t="shared" si="2"/>
        <v>2796.27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1548.07</v>
      </c>
      <c r="AD6" s="16">
        <f t="shared" ref="AD6:AS6" si="3">ROUND($A$3*AD5/$B$3,2)</f>
        <v>166.39</v>
      </c>
      <c r="AE6" s="16">
        <f t="shared" si="3"/>
        <v>0</v>
      </c>
      <c r="AF6" s="16">
        <f t="shared" si="3"/>
        <v>714.25</v>
      </c>
      <c r="AG6" s="16">
        <f t="shared" si="3"/>
        <v>0</v>
      </c>
      <c r="AH6" s="16">
        <f t="shared" si="3"/>
        <v>0</v>
      </c>
      <c r="AI6" s="16">
        <f t="shared" si="3"/>
        <v>0</v>
      </c>
      <c r="AJ6" s="16">
        <f t="shared" si="3"/>
        <v>0</v>
      </c>
      <c r="AK6" s="16">
        <f t="shared" si="3"/>
        <v>0</v>
      </c>
      <c r="AL6" s="16">
        <f t="shared" si="3"/>
        <v>64.680000000000007</v>
      </c>
      <c r="AM6" s="16">
        <f t="shared" si="3"/>
        <v>0</v>
      </c>
      <c r="AN6" s="16">
        <f t="shared" si="3"/>
        <v>602.75</v>
      </c>
      <c r="AO6" s="16">
        <f t="shared" si="3"/>
        <v>0</v>
      </c>
      <c r="AP6" s="16">
        <f t="shared" si="3"/>
        <v>0</v>
      </c>
      <c r="AQ6" s="16">
        <f t="shared" si="3"/>
        <v>0</v>
      </c>
      <c r="AR6" s="16">
        <f t="shared" si="3"/>
        <v>0</v>
      </c>
      <c r="AS6" s="16">
        <f t="shared" si="3"/>
        <v>0</v>
      </c>
      <c r="AT6" s="20">
        <f>IF(C3="是",ROUND($A$3*AT5/$B$3,2),0)</f>
        <v>0</v>
      </c>
      <c r="AU6" s="2172"/>
      <c r="AV6" s="15" t="s">
        <v>1873</v>
      </c>
      <c r="AW6" s="2170"/>
      <c r="AX6" s="2170"/>
      <c r="AY6" s="21">
        <f>IF(AY3&gt;0,AY3,ROUND($A$3*AZ5/$B$3,2))</f>
        <v>22451.59</v>
      </c>
      <c r="AZ6" s="16" t="s">
        <v>3</v>
      </c>
      <c r="BA6" s="16">
        <f>ROUND($AY$6*BA5/$AZ$5,2)</f>
        <v>20903.52</v>
      </c>
      <c r="BB6" s="16">
        <f>ROUND($AY$6*BB5/$AZ$5,2)</f>
        <v>16188.8</v>
      </c>
      <c r="BC6" s="16">
        <f t="shared" ref="BC6:BH6" si="4">ROUND($AY$6*BC5/$AZ$5,2)</f>
        <v>1918.46</v>
      </c>
      <c r="BD6" s="16">
        <f t="shared" si="4"/>
        <v>2796.27</v>
      </c>
      <c r="BE6" s="16">
        <f t="shared" si="4"/>
        <v>0</v>
      </c>
      <c r="BF6" s="16">
        <f t="shared" si="4"/>
        <v>0</v>
      </c>
      <c r="BG6" s="16">
        <f t="shared" si="4"/>
        <v>0</v>
      </c>
      <c r="BH6" s="16">
        <f t="shared" si="4"/>
        <v>0</v>
      </c>
      <c r="BI6" s="16">
        <f t="shared" ref="BI6:BT6" si="5">ROUND($AY$6*BI5/$AZ$5,2)</f>
        <v>0</v>
      </c>
      <c r="BJ6" s="16">
        <f t="shared" si="5"/>
        <v>0</v>
      </c>
      <c r="BK6" s="16">
        <f t="shared" si="5"/>
        <v>0</v>
      </c>
      <c r="BL6" s="16">
        <f t="shared" si="5"/>
        <v>1548.07</v>
      </c>
      <c r="BM6" s="16">
        <f t="shared" si="5"/>
        <v>166.39</v>
      </c>
      <c r="BN6" s="16">
        <f t="shared" si="5"/>
        <v>714.25</v>
      </c>
      <c r="BO6" s="16">
        <f t="shared" si="5"/>
        <v>0</v>
      </c>
      <c r="BP6" s="16">
        <f t="shared" si="5"/>
        <v>0</v>
      </c>
      <c r="BQ6" s="16">
        <f t="shared" si="5"/>
        <v>64.680000000000007</v>
      </c>
      <c r="BR6" s="16">
        <f t="shared" si="5"/>
        <v>602.75</v>
      </c>
      <c r="BS6" s="16">
        <f t="shared" si="5"/>
        <v>0</v>
      </c>
      <c r="BT6" s="22">
        <f t="shared" si="5"/>
        <v>0</v>
      </c>
    </row>
    <row r="7" spans="1:72" s="2163" customFormat="1" ht="24.75">
      <c r="A7" s="2106" t="s">
        <v>1874</v>
      </c>
      <c r="B7" s="2106" t="s">
        <v>1875</v>
      </c>
      <c r="C7" s="2106" t="s">
        <v>1876</v>
      </c>
      <c r="D7" s="2106" t="s">
        <v>1877</v>
      </c>
      <c r="E7" s="2106" t="s">
        <v>1878</v>
      </c>
      <c r="F7" s="2106" t="s">
        <v>1879</v>
      </c>
      <c r="G7" s="2174" t="s">
        <v>1880</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8"/>
      <c r="AU7" s="2175" t="s">
        <v>1881</v>
      </c>
      <c r="AV7" s="23" t="s">
        <v>1882</v>
      </c>
      <c r="AW7" s="2162" t="s">
        <v>1883</v>
      </c>
      <c r="AX7" s="23" t="s">
        <v>1876</v>
      </c>
      <c r="AY7" s="1805" t="s">
        <v>1884</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1885</v>
      </c>
      <c r="H8" s="2180" t="s">
        <v>1886</v>
      </c>
      <c r="I8" s="2181"/>
      <c r="J8" s="1820"/>
      <c r="K8" s="1820"/>
      <c r="L8" s="1820"/>
      <c r="M8" s="1820"/>
      <c r="N8" s="1820"/>
      <c r="O8" s="1820"/>
      <c r="P8" s="1820"/>
      <c r="Q8" s="1820"/>
      <c r="R8" s="1820"/>
      <c r="S8" s="1820"/>
      <c r="T8" s="1820"/>
      <c r="U8" s="1820"/>
      <c r="V8" s="2182"/>
      <c r="W8" s="1820"/>
      <c r="X8" s="1820"/>
      <c r="Y8" s="1820"/>
      <c r="Z8" s="1820"/>
      <c r="AA8" s="2182"/>
      <c r="AB8" s="2183"/>
      <c r="AC8" s="984" t="s">
        <v>1887</v>
      </c>
      <c r="AD8" s="2184"/>
      <c r="AE8" s="2176"/>
      <c r="AF8" s="1820"/>
      <c r="AG8" s="1820"/>
      <c r="AH8" s="1820"/>
      <c r="AI8" s="1820"/>
      <c r="AJ8" s="1820"/>
      <c r="AK8" s="1820"/>
      <c r="AL8" s="1820"/>
      <c r="AM8" s="1820"/>
      <c r="AN8" s="1820"/>
      <c r="AO8" s="1820"/>
      <c r="AP8" s="1820"/>
      <c r="AQ8" s="1820"/>
      <c r="AR8" s="1820"/>
      <c r="AS8" s="1820"/>
      <c r="AT8" s="1295" t="s">
        <v>1888</v>
      </c>
      <c r="AU8" s="2178" t="s">
        <v>1889</v>
      </c>
      <c r="AV8" s="1295"/>
      <c r="AW8" s="2161"/>
      <c r="AX8" s="1295"/>
      <c r="AY8" s="2162"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5" customFormat="1" ht="12.75">
      <c r="A9" s="2178"/>
      <c r="B9" s="2178"/>
      <c r="C9" s="2178"/>
      <c r="D9" s="2178"/>
      <c r="E9" s="2178"/>
      <c r="F9" s="2178"/>
      <c r="G9" s="1295"/>
      <c r="H9" s="2186" t="s">
        <v>1892</v>
      </c>
      <c r="I9" s="2187" t="s">
        <v>3073</v>
      </c>
      <c r="J9" s="984"/>
      <c r="K9" s="2187" t="s">
        <v>3073</v>
      </c>
      <c r="L9" s="984"/>
      <c r="M9" s="2187" t="s">
        <v>3078</v>
      </c>
      <c r="N9" s="984"/>
      <c r="O9" s="2187"/>
      <c r="P9" s="984"/>
      <c r="Q9" s="2187"/>
      <c r="R9" s="984"/>
      <c r="S9" s="2187"/>
      <c r="T9" s="984"/>
      <c r="U9" s="2187"/>
      <c r="V9" s="984"/>
      <c r="W9" s="2187"/>
      <c r="X9" s="2188"/>
      <c r="Y9" s="2187"/>
      <c r="Z9" s="984"/>
      <c r="AA9" s="2187"/>
      <c r="AB9" s="984"/>
      <c r="AC9" s="2179"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89"/>
      <c r="AT9" s="2178"/>
      <c r="AU9" s="2178" t="s">
        <v>1895</v>
      </c>
      <c r="AV9" s="1295"/>
      <c r="AW9" s="2161"/>
      <c r="AX9" s="1295"/>
      <c r="AY9" s="28"/>
      <c r="AZ9" s="28" t="s">
        <v>1885</v>
      </c>
      <c r="BA9" s="2190" t="s">
        <v>1896</v>
      </c>
      <c r="BB9" s="2191"/>
      <c r="BC9" s="1341"/>
      <c r="BD9" s="1341"/>
      <c r="BE9" s="1341"/>
      <c r="BF9" s="1341"/>
      <c r="BG9" s="1341"/>
      <c r="BH9" s="1341"/>
      <c r="BI9" s="1341"/>
      <c r="BJ9" s="1341"/>
      <c r="BK9" s="2192"/>
      <c r="BL9" s="15" t="s">
        <v>1897</v>
      </c>
      <c r="BM9" s="1820"/>
      <c r="BN9" s="2181"/>
      <c r="BO9" s="1820"/>
      <c r="BP9" s="1820"/>
      <c r="BQ9" s="1820"/>
      <c r="BR9" s="1820"/>
      <c r="BS9" s="1820"/>
      <c r="BT9" s="26"/>
    </row>
    <row r="10" spans="1:72" s="2185" customFormat="1" ht="12.75">
      <c r="A10" s="2178"/>
      <c r="B10" s="2178"/>
      <c r="C10" s="2178"/>
      <c r="D10" s="2178"/>
      <c r="E10" s="2178"/>
      <c r="F10" s="2178"/>
      <c r="G10" s="1295"/>
      <c r="H10" s="28"/>
      <c r="I10" s="2187" t="s">
        <v>3074</v>
      </c>
      <c r="J10" s="984"/>
      <c r="K10" s="2193" t="s">
        <v>3074</v>
      </c>
      <c r="L10" s="984"/>
      <c r="M10" s="2193" t="s">
        <v>3079</v>
      </c>
      <c r="N10" s="984"/>
      <c r="O10" s="2193"/>
      <c r="P10" s="984"/>
      <c r="Q10" s="2193"/>
      <c r="R10" s="984"/>
      <c r="S10" s="2193"/>
      <c r="T10" s="984"/>
      <c r="U10" s="2193"/>
      <c r="V10" s="984"/>
      <c r="W10" s="2193"/>
      <c r="X10" s="984"/>
      <c r="Y10" s="2193"/>
      <c r="Z10" s="984"/>
      <c r="AA10" s="2193"/>
      <c r="AB10" s="984"/>
      <c r="AC10" s="1295"/>
      <c r="AD10" s="15" t="s">
        <v>1898</v>
      </c>
      <c r="AE10" s="2194"/>
      <c r="AF10" s="15" t="s">
        <v>1898</v>
      </c>
      <c r="AG10" s="2194"/>
      <c r="AH10" s="15" t="s">
        <v>1899</v>
      </c>
      <c r="AI10" s="2194"/>
      <c r="AJ10" s="15" t="s">
        <v>1899</v>
      </c>
      <c r="AK10" s="2194"/>
      <c r="AL10" s="15" t="s">
        <v>1900</v>
      </c>
      <c r="AM10" s="1301"/>
      <c r="AN10" s="15" t="s">
        <v>1900</v>
      </c>
      <c r="AO10" s="1301"/>
      <c r="AP10" s="15" t="s">
        <v>1901</v>
      </c>
      <c r="AQ10" s="1301"/>
      <c r="AR10" s="15" t="s">
        <v>1901</v>
      </c>
      <c r="AS10" s="1301"/>
      <c r="AT10" s="2178"/>
      <c r="AU10" s="2178"/>
      <c r="AV10" s="1295"/>
      <c r="AW10" s="2161"/>
      <c r="AX10" s="1295"/>
      <c r="AY10" s="28"/>
      <c r="AZ10" s="28"/>
      <c r="BA10" s="2195" t="s">
        <v>1892</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197" t="str">
        <f>AR9</f>
        <v>地下</v>
      </c>
    </row>
    <row r="11" spans="1:72" s="2185" customFormat="1" ht="12.75">
      <c r="A11" s="2178"/>
      <c r="B11" s="2178"/>
      <c r="C11" s="2178"/>
      <c r="D11" s="2178"/>
      <c r="E11" s="2178"/>
      <c r="F11" s="2178"/>
      <c r="G11" s="1295"/>
      <c r="H11" s="2195"/>
      <c r="I11" s="2198" t="s">
        <v>3075</v>
      </c>
      <c r="J11" s="2199"/>
      <c r="K11" s="2198" t="s">
        <v>3076</v>
      </c>
      <c r="L11" s="2199"/>
      <c r="M11" s="2198"/>
      <c r="N11" s="2199"/>
      <c r="O11" s="2198"/>
      <c r="P11" s="2199"/>
      <c r="Q11" s="2198"/>
      <c r="R11" s="2199"/>
      <c r="S11" s="2198"/>
      <c r="T11" s="2199"/>
      <c r="U11" s="2198"/>
      <c r="V11" s="2199"/>
      <c r="W11" s="2198"/>
      <c r="X11" s="2199"/>
      <c r="Y11" s="2198"/>
      <c r="Z11" s="2199"/>
      <c r="AA11" s="2198"/>
      <c r="AB11" s="2199"/>
      <c r="AC11" s="1295"/>
      <c r="AD11" s="2200" t="s">
        <v>1902</v>
      </c>
      <c r="AE11" s="1821"/>
      <c r="AF11" s="2200" t="s">
        <v>1902</v>
      </c>
      <c r="AG11" s="1821"/>
      <c r="AH11" s="2200" t="s">
        <v>1903</v>
      </c>
      <c r="AI11" s="2201"/>
      <c r="AJ11" s="2200" t="s">
        <v>1903</v>
      </c>
      <c r="AK11" s="1821"/>
      <c r="AL11" s="1819"/>
      <c r="AM11" s="1821"/>
      <c r="AN11" s="1819"/>
      <c r="AO11" s="1821"/>
      <c r="AP11" s="1819"/>
      <c r="AQ11" s="1821"/>
      <c r="AR11" s="1819"/>
      <c r="AS11" s="1821"/>
      <c r="AT11" s="2161"/>
      <c r="AU11" s="2178"/>
      <c r="AV11" s="1295"/>
      <c r="AW11" s="2161"/>
      <c r="AX11" s="1295"/>
      <c r="AY11" s="28"/>
      <c r="AZ11" s="28"/>
      <c r="BA11" s="28"/>
      <c r="BB11" s="2183" t="str">
        <f>I10</f>
        <v>住宅</v>
      </c>
      <c r="BC11" s="2183" t="str">
        <f>K10</f>
        <v>住宅</v>
      </c>
      <c r="BD11" s="2183" t="str">
        <f>M10</f>
        <v>车库</v>
      </c>
      <c r="BE11" s="2183">
        <f>O10</f>
        <v>0</v>
      </c>
      <c r="BF11" s="2183">
        <f>Q10</f>
        <v>0</v>
      </c>
      <c r="BG11" s="2183">
        <f>S10</f>
        <v>0</v>
      </c>
      <c r="BH11" s="2183">
        <f>U10</f>
        <v>0</v>
      </c>
      <c r="BI11" s="2183">
        <f>W10</f>
        <v>0</v>
      </c>
      <c r="BJ11" s="2183">
        <f>Y10</f>
        <v>0</v>
      </c>
      <c r="BK11" s="2183">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05"/>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3" t="s">
        <v>1905</v>
      </c>
      <c r="AT12" s="2206"/>
      <c r="AU12" s="2203"/>
      <c r="AV12" s="31"/>
      <c r="AW12" s="2162"/>
      <c r="AX12" s="31"/>
      <c r="AY12" s="2207"/>
      <c r="AZ12" s="28"/>
      <c r="BA12" s="2195"/>
      <c r="BB12" s="24" t="str">
        <f>I11</f>
        <v>平层住宅</v>
      </c>
      <c r="BC12" s="2208" t="str">
        <f>K11</f>
        <v>小高层</v>
      </c>
      <c r="BD12" s="2208">
        <f>M11</f>
        <v>0</v>
      </c>
      <c r="BE12" s="2183">
        <f>O11</f>
        <v>0</v>
      </c>
      <c r="BF12" s="2183">
        <f>Q11</f>
        <v>0</v>
      </c>
      <c r="BG12" s="2183">
        <f>S11</f>
        <v>0</v>
      </c>
      <c r="BH12" s="2183">
        <f>U11</f>
        <v>0</v>
      </c>
      <c r="BI12" s="2183">
        <f>W11</f>
        <v>0</v>
      </c>
      <c r="BJ12" s="2183">
        <f>Y11</f>
        <v>0</v>
      </c>
      <c r="BK12" s="2183">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2">
        <f>AR11</f>
        <v>0</v>
      </c>
    </row>
    <row r="13" spans="1:72" s="2163" customFormat="1" ht="12.75">
      <c r="A13" s="1275"/>
      <c r="B13" s="1275"/>
      <c r="C13" s="1275"/>
      <c r="D13" s="2209" t="s">
        <v>3059</v>
      </c>
      <c r="E13" s="16">
        <f>IF($C$3="是",ROUND($A$3*G13/$B$3,2),ROUND($A$3*(G13-AT13)/$B$3,2))</f>
        <v>16188.8</v>
      </c>
      <c r="F13" s="32"/>
      <c r="G13" s="33">
        <f>H13+AC13+AT13</f>
        <v>48557.02</v>
      </c>
      <c r="H13" s="20">
        <f>SUMIF(I$12:AB$12,"总值",I13:AB13)</f>
        <v>48557.02</v>
      </c>
      <c r="I13" s="2210">
        <f>16347.51+17392.88+14816.63</f>
        <v>48557.02</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8">
        <f>ROUND($AY$6*AZ13/$AZ$5,2)</f>
        <v>16188.8</v>
      </c>
      <c r="AZ13" s="16">
        <f>BA13+BL13</f>
        <v>48557.02</v>
      </c>
      <c r="BA13" s="16">
        <f>SUM(BB13:BK13)</f>
        <v>48557.02</v>
      </c>
      <c r="BB13" s="16">
        <f>IF($D13="是",I13-J13,0)</f>
        <v>48557.02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5"/>
      <c r="B14" s="1275"/>
      <c r="C14" s="2149"/>
      <c r="D14" s="2209" t="s">
        <v>3059</v>
      </c>
      <c r="E14" s="16">
        <f>IF($C$3="是",ROUND($A$3*G14/$B$3,2),ROUND($A$3*(G14-AT14)/$B$3,2))</f>
        <v>1918.46</v>
      </c>
      <c r="F14" s="32"/>
      <c r="G14" s="33">
        <f>H14+AC14+AT14</f>
        <v>5754.26</v>
      </c>
      <c r="H14" s="20">
        <f>SUMIF(I$12:AB$12,"总值",I14:AB14)</f>
        <v>5754.26</v>
      </c>
      <c r="I14" s="2210"/>
      <c r="J14" s="2210"/>
      <c r="K14" s="2210">
        <v>5754.26</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8">
        <f>ROUND($AY$6*AZ14/$AZ$5,2)</f>
        <v>1918.46</v>
      </c>
      <c r="AZ14" s="16">
        <f>BA14+BL14</f>
        <v>5754.26</v>
      </c>
      <c r="BA14" s="16">
        <f>SUM(BB14:BK14)</f>
        <v>5754.26</v>
      </c>
      <c r="BB14" s="16">
        <f>IF($D14="是",I14-J14,0)</f>
        <v>0</v>
      </c>
      <c r="BC14" s="16">
        <f>IF($D14="是",K14-L14,0)</f>
        <v>5754.26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5"/>
      <c r="B15" s="1275"/>
      <c r="C15" s="2149"/>
      <c r="D15" s="2209" t="s">
        <v>3059</v>
      </c>
      <c r="E15" s="16">
        <f>IF($C$3="是",ROUND($A$3*G15/$B$3,2),ROUND($A$3*(G15-AT15)/$B$3,2))</f>
        <v>2796.27</v>
      </c>
      <c r="F15" s="32"/>
      <c r="G15" s="33">
        <f>H15+AC15+AT15</f>
        <v>8387.2000000000007</v>
      </c>
      <c r="H15" s="20">
        <f>SUMIF(I$12:AB$12,"总值",I15:AB15)</f>
        <v>8387.2000000000007</v>
      </c>
      <c r="I15" s="2210"/>
      <c r="J15" s="2210"/>
      <c r="K15" s="2210"/>
      <c r="L15" s="2210"/>
      <c r="M15" s="2210">
        <v>8387.2000000000007</v>
      </c>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8">
        <f>ROUND($AY$6*AZ15/$AZ$5,2)</f>
        <v>2796.27</v>
      </c>
      <c r="AZ15" s="16">
        <f>BA15+BL15</f>
        <v>8387.2000000000007</v>
      </c>
      <c r="BA15" s="16">
        <f>SUM(BB15:BK15)</f>
        <v>8387.2000000000007</v>
      </c>
      <c r="BB15" s="16">
        <f>IF($D15="是",I15-J15,0)</f>
        <v>0</v>
      </c>
      <c r="BC15" s="16">
        <f>IF($D15="是",K15-L15,0)</f>
        <v>0</v>
      </c>
      <c r="BD15" s="16">
        <f>IF($D15="是",M15-N15,0)</f>
        <v>8387.2000000000007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5"/>
      <c r="B16" s="1275"/>
      <c r="C16" s="2149"/>
      <c r="D16" s="2209" t="s">
        <v>3059</v>
      </c>
      <c r="E16" s="16">
        <f>IF($C$3="是",ROUND($A$3*G16/$B$3,2),ROUND($A$3*(G16-AT16)/$B$3,2))</f>
        <v>880.63</v>
      </c>
      <c r="F16" s="32"/>
      <c r="G16" s="33">
        <f>H16+AC16+AT16</f>
        <v>2641.39</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2641.39</v>
      </c>
      <c r="AD16" s="1276">
        <v>499.06</v>
      </c>
      <c r="AE16" s="1276"/>
      <c r="AF16" s="1276">
        <v>2142.33</v>
      </c>
      <c r="AG16" s="1276"/>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8">
        <f>ROUND($AY$6*AZ16/$AZ$5,2)</f>
        <v>880.63</v>
      </c>
      <c r="AZ16" s="16">
        <f>BA16+BL16</f>
        <v>2641.39</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2641.39</v>
      </c>
      <c r="BM16" s="16">
        <f>IF($D16="是",AD16-AE16,0)</f>
        <v>499.06</v>
      </c>
      <c r="BN16" s="16">
        <f>IF($D16="是",AF16-AG16,0)</f>
        <v>2142.33</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5"/>
      <c r="B17" s="1275"/>
      <c r="C17" s="2149"/>
      <c r="D17" s="2209" t="s">
        <v>3059</v>
      </c>
      <c r="E17" s="16">
        <f>IF($C$3="是",ROUND($A$3*G17/$B$3,2),ROUND($A$3*(G17-AT17)/$B$3,2))</f>
        <v>667.43</v>
      </c>
      <c r="F17" s="32"/>
      <c r="G17" s="33">
        <f>H17+AC17+AT17</f>
        <v>2001.91</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2001.91</v>
      </c>
      <c r="AD17" s="1276"/>
      <c r="AE17" s="1276"/>
      <c r="AF17" s="1276"/>
      <c r="AG17" s="1276"/>
      <c r="AH17" s="2211"/>
      <c r="AI17" s="2211"/>
      <c r="AJ17" s="2211"/>
      <c r="AK17" s="2211"/>
      <c r="AL17" s="2211">
        <v>194</v>
      </c>
      <c r="AM17" s="2211"/>
      <c r="AN17" s="2211">
        <f>460.2+455.27+496.2+396.24</f>
        <v>1807.91</v>
      </c>
      <c r="AO17" s="2211"/>
      <c r="AP17" s="2211"/>
      <c r="AQ17" s="2211"/>
      <c r="AR17" s="2211"/>
      <c r="AS17" s="2211"/>
      <c r="AT17" s="2212"/>
      <c r="AU17" s="2213"/>
      <c r="AV17" s="11">
        <f t="shared" si="6"/>
        <v>0</v>
      </c>
      <c r="AW17" s="11">
        <f t="shared" si="6"/>
        <v>0</v>
      </c>
      <c r="AX17" s="11">
        <f t="shared" si="6"/>
        <v>0</v>
      </c>
      <c r="AY17" s="1808">
        <f>ROUND($AY$6*AZ17/$AZ$5,2)</f>
        <v>667.43</v>
      </c>
      <c r="AZ17" s="16">
        <f>BA17+BL17</f>
        <v>2001.91</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2001.91</v>
      </c>
      <c r="BM17" s="16">
        <f>IF($D17="是",AD17-AE17,0)</f>
        <v>0</v>
      </c>
      <c r="BN17" s="16">
        <f>IF($D17="是",AF17-AG17,0)</f>
        <v>0</v>
      </c>
      <c r="BO17" s="16">
        <f>IF($D17="是",AH17-AI17,0)</f>
        <v>0</v>
      </c>
      <c r="BP17" s="16">
        <f>IF($D17="是",AJ17-AK17,0)</f>
        <v>0</v>
      </c>
      <c r="BQ17" s="16">
        <f>IF($D17="是",AL17-AM17,0)</f>
        <v>194</v>
      </c>
      <c r="BR17" s="16">
        <f>IF($D17="是",AN17-AO17,0)</f>
        <v>1807.91</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G21" sqref="G21"/>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1931</v>
      </c>
      <c r="B1" s="1395"/>
      <c r="C1" s="1395"/>
      <c r="D1" s="1395"/>
      <c r="E1" s="1395"/>
      <c r="F1" s="1395"/>
      <c r="G1" s="1395"/>
      <c r="H1" s="1395"/>
      <c r="I1" s="1395"/>
      <c r="J1" s="1395"/>
      <c r="K1" s="1395"/>
      <c r="L1" s="1395"/>
      <c r="M1" s="1395"/>
      <c r="N1" s="1395"/>
      <c r="O1" s="1395"/>
      <c r="P1" s="1395"/>
    </row>
    <row r="2" spans="1:16" ht="15">
      <c r="A2" s="3051" t="s">
        <v>1932</v>
      </c>
      <c r="B2" s="3051"/>
      <c r="C2" s="3051"/>
      <c r="D2" s="970" t="s">
        <v>1908</v>
      </c>
      <c r="E2" s="2223" t="s">
        <v>1909</v>
      </c>
      <c r="F2" s="1395"/>
      <c r="G2" s="2224"/>
      <c r="H2" s="2225"/>
      <c r="I2" s="2226" t="s">
        <v>1933</v>
      </c>
      <c r="J2" s="1395"/>
      <c r="K2" s="1395"/>
      <c r="L2" s="1395"/>
      <c r="M2" s="1395"/>
      <c r="N2" s="1430"/>
      <c r="O2" s="1395"/>
      <c r="P2" s="1395"/>
    </row>
    <row r="3" spans="1:16" ht="15.75" thickBot="1">
      <c r="A3" s="3052" t="s">
        <v>1906</v>
      </c>
      <c r="B3" s="3052"/>
      <c r="C3" s="3052"/>
      <c r="D3" s="46">
        <f>'数据-基础表'!AY6</f>
        <v>22451.59</v>
      </c>
      <c r="E3" s="46">
        <f>'数据-基础表'!AZ5</f>
        <v>67341.78</v>
      </c>
      <c r="F3" s="1395"/>
      <c r="G3" s="1402"/>
      <c r="H3" s="1250" t="s">
        <v>1907</v>
      </c>
      <c r="I3" s="55">
        <f>ROUND('数据-基础表'!B3/'数据-基础表'!A3,2)</f>
        <v>3</v>
      </c>
      <c r="J3" s="1395"/>
      <c r="K3" s="1395"/>
      <c r="L3" s="1395"/>
      <c r="M3" s="1395"/>
      <c r="N3" s="1430"/>
      <c r="O3" s="1395"/>
      <c r="P3" s="1395"/>
    </row>
    <row r="4" spans="1:16" ht="15">
      <c r="A4" s="3053"/>
      <c r="B4" s="3054"/>
      <c r="C4" s="3055"/>
      <c r="D4" s="2227" t="s">
        <v>1908</v>
      </c>
      <c r="E4" s="2228" t="s">
        <v>1909</v>
      </c>
      <c r="F4" s="1395"/>
      <c r="G4" s="2229" t="s">
        <v>1934</v>
      </c>
      <c r="H4" s="1250" t="s">
        <v>1914</v>
      </c>
      <c r="I4" s="55">
        <f>ROUND(SUMIF('数据-基础表'!I9:AS9,"地上",'数据-基础表'!I5:AS5)/'数据-基础表'!A3,2)</f>
        <v>2.4500000000000002</v>
      </c>
      <c r="J4" s="1395"/>
      <c r="K4" s="1395"/>
      <c r="L4" s="1395"/>
      <c r="M4" s="1395"/>
      <c r="N4" s="1430"/>
      <c r="O4" s="1395"/>
      <c r="P4" s="1395"/>
    </row>
    <row r="5" spans="1:16">
      <c r="A5" s="47" t="s">
        <v>1910</v>
      </c>
      <c r="B5" s="3056" t="s">
        <v>1911</v>
      </c>
      <c r="C5" s="3056"/>
      <c r="D5" s="48">
        <f>ROUND($D$3*E5/$E$3,2)</f>
        <v>18107.25</v>
      </c>
      <c r="E5" s="49">
        <f>SUMIF('数据-基础表'!$11:$11,"住宅",'数据-基础表'!$5:$5)</f>
        <v>54311.28</v>
      </c>
      <c r="F5" s="1395"/>
      <c r="G5" s="1402"/>
      <c r="H5" s="1250" t="s">
        <v>1907</v>
      </c>
      <c r="I5" s="55">
        <f>ROUND(E31/D31,2)</f>
        <v>3</v>
      </c>
      <c r="J5" s="1395"/>
      <c r="K5" s="1395"/>
      <c r="L5" s="1395"/>
      <c r="M5" s="1395"/>
      <c r="N5" s="1395"/>
      <c r="O5" s="1395"/>
      <c r="P5" s="1395"/>
    </row>
    <row r="6" spans="1:16" ht="15" thickBot="1">
      <c r="A6" s="2230"/>
      <c r="B6" s="3056" t="s">
        <v>1912</v>
      </c>
      <c r="C6" s="3056"/>
      <c r="D6" s="48">
        <f>ROUND($D$3*E6/$E$3,2)</f>
        <v>4344.34</v>
      </c>
      <c r="E6" s="49">
        <f>E3-E5</f>
        <v>13030.5</v>
      </c>
      <c r="F6" s="1395"/>
      <c r="G6" s="2231" t="s">
        <v>1913</v>
      </c>
      <c r="H6" s="1402" t="s">
        <v>1914</v>
      </c>
      <c r="I6" s="942">
        <f>ROUND(F31/D31,2)</f>
        <v>2.4500000000000002</v>
      </c>
      <c r="J6" s="1395"/>
      <c r="K6" s="1395"/>
      <c r="L6" s="1395"/>
      <c r="M6" s="1395"/>
      <c r="N6" s="1395"/>
      <c r="O6" s="1395"/>
      <c r="P6" s="1395"/>
    </row>
    <row r="7" spans="1:16" ht="15">
      <c r="A7" s="3048"/>
      <c r="B7" s="3049"/>
      <c r="C7" s="3050"/>
      <c r="D7" s="2227" t="s">
        <v>1908</v>
      </c>
      <c r="E7" s="2232" t="s">
        <v>1915</v>
      </c>
      <c r="F7" s="1395"/>
      <c r="G7" s="2224" t="s">
        <v>1916</v>
      </c>
      <c r="H7" s="64"/>
      <c r="I7" s="420"/>
      <c r="J7" s="1395"/>
      <c r="K7" s="1395"/>
      <c r="L7" s="1395"/>
      <c r="M7" s="1395"/>
      <c r="N7" s="1395"/>
      <c r="O7" s="1395"/>
      <c r="P7" s="1395"/>
    </row>
    <row r="8" spans="1:16">
      <c r="A8" s="47" t="s">
        <v>1917</v>
      </c>
      <c r="B8" s="50" t="s">
        <v>1918</v>
      </c>
      <c r="C8" s="48" t="s">
        <v>1919</v>
      </c>
      <c r="D8" s="48">
        <f t="shared" ref="D8:D15" si="0">ROUND($D$3*E8/$E$3,2)</f>
        <v>18107.25</v>
      </c>
      <c r="E8" s="51">
        <f>SUMIF('数据-基础表'!BB10:BK10,"地上",'数据-基础表'!BB5:BK5)</f>
        <v>54311.28</v>
      </c>
      <c r="F8" s="1395"/>
      <c r="G8" s="2233"/>
      <c r="H8" s="2233"/>
      <c r="I8" s="1395"/>
      <c r="J8" s="1395"/>
      <c r="K8" s="1395"/>
      <c r="L8" s="1395"/>
      <c r="M8" s="1395"/>
      <c r="N8" s="1395"/>
      <c r="O8" s="1395"/>
      <c r="P8" s="1395"/>
    </row>
    <row r="9" spans="1:16">
      <c r="A9" s="2234"/>
      <c r="B9" s="2235"/>
      <c r="C9" s="48" t="s">
        <v>1920</v>
      </c>
      <c r="D9" s="48">
        <f t="shared" si="0"/>
        <v>0</v>
      </c>
      <c r="E9" s="52">
        <v>0</v>
      </c>
      <c r="F9" s="1395"/>
      <c r="G9" s="2233"/>
      <c r="H9" s="2233"/>
      <c r="I9" s="1395"/>
      <c r="J9" s="1395"/>
      <c r="K9" s="1395"/>
      <c r="L9" s="1395"/>
      <c r="M9" s="1395"/>
      <c r="N9" s="1395"/>
      <c r="O9" s="1395"/>
      <c r="P9" s="1395"/>
    </row>
    <row r="10" spans="1:16">
      <c r="A10" s="2234"/>
      <c r="B10" s="2235"/>
      <c r="C10" s="48" t="s">
        <v>1929</v>
      </c>
      <c r="D10" s="48">
        <f t="shared" si="0"/>
        <v>0</v>
      </c>
      <c r="E10" s="51">
        <f>SUMPRODUCT(('数据-基础表'!BB10:BK10="地下")*('数据-基础表'!BB11:BK11="商业")*('数据-基础表'!BB5:BK5))</f>
        <v>0</v>
      </c>
      <c r="F10" s="1395"/>
      <c r="G10" s="2233"/>
      <c r="H10" s="2233"/>
      <c r="I10" s="1395"/>
      <c r="J10" s="1395"/>
      <c r="K10" s="1395"/>
      <c r="L10" s="1395"/>
      <c r="M10" s="1395"/>
      <c r="N10" s="1395"/>
      <c r="O10" s="1395"/>
      <c r="P10" s="1395"/>
    </row>
    <row r="11" spans="1:16">
      <c r="A11" s="2234"/>
      <c r="B11" s="2235"/>
      <c r="C11" s="48" t="s">
        <v>1921</v>
      </c>
      <c r="D11" s="48">
        <f t="shared" si="0"/>
        <v>0</v>
      </c>
      <c r="E11" s="51">
        <f>SUMPRODUCT(('数据-基础表'!BB10:BK10="地下")*('数据-基础表'!BB11:BK11="办公")*('数据-基础表'!BB5:BK5))+'数据-基础表'!BP5</f>
        <v>0</v>
      </c>
      <c r="F11" s="1395"/>
      <c r="G11" s="2233"/>
      <c r="H11" s="2233"/>
      <c r="I11" s="1395"/>
      <c r="J11" s="1395"/>
      <c r="K11" s="1395"/>
      <c r="L11" s="1395"/>
      <c r="M11" s="1395"/>
      <c r="N11" s="1395"/>
      <c r="O11" s="1395"/>
      <c r="P11" s="1395"/>
    </row>
    <row r="12" spans="1:16">
      <c r="A12" s="2234"/>
      <c r="B12" s="2235"/>
      <c r="C12" s="48" t="s">
        <v>1922</v>
      </c>
      <c r="D12" s="48">
        <f t="shared" si="0"/>
        <v>0</v>
      </c>
      <c r="E12" s="51">
        <f>SUMPRODUCT(('数据-基础表'!BB10:BK10="地下")*('数据-基础表'!BB11:BK11="仓储")*('数据-基础表'!BB5:BK5))</f>
        <v>0</v>
      </c>
      <c r="F12" s="1395"/>
      <c r="G12" s="2233"/>
      <c r="H12" s="2233"/>
      <c r="I12" s="1395"/>
      <c r="J12" s="1395"/>
      <c r="K12" s="1395"/>
      <c r="L12" s="1395"/>
      <c r="M12" s="1395"/>
      <c r="N12" s="1395"/>
      <c r="O12" s="1395"/>
      <c r="P12" s="1395"/>
    </row>
    <row r="13" spans="1:16">
      <c r="A13" s="2234"/>
      <c r="B13" s="2235"/>
      <c r="C13" s="48" t="s">
        <v>1923</v>
      </c>
      <c r="D13" s="48">
        <f t="shared" si="0"/>
        <v>2796.27</v>
      </c>
      <c r="E13" s="51">
        <f>SUMPRODUCT(('数据-基础表'!BB10:BK10="地下")*('数据-基础表'!BB11:BK11="车库")*('数据-基础表'!BB5:BK5))</f>
        <v>8387.2000000000007</v>
      </c>
      <c r="F13" s="1395"/>
      <c r="G13" s="2233"/>
      <c r="H13" s="2233"/>
      <c r="I13" s="1395"/>
      <c r="J13" s="1395"/>
      <c r="K13" s="1395"/>
      <c r="L13" s="1395"/>
      <c r="M13" s="1395"/>
      <c r="N13" s="1395"/>
      <c r="O13" s="1395"/>
      <c r="P13" s="1395"/>
    </row>
    <row r="14" spans="1:16">
      <c r="A14" s="2234"/>
      <c r="B14" s="2235"/>
      <c r="C14" s="48" t="s">
        <v>1935</v>
      </c>
      <c r="D14" s="48">
        <f t="shared" si="0"/>
        <v>0</v>
      </c>
      <c r="E14" s="51">
        <f>SUMPRODUCT(('数据-基础表'!BB10:BK10="地下")*('数据-基础表'!BB11:BK11="车库—商业")*('数据-基础表'!BB5:BK5))</f>
        <v>0</v>
      </c>
      <c r="F14" s="1395"/>
      <c r="G14" s="2233"/>
      <c r="H14" s="2233"/>
      <c r="I14" s="1395"/>
      <c r="J14" s="1395"/>
      <c r="K14" s="1395"/>
      <c r="L14" s="1395"/>
      <c r="M14" s="1395"/>
      <c r="N14" s="1395"/>
      <c r="O14" s="1395"/>
      <c r="P14" s="1395"/>
    </row>
    <row r="15" spans="1:16" ht="15" thickBot="1">
      <c r="A15" s="2234"/>
      <c r="B15" s="2235"/>
      <c r="C15" s="48" t="s">
        <v>1930</v>
      </c>
      <c r="D15" s="48">
        <f t="shared" si="0"/>
        <v>0</v>
      </c>
      <c r="E15" s="51">
        <f>SUMPRODUCT(('数据-基础表'!BB10:BK10="地下")*('数据-基础表'!BB11:BK11="车库—办公")*('数据-基础表'!BB5:BK5))</f>
        <v>0</v>
      </c>
      <c r="F15" s="1395"/>
      <c r="G15" s="2233"/>
      <c r="H15" s="2233"/>
      <c r="I15" s="1395"/>
      <c r="J15" s="1395"/>
      <c r="K15" s="1395"/>
      <c r="L15" s="1395"/>
      <c r="M15" s="1395"/>
      <c r="N15" s="1395"/>
      <c r="O15" s="1395"/>
      <c r="P15" s="1395"/>
    </row>
    <row r="16" spans="1:16" ht="15.75" thickBot="1">
      <c r="A16" s="2230"/>
      <c r="B16" s="2235"/>
      <c r="C16" s="50" t="s">
        <v>1924</v>
      </c>
      <c r="D16" s="50">
        <f>SUM(D8:D15)</f>
        <v>20903.52</v>
      </c>
      <c r="E16" s="53">
        <f>SUM(E8:E15)</f>
        <v>62698.479999999996</v>
      </c>
      <c r="F16" s="1395"/>
      <c r="G16" s="2233"/>
      <c r="H16" s="2236" t="s">
        <v>1936</v>
      </c>
      <c r="I16" s="2237"/>
      <c r="J16" s="1395"/>
      <c r="K16" s="3045" t="s">
        <v>1936</v>
      </c>
      <c r="L16" s="3046"/>
      <c r="M16" s="3046"/>
      <c r="N16" s="3046"/>
      <c r="O16" s="3046"/>
      <c r="P16" s="3047"/>
    </row>
    <row r="17" spans="1:19" ht="15">
      <c r="A17" s="2238" t="s">
        <v>1937</v>
      </c>
      <c r="B17" s="2239" t="s">
        <v>1938</v>
      </c>
      <c r="C17" s="2240" t="s">
        <v>1939</v>
      </c>
      <c r="D17" s="2241" t="s">
        <v>1927</v>
      </c>
      <c r="E17" s="2242" t="s">
        <v>1928</v>
      </c>
      <c r="F17" s="2243"/>
      <c r="G17" s="2244"/>
      <c r="H17" s="2245" t="s">
        <v>1940</v>
      </c>
      <c r="I17" s="2246" t="s">
        <v>1925</v>
      </c>
      <c r="J17" s="1395"/>
      <c r="K17" s="3042" t="s">
        <v>1941</v>
      </c>
      <c r="L17" s="3043"/>
      <c r="M17" s="3044"/>
      <c r="N17" s="3042" t="s">
        <v>1942</v>
      </c>
      <c r="O17" s="3043"/>
      <c r="P17" s="3044"/>
      <c r="R17" s="2224" t="s">
        <v>1943</v>
      </c>
      <c r="S17" s="64"/>
    </row>
    <row r="18" spans="1:19" ht="15">
      <c r="A18" s="2234"/>
      <c r="B18" s="2247"/>
      <c r="C18" s="2248"/>
      <c r="D18" s="2249"/>
      <c r="E18" s="2250" t="s">
        <v>1944</v>
      </c>
      <c r="F18" s="2251" t="s">
        <v>1945</v>
      </c>
      <c r="G18" s="2252" t="s">
        <v>1946</v>
      </c>
      <c r="H18" s="1265" t="s">
        <v>1947</v>
      </c>
      <c r="I18" s="2253" t="s">
        <v>1948</v>
      </c>
      <c r="J18" s="1395"/>
      <c r="K18" s="1265" t="s">
        <v>1949</v>
      </c>
      <c r="L18" s="2254" t="s">
        <v>1950</v>
      </c>
      <c r="M18" s="1049" t="s">
        <v>1951</v>
      </c>
      <c r="N18" s="1265" t="s">
        <v>1949</v>
      </c>
      <c r="O18" s="2254" t="s">
        <v>1950</v>
      </c>
      <c r="P18" s="1049" t="s">
        <v>1951</v>
      </c>
      <c r="R18" s="1250" t="s">
        <v>1952</v>
      </c>
      <c r="S18" s="1250" t="s">
        <v>1953</v>
      </c>
    </row>
    <row r="19" spans="1:19">
      <c r="A19" s="2255"/>
      <c r="B19" s="50" t="s">
        <v>1926</v>
      </c>
      <c r="C19" s="2946" t="s">
        <v>3102</v>
      </c>
      <c r="D19" s="48">
        <f>ROUND($D$3*E19/$E$3,2)</f>
        <v>16188.8</v>
      </c>
      <c r="E19" s="56">
        <f t="shared" ref="E19:E26" si="1">SUM(F19:G19)</f>
        <v>48557.02</v>
      </c>
      <c r="F19" s="57">
        <f>'数据-基础表'!I13</f>
        <v>48557.02</v>
      </c>
      <c r="G19" s="58"/>
      <c r="H19" s="723">
        <f>ROUND($D$3*I19/$E$3,2)</f>
        <v>516.9</v>
      </c>
      <c r="I19" s="51">
        <f t="shared" ref="I19:I26" si="2">IF($I$17="自定义",P19,M19)</f>
        <v>1550.39</v>
      </c>
      <c r="J19" s="1395"/>
      <c r="K19" s="1394">
        <f t="shared" ref="K19:K26" si="3">ROUND(E$28*E19/E$27,2)</f>
        <v>1550.39</v>
      </c>
      <c r="L19" s="1250">
        <f t="shared" ref="L19:L26" si="4">ROUND(IF(COUNTIF(C19,"*住宅*")&gt;0,E$29*E19/E$32,0),2)</f>
        <v>0</v>
      </c>
      <c r="M19" s="1406">
        <f>K19+L19</f>
        <v>1550.39</v>
      </c>
      <c r="N19" s="2256"/>
      <c r="O19" s="2257"/>
      <c r="P19" s="1406">
        <f>N19+O19</f>
        <v>0</v>
      </c>
      <c r="R19" s="1250">
        <f t="shared" ref="R19:S26" si="5">D19+H19</f>
        <v>16705.7</v>
      </c>
      <c r="S19" s="1251">
        <f t="shared" si="5"/>
        <v>50107.409999999996</v>
      </c>
    </row>
    <row r="20" spans="1:19">
      <c r="A20" s="2258"/>
      <c r="B20" s="50" t="s">
        <v>1954</v>
      </c>
      <c r="C20" s="2946" t="s">
        <v>3103</v>
      </c>
      <c r="D20" s="48">
        <f t="shared" ref="D20:D26" si="6">ROUND($D$3*E20/$E$3,2)</f>
        <v>1918.46</v>
      </c>
      <c r="E20" s="56">
        <f t="shared" si="1"/>
        <v>5754.26</v>
      </c>
      <c r="F20" s="57">
        <f>'数据-基础表'!K14</f>
        <v>5754.26</v>
      </c>
      <c r="G20" s="58"/>
      <c r="H20" s="723">
        <f t="shared" ref="H20:H26" si="7">ROUND($D$3*I20/$E$3,2)</f>
        <v>61.26</v>
      </c>
      <c r="I20" s="51">
        <f t="shared" si="2"/>
        <v>183.73</v>
      </c>
      <c r="J20" s="1395"/>
      <c r="K20" s="1394">
        <f t="shared" si="3"/>
        <v>183.73</v>
      </c>
      <c r="L20" s="1250">
        <f t="shared" si="4"/>
        <v>0</v>
      </c>
      <c r="M20" s="1406">
        <f t="shared" ref="M20:M26" si="8">K20+L20</f>
        <v>183.73</v>
      </c>
      <c r="N20" s="2256"/>
      <c r="O20" s="2257"/>
      <c r="P20" s="1406">
        <f t="shared" ref="P20:P26" si="9">N20+O20</f>
        <v>0</v>
      </c>
      <c r="R20" s="1250">
        <f t="shared" si="5"/>
        <v>1979.72</v>
      </c>
      <c r="S20" s="1251">
        <f t="shared" si="5"/>
        <v>5937.99</v>
      </c>
    </row>
    <row r="21" spans="1:19">
      <c r="A21" s="2258"/>
      <c r="B21" s="50" t="s">
        <v>1954</v>
      </c>
      <c r="C21" s="2946" t="s">
        <v>3104</v>
      </c>
      <c r="D21" s="48">
        <f t="shared" si="6"/>
        <v>2796.27</v>
      </c>
      <c r="E21" s="56">
        <f t="shared" si="1"/>
        <v>8387.2000000000007</v>
      </c>
      <c r="F21" s="57"/>
      <c r="G21" s="58">
        <f>'数据-基础表'!M15</f>
        <v>8387.2000000000007</v>
      </c>
      <c r="H21" s="723">
        <f t="shared" si="7"/>
        <v>89.28</v>
      </c>
      <c r="I21" s="51">
        <f t="shared" si="2"/>
        <v>267.8</v>
      </c>
      <c r="J21" s="1395"/>
      <c r="K21" s="1394">
        <f t="shared" si="3"/>
        <v>267.8</v>
      </c>
      <c r="L21" s="1250">
        <f t="shared" si="4"/>
        <v>0</v>
      </c>
      <c r="M21" s="1406">
        <f t="shared" si="8"/>
        <v>267.8</v>
      </c>
      <c r="N21" s="2256"/>
      <c r="O21" s="2257"/>
      <c r="P21" s="1406">
        <f t="shared" si="9"/>
        <v>0</v>
      </c>
      <c r="R21" s="1250">
        <f t="shared" si="5"/>
        <v>2885.55</v>
      </c>
      <c r="S21" s="1251">
        <f t="shared" si="5"/>
        <v>8655</v>
      </c>
    </row>
    <row r="22" spans="1:19">
      <c r="A22" s="2258"/>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6"/>
      <c r="O22" s="2257"/>
      <c r="P22" s="1406">
        <f t="shared" si="9"/>
        <v>0</v>
      </c>
      <c r="R22" s="1250">
        <f t="shared" si="5"/>
        <v>0</v>
      </c>
      <c r="S22" s="1251">
        <f t="shared" si="5"/>
        <v>0</v>
      </c>
    </row>
    <row r="23" spans="1:19">
      <c r="A23" s="2258"/>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6"/>
      <c r="O23" s="2257"/>
      <c r="P23" s="1406">
        <f t="shared" si="9"/>
        <v>0</v>
      </c>
      <c r="R23" s="1250">
        <f t="shared" si="5"/>
        <v>0</v>
      </c>
      <c r="S23" s="1251">
        <f t="shared" si="5"/>
        <v>0</v>
      </c>
    </row>
    <row r="24" spans="1:19">
      <c r="A24" s="2258"/>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6"/>
      <c r="O24" s="2257"/>
      <c r="P24" s="1406">
        <f t="shared" si="9"/>
        <v>0</v>
      </c>
      <c r="R24" s="1250">
        <f t="shared" si="5"/>
        <v>0</v>
      </c>
      <c r="S24" s="1251">
        <f t="shared" si="5"/>
        <v>0</v>
      </c>
    </row>
    <row r="25" spans="1:19">
      <c r="A25" s="2258"/>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6"/>
      <c r="O25" s="2257"/>
      <c r="P25" s="1406">
        <f t="shared" si="9"/>
        <v>0</v>
      </c>
      <c r="R25" s="1250">
        <f t="shared" si="5"/>
        <v>0</v>
      </c>
      <c r="S25" s="1251">
        <f t="shared" si="5"/>
        <v>0</v>
      </c>
    </row>
    <row r="26" spans="1:19">
      <c r="A26" s="2258"/>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59"/>
      <c r="O26" s="2260"/>
      <c r="P26" s="67">
        <f t="shared" si="9"/>
        <v>0</v>
      </c>
      <c r="R26" s="1250">
        <f t="shared" si="5"/>
        <v>0</v>
      </c>
      <c r="S26" s="1251">
        <f t="shared" si="5"/>
        <v>0</v>
      </c>
    </row>
    <row r="27" spans="1:19" ht="43.5" thickBot="1">
      <c r="A27" s="2258"/>
      <c r="B27" s="48"/>
      <c r="C27" s="2261" t="s">
        <v>1955</v>
      </c>
      <c r="D27" s="1396">
        <f>SUM(D19:D26)</f>
        <v>20903.53</v>
      </c>
      <c r="E27" s="1397">
        <f>IF(SUM(E19:E26)='数据-基础表'!BA5,SUM(E19:E26),IF(F27="地上面积有误","面积有误","地下面积有误"))</f>
        <v>62698.479999999996</v>
      </c>
      <c r="F27" s="1396">
        <f>IF(SUM(F19:F26)=E8,SUM(F19:F26),"地上面积有误")</f>
        <v>54311.28</v>
      </c>
      <c r="G27" s="1398">
        <f>SUM(G19:G26)</f>
        <v>8387.2000000000007</v>
      </c>
      <c r="H27" s="1399">
        <f>SUM(H19:H26)</f>
        <v>667.43999999999994</v>
      </c>
      <c r="I27" s="1400">
        <f>SUM(I19:I26)</f>
        <v>2001.92</v>
      </c>
      <c r="J27" s="1395"/>
      <c r="K27" s="1403">
        <f>SUM(K19:K26)</f>
        <v>2001.92</v>
      </c>
      <c r="L27" s="1404">
        <f>SUM(L19:L26)</f>
        <v>0</v>
      </c>
      <c r="M27" s="1407">
        <f>SUM(M19:M26)</f>
        <v>2001.92</v>
      </c>
      <c r="N27" s="1403">
        <f t="shared" ref="N27:O27" si="10">SUM(N19:N26)</f>
        <v>0</v>
      </c>
      <c r="O27" s="1404">
        <f t="shared" si="10"/>
        <v>0</v>
      </c>
      <c r="P27" s="1405">
        <f>SUM(P19:P26)</f>
        <v>0</v>
      </c>
      <c r="R27" s="1252" t="str">
        <f>IF(SUM(R19:R26)=$D$3,SUM(R19:R26),SUM(R19:R26)&amp;"误差"&amp;ROUND(SUM(R19:R26)-$D$3,2))</f>
        <v>21570.97误差-880.62</v>
      </c>
      <c r="S27" s="1250" t="str">
        <f>IF(SUM(S19:S26)=$E$3,SUM(S19:S26),SUM(S19:S26)&amp;"误差"&amp;ROUND(SUM(S19:S26)-E3,2))</f>
        <v>64700.4误差-2641.38</v>
      </c>
    </row>
    <row r="28" spans="1:19">
      <c r="A28" s="2258"/>
      <c r="B28" s="50" t="s">
        <v>1956</v>
      </c>
      <c r="C28" s="1262" t="s">
        <v>1957</v>
      </c>
      <c r="D28" s="48">
        <f>ROUND($D$3*E28/$E$3,2)</f>
        <v>667.43</v>
      </c>
      <c r="E28" s="56">
        <f>SUM(F28:G28)</f>
        <v>2001.91</v>
      </c>
      <c r="F28" s="64">
        <f>'数据-基础表'!BQ5+'数据-基础表'!BS5</f>
        <v>194</v>
      </c>
      <c r="G28" s="65">
        <f>'数据-基础表'!BR5+'数据-基础表'!BT5</f>
        <v>1807.91</v>
      </c>
      <c r="H28" s="1395"/>
      <c r="I28" s="1395"/>
      <c r="J28" s="1395"/>
      <c r="K28" s="1395"/>
      <c r="L28" s="1395"/>
      <c r="M28" s="1395"/>
      <c r="N28" s="1395"/>
      <c r="O28" s="1395"/>
      <c r="P28" s="1395"/>
    </row>
    <row r="29" spans="1:19">
      <c r="A29" s="2258"/>
      <c r="B29" s="50" t="s">
        <v>1956</v>
      </c>
      <c r="C29" s="2262" t="s">
        <v>1958</v>
      </c>
      <c r="D29" s="48">
        <f>ROUND($D$3*E29/$E$3,2)</f>
        <v>880.63</v>
      </c>
      <c r="E29" s="56">
        <f>SUM(F29:G29)</f>
        <v>2641.39</v>
      </c>
      <c r="F29" s="66">
        <f>'数据-基础表'!BM5+'数据-基础表'!BO5</f>
        <v>499.06</v>
      </c>
      <c r="G29" s="67">
        <f>'数据-基础表'!BN5+'数据-基础表'!BP5</f>
        <v>2142.33</v>
      </c>
      <c r="H29" s="1395"/>
      <c r="I29" s="1395"/>
      <c r="J29" s="1395"/>
      <c r="K29" s="1395"/>
      <c r="L29" s="1395"/>
      <c r="M29" s="1395"/>
      <c r="N29" s="1395"/>
      <c r="O29" s="1395"/>
      <c r="P29" s="1395"/>
    </row>
    <row r="30" spans="1:19" ht="15">
      <c r="A30" s="2258"/>
      <c r="B30" s="50"/>
      <c r="C30" s="2263" t="s">
        <v>1955</v>
      </c>
      <c r="D30" s="1396">
        <f>SUM(D28:D29)</f>
        <v>1548.06</v>
      </c>
      <c r="E30" s="1396">
        <f>SUM(E28:E29)</f>
        <v>4643.3</v>
      </c>
      <c r="F30" s="1396">
        <f>SUM(F28:F29)</f>
        <v>693.06</v>
      </c>
      <c r="G30" s="1398">
        <f>SUM(G28:G29)</f>
        <v>3950.24</v>
      </c>
      <c r="H30" s="1395"/>
      <c r="I30" s="1395"/>
      <c r="J30" s="1395"/>
      <c r="K30" s="1395"/>
      <c r="L30" s="1395"/>
      <c r="M30" s="1395"/>
      <c r="N30" s="1395"/>
      <c r="O30" s="1395"/>
      <c r="P30" s="1395"/>
    </row>
    <row r="31" spans="1:19" ht="15.75" thickBot="1">
      <c r="A31" s="2264"/>
      <c r="B31" s="2265"/>
      <c r="C31" s="1010" t="s">
        <v>1959</v>
      </c>
      <c r="D31" s="729">
        <f>D27+D30</f>
        <v>22451.59</v>
      </c>
      <c r="E31" s="729">
        <f>E27+E30</f>
        <v>67341.78</v>
      </c>
      <c r="F31" s="730">
        <f>F27+F30</f>
        <v>55004.34</v>
      </c>
      <c r="G31" s="731">
        <f>G27+G30</f>
        <v>12337.44</v>
      </c>
      <c r="H31" s="1395"/>
      <c r="I31" s="1395"/>
      <c r="J31" s="1395"/>
      <c r="K31" s="1395"/>
      <c r="L31" s="1395"/>
      <c r="M31" s="1395"/>
      <c r="N31" s="1395"/>
      <c r="O31" s="1395"/>
      <c r="P31" s="1395"/>
    </row>
    <row r="32" spans="1:19">
      <c r="A32" s="2229"/>
      <c r="B32" s="2229" t="s">
        <v>1960</v>
      </c>
      <c r="C32" s="2229"/>
      <c r="D32" s="2229"/>
      <c r="E32" s="1277">
        <f>SUMIF(C19:C26,"*住宅*",E19:E26)</f>
        <v>0</v>
      </c>
      <c r="F32" s="2229"/>
      <c r="G32" s="2229"/>
      <c r="H32" s="1395"/>
      <c r="I32" s="1395"/>
      <c r="J32" s="1395"/>
      <c r="K32" s="1395"/>
      <c r="L32" s="1395"/>
      <c r="M32" s="1395"/>
      <c r="N32" s="1395"/>
      <c r="O32" s="1395"/>
      <c r="P32" s="1395"/>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AK6" sqref="AK6:AM7"/>
    </sheetView>
  </sheetViews>
  <sheetFormatPr defaultColWidth="13.75" defaultRowHeight="12.75"/>
  <cols>
    <col min="1" max="1" width="20.875" style="2339" customWidth="1"/>
    <col min="2" max="2" width="12" style="2270" customWidth="1"/>
    <col min="3" max="3" width="10.75" style="2270" customWidth="1"/>
    <col min="4" max="4" width="9.125" style="2340"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1961</v>
      </c>
      <c r="B1" s="732"/>
      <c r="C1" s="1583"/>
      <c r="D1" s="2268"/>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1" t="s">
        <v>1962</v>
      </c>
      <c r="B2" s="1269">
        <f>项目基本情况!D3</f>
        <v>43279</v>
      </c>
      <c r="C2" s="2272"/>
      <c r="D2" s="2273"/>
      <c r="E2" s="2272"/>
      <c r="F2" s="2272"/>
      <c r="G2" s="2272"/>
      <c r="H2" s="2272"/>
      <c r="I2" s="2272"/>
      <c r="J2" s="2272"/>
      <c r="K2" s="1430"/>
      <c r="L2" s="1430"/>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3" customFormat="1" ht="15" thickBot="1">
      <c r="A3" s="2031"/>
      <c r="B3" s="2275"/>
      <c r="C3" s="2272"/>
      <c r="D3" s="2273"/>
      <c r="E3" s="2272"/>
      <c r="F3" s="2272"/>
      <c r="G3" s="2272"/>
      <c r="H3" s="2272"/>
      <c r="I3" s="2272"/>
      <c r="J3" s="2272"/>
      <c r="K3" s="1430"/>
      <c r="L3" s="1430"/>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3" customFormat="1" ht="15" thickBot="1">
      <c r="A4" s="68" t="s">
        <v>1963</v>
      </c>
      <c r="B4" s="2276"/>
      <c r="C4" s="2277"/>
      <c r="D4" s="2278"/>
      <c r="E4" s="2277" t="s">
        <v>1964</v>
      </c>
      <c r="F4" s="2277"/>
      <c r="G4" s="2277"/>
      <c r="H4" s="2277"/>
      <c r="I4" s="2277"/>
      <c r="J4" s="2279"/>
      <c r="K4" s="2280"/>
      <c r="L4" s="2281"/>
      <c r="M4" s="2277"/>
      <c r="N4" s="2277" t="s">
        <v>1965</v>
      </c>
      <c r="O4" s="2277"/>
      <c r="P4" s="2277"/>
      <c r="Q4" s="2277"/>
      <c r="R4" s="2277"/>
      <c r="S4" s="2279"/>
      <c r="T4" s="2282" t="str">
        <f>'数据-汇总表'!I17</f>
        <v>按面积比例</v>
      </c>
      <c r="U4" s="2276" t="s">
        <v>1966</v>
      </c>
      <c r="V4" s="2277"/>
      <c r="W4" s="2277"/>
      <c r="X4" s="2277"/>
      <c r="Y4" s="2279"/>
      <c r="Z4" s="2240" t="s">
        <v>1967</v>
      </c>
      <c r="AA4" s="2240"/>
      <c r="AB4" s="2240"/>
      <c r="AC4" s="2240"/>
      <c r="AD4" s="2240"/>
      <c r="AE4" s="2238" t="s">
        <v>1968</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4" customFormat="1" ht="42">
      <c r="A5" s="2284" t="s">
        <v>1969</v>
      </c>
      <c r="B5" s="2285" t="s">
        <v>1970</v>
      </c>
      <c r="C5" s="2286" t="s">
        <v>1971</v>
      </c>
      <c r="D5" s="2287" t="s">
        <v>1972</v>
      </c>
      <c r="E5" s="1271" t="s">
        <v>1973</v>
      </c>
      <c r="F5" s="2288" t="s">
        <v>1974</v>
      </c>
      <c r="G5" s="1271" t="s">
        <v>1975</v>
      </c>
      <c r="H5" s="1271" t="s">
        <v>1976</v>
      </c>
      <c r="I5" s="1271" t="s">
        <v>1977</v>
      </c>
      <c r="J5" s="2289" t="s">
        <v>1978</v>
      </c>
      <c r="K5" s="2290" t="s">
        <v>1979</v>
      </c>
      <c r="L5" s="2291" t="s">
        <v>1980</v>
      </c>
      <c r="M5" s="2292" t="s">
        <v>1981</v>
      </c>
      <c r="N5" s="2961" t="s">
        <v>1982</v>
      </c>
      <c r="O5" s="2291" t="s">
        <v>1983</v>
      </c>
      <c r="P5" s="2293" t="s">
        <v>1984</v>
      </c>
      <c r="Q5" s="69" t="s">
        <v>1985</v>
      </c>
      <c r="R5" s="2294" t="s">
        <v>1986</v>
      </c>
      <c r="S5" s="2295" t="s">
        <v>1987</v>
      </c>
      <c r="T5" s="2296" t="s">
        <v>1988</v>
      </c>
      <c r="U5" s="1270" t="s">
        <v>1989</v>
      </c>
      <c r="V5" s="1271" t="s">
        <v>1990</v>
      </c>
      <c r="W5" s="1271" t="s">
        <v>1991</v>
      </c>
      <c r="X5" s="71"/>
      <c r="Y5" s="70" t="s">
        <v>1992</v>
      </c>
      <c r="Z5" s="2297" t="s">
        <v>1989</v>
      </c>
      <c r="AA5" s="1271" t="s">
        <v>1990</v>
      </c>
      <c r="AB5" s="1271" t="s">
        <v>1991</v>
      </c>
      <c r="AC5" s="71"/>
      <c r="AD5" s="71" t="s">
        <v>1992</v>
      </c>
      <c r="AE5" s="1270" t="s">
        <v>1993</v>
      </c>
      <c r="AF5" s="1271" t="s">
        <v>1994</v>
      </c>
      <c r="AG5" s="70" t="s">
        <v>1995</v>
      </c>
      <c r="AH5" s="1270" t="s">
        <v>1996</v>
      </c>
      <c r="AI5" s="2297" t="s">
        <v>1997</v>
      </c>
      <c r="AJ5" s="2297" t="s">
        <v>1998</v>
      </c>
      <c r="AK5" s="1271" t="s">
        <v>1999</v>
      </c>
      <c r="AL5" s="1271" t="s">
        <v>2000</v>
      </c>
      <c r="AM5" s="70" t="s">
        <v>2001</v>
      </c>
      <c r="AN5" s="2298" t="s">
        <v>2002</v>
      </c>
      <c r="AO5" s="2071" t="s">
        <v>2003</v>
      </c>
      <c r="AP5" s="1252" t="s">
        <v>2004</v>
      </c>
      <c r="AQ5" s="2299" t="s">
        <v>2005</v>
      </c>
      <c r="AR5" s="2299"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3" customFormat="1" ht="14.25">
      <c r="A6" s="2300" t="str">
        <f>'数据-汇总表'!C19</f>
        <v>高层</v>
      </c>
      <c r="B6" s="2301" t="str">
        <f>IF(A6=0,"","经营性")</f>
        <v>经营性</v>
      </c>
      <c r="C6" s="2302" t="s">
        <v>3074</v>
      </c>
      <c r="D6" s="1054">
        <f>SUMIF(项目基本情况!D$12:I$12,C6,项目基本情况!D$14:I$14)</f>
        <v>70</v>
      </c>
      <c r="E6" s="1051">
        <f>IF(B6="","",SUMIF(项目基本情况!D$12:I$12,C6,项目基本情况!D$13:I$13))</f>
        <v>68375</v>
      </c>
      <c r="F6" s="72">
        <f>SUMIF(项目基本情况!D$12:I$12,C6,项目基本情况!D$15:I$15)</f>
        <v>68.75</v>
      </c>
      <c r="G6" s="73">
        <f>IF(ISERROR(ROUND(POWER(1+H6,D6-F6)*(POWER(1+H6,F6)-1)/(POWER(1+H6,D6)-1),3)),0,ROUND(POWER(1+H6,D6-F6)*(POWER(1+H6,F6)-1)/(POWER(1+H6,D6)-1),3))</f>
        <v>0.997</v>
      </c>
      <c r="H6" s="802">
        <v>4.4999999999999998E-2</v>
      </c>
      <c r="I6" s="802">
        <v>0.05</v>
      </c>
      <c r="J6" s="74">
        <v>8.5000000000000006E-2</v>
      </c>
      <c r="K6" s="1254">
        <f>SUMIF('数据-汇总表'!C$19:C$33,A6,'数据-汇总表'!E$19:E$33)</f>
        <v>48557.02</v>
      </c>
      <c r="L6" s="803">
        <v>3000</v>
      </c>
      <c r="M6" s="75">
        <f t="shared" ref="M6:M14" si="0">ROUND(K6*L6/10000,0)</f>
        <v>14567</v>
      </c>
      <c r="N6" s="801">
        <v>0.3</v>
      </c>
      <c r="O6" s="75">
        <f>IF($N$5="成新度","——",ROUND(M6*N6,0))</f>
        <v>4370</v>
      </c>
      <c r="P6" s="76">
        <f>IF($N$5="成新度","——",M6-O6)</f>
        <v>10197</v>
      </c>
      <c r="Q6" s="804">
        <v>0.08</v>
      </c>
      <c r="R6" s="77">
        <f ca="1">SUMIF('数据-汇总表'!C$19:C$33,A6,'数据-汇总表'!R$19:R$27)</f>
        <v>16705.7</v>
      </c>
      <c r="S6" s="54">
        <f>IF('数据-汇总表'!$I$17="按面积比例",SUMIF('数据-汇总表'!C$19:C$33,A6,'数据-汇总表'!K$19:K$33),SUMIF('数据-汇总表'!C$19:C$33,A6,'数据-汇总表'!N$19:N$33))</f>
        <v>1550.39</v>
      </c>
      <c r="T6" s="1446">
        <f>ROUND($L$14*S6/10000,0)</f>
        <v>310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94">
        <v>1.4999999999999999E-2</v>
      </c>
      <c r="AL6" s="95">
        <v>1.5E-3</v>
      </c>
      <c r="AM6" s="2965">
        <v>0.01</v>
      </c>
      <c r="AN6" s="2303"/>
      <c r="AO6" s="55" t="e">
        <f ca="1">SUMIF(INDIRECT("'"&amp;AN6&amp;"'"&amp;"!A:A"),"总价",INDIRECT("'"&amp;AN6&amp;"'"&amp;"!B:B"))</f>
        <v>#REF!</v>
      </c>
      <c r="AP6" s="2304">
        <f>IF(C6="住宅",K6*L6,0)</f>
        <v>145671060</v>
      </c>
      <c r="AQ6" s="55">
        <f>ROUND($L$14*$N$14*S6/10000,0)</f>
        <v>31</v>
      </c>
      <c r="AR6" s="55">
        <f>ROUND($L$14*(1-$N$14)*S6/10000,0)</f>
        <v>279</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3" customFormat="1" ht="14.25">
      <c r="A7" s="2300" t="str">
        <f>'数据-汇总表'!C20</f>
        <v>小高层</v>
      </c>
      <c r="B7" s="2301" t="str">
        <f t="shared" ref="B7:B13" si="1">IF(A7=0,"","经营性")</f>
        <v>经营性</v>
      </c>
      <c r="C7" s="2302" t="s">
        <v>3074</v>
      </c>
      <c r="D7" s="1054">
        <f>SUMIF(项目基本情况!D$12:I$12,C7,项目基本情况!D$14:I$14)</f>
        <v>70</v>
      </c>
      <c r="E7" s="1051">
        <f>IF(B7="","",SUMIF(项目基本情况!D$12:I$12,C7,项目基本情况!D$13:I$13))</f>
        <v>68375</v>
      </c>
      <c r="F7" s="72">
        <f>SUMIF(项目基本情况!D$12:I$12,C7,项目基本情况!D$15:I$15)</f>
        <v>68.75</v>
      </c>
      <c r="G7" s="73">
        <f t="shared" ref="G7:G11" si="2">IF(ISERROR(ROUND(POWER(1+H7,D7-F7)*(POWER(1+H7,F7)-1)/(POWER(1+H7,D7)-1),3)),0,ROUND(POWER(1+H7,D7-F7)*(POWER(1+H7,F7)-1)/(POWER(1+H7,D7)-1),3))</f>
        <v>0.997</v>
      </c>
      <c r="H7" s="802">
        <v>4.4999999999999998E-2</v>
      </c>
      <c r="I7" s="802">
        <v>0.05</v>
      </c>
      <c r="J7" s="74">
        <v>8.5000000000000006E-2</v>
      </c>
      <c r="K7" s="1254">
        <f>SUMIF('数据-汇总表'!C$19:C$33,A7,'数据-汇总表'!E$19:E$33)</f>
        <v>5754.26</v>
      </c>
      <c r="L7" s="803">
        <v>3000</v>
      </c>
      <c r="M7" s="75">
        <f t="shared" si="0"/>
        <v>1726</v>
      </c>
      <c r="N7" s="801">
        <v>0.5</v>
      </c>
      <c r="O7" s="75">
        <f t="shared" ref="O7:O14" si="3">IF($N$5="成新度","——",ROUND(M7*N7,0))</f>
        <v>863</v>
      </c>
      <c r="P7" s="76">
        <f t="shared" ref="P7:P14" si="4">IF($N$5="成新度","——",M7-O7)</f>
        <v>863</v>
      </c>
      <c r="Q7" s="804">
        <v>0.09</v>
      </c>
      <c r="R7" s="77">
        <f ca="1">SUMIF('数据-汇总表'!C$19:C$33,A7,'数据-汇总表'!R$19:R$27)</f>
        <v>1979.72</v>
      </c>
      <c r="S7" s="54">
        <f>IF('数据-汇总表'!$I$17="按面积比例",SUMIF('数据-汇总表'!C$19:C$33,A7,'数据-汇总表'!K$19:K$33),SUMIF('数据-汇总表'!C$19:C$33,A7,'数据-汇总表'!N$19:N$33))</f>
        <v>183.73</v>
      </c>
      <c r="T7" s="1446">
        <f t="shared" ref="T7:T13" si="5">ROUND($L$14*S7/10000,0)</f>
        <v>37</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94">
        <v>1.4999999999999999E-2</v>
      </c>
      <c r="AL7" s="95">
        <v>1.5E-3</v>
      </c>
      <c r="AM7" s="2965">
        <v>0.01</v>
      </c>
      <c r="AN7" s="2303"/>
      <c r="AO7" s="55" t="e">
        <f t="shared" ref="AO7:AO13" ca="1" si="8">SUMIF(INDIRECT("'"&amp;AN7&amp;"'"&amp;"!A:A"),"总价",INDIRECT("'"&amp;AN7&amp;"'"&amp;"!B:B"))</f>
        <v>#REF!</v>
      </c>
      <c r="AP7" s="2304">
        <f t="shared" ref="AP7:AP13" si="9">IF(C7="住宅",K7*L7,0)</f>
        <v>17262780</v>
      </c>
      <c r="AQ7" s="55">
        <f t="shared" ref="AQ7:AQ13" si="10">ROUND($L$14*$N$14*S7/10000,0)</f>
        <v>4</v>
      </c>
      <c r="AR7" s="55">
        <f t="shared" ref="AR7:AR13" si="11">ROUND($L$14*(1-$N$14)*S7/10000,0)</f>
        <v>33</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3" customFormat="1" ht="14.25">
      <c r="A8" s="2300" t="str">
        <f>'数据-汇总表'!C21</f>
        <v>地下车库</v>
      </c>
      <c r="B8" s="2301" t="str">
        <f t="shared" si="1"/>
        <v>经营性</v>
      </c>
      <c r="C8" s="2302" t="s">
        <v>3079</v>
      </c>
      <c r="D8" s="1054">
        <f>SUMIF(项目基本情况!D$12:I$12,C8,项目基本情况!D$14:I$14)</f>
        <v>50</v>
      </c>
      <c r="E8" s="1051">
        <f>IF(B8="","",SUMIF(项目基本情况!D$12:I$12,C8,项目基本情况!D$13:I$13))</f>
        <v>61070</v>
      </c>
      <c r="F8" s="72">
        <f>SUMIF(项目基本情况!D$12:I$12,C8,项目基本情况!D$15:I$15)</f>
        <v>48.74</v>
      </c>
      <c r="G8" s="73">
        <f t="shared" si="2"/>
        <v>0.99199999999999999</v>
      </c>
      <c r="H8" s="802">
        <v>0.04</v>
      </c>
      <c r="I8" s="802">
        <v>4.4999999999999998E-2</v>
      </c>
      <c r="J8" s="74">
        <v>8.5000000000000006E-2</v>
      </c>
      <c r="K8" s="1254">
        <f>SUMIF('数据-汇总表'!C$19:C$33,A8,'数据-汇总表'!E$19:E$33)</f>
        <v>8387.2000000000007</v>
      </c>
      <c r="L8" s="803">
        <v>2000</v>
      </c>
      <c r="M8" s="75">
        <f>ROUND(K8*L8/10000,0)</f>
        <v>1677</v>
      </c>
      <c r="N8" s="801">
        <v>0.5</v>
      </c>
      <c r="O8" s="75">
        <f t="shared" si="3"/>
        <v>839</v>
      </c>
      <c r="P8" s="76">
        <f t="shared" si="4"/>
        <v>838</v>
      </c>
      <c r="Q8" s="804">
        <v>0.02</v>
      </c>
      <c r="R8" s="77">
        <f ca="1">SUMIF('数据-汇总表'!C$19:C$33,A8,'数据-汇总表'!R$19:R$27)</f>
        <v>2885.55</v>
      </c>
      <c r="S8" s="54">
        <f>IF('数据-汇总表'!$I$17="按面积比例",SUMIF('数据-汇总表'!C$19:C$33,A8,'数据-汇总表'!K$19:K$33),SUMIF('数据-汇总表'!C$19:C$33,A8,'数据-汇总表'!N$19:N$33))</f>
        <v>267.8</v>
      </c>
      <c r="T8" s="1446">
        <f t="shared" si="5"/>
        <v>54</v>
      </c>
      <c r="U8" s="805">
        <v>1000</v>
      </c>
      <c r="V8" s="806">
        <v>0.02</v>
      </c>
      <c r="W8" s="806">
        <v>0.1</v>
      </c>
      <c r="X8" s="1264"/>
      <c r="Y8" s="807">
        <v>1</v>
      </c>
      <c r="Z8" s="81"/>
      <c r="AA8" s="74"/>
      <c r="AB8" s="74"/>
      <c r="AC8" s="1264"/>
      <c r="AD8" s="82"/>
      <c r="AE8" s="1265">
        <f t="shared" ca="1" si="6"/>
        <v>47.04</v>
      </c>
      <c r="AF8" s="1806"/>
      <c r="AG8" s="147">
        <f t="shared" si="7"/>
        <v>0</v>
      </c>
      <c r="AH8" s="808">
        <v>204</v>
      </c>
      <c r="AI8" s="85">
        <v>12</v>
      </c>
      <c r="AJ8" s="86"/>
      <c r="AK8" s="809">
        <v>1.4999999999999999E-2</v>
      </c>
      <c r="AL8" s="810">
        <v>1.5E-3</v>
      </c>
      <c r="AM8" s="811">
        <v>0.01</v>
      </c>
      <c r="AN8" s="2303" t="s">
        <v>3108</v>
      </c>
      <c r="AO8" s="55">
        <f t="shared" ca="1" si="8"/>
        <v>3780</v>
      </c>
      <c r="AP8" s="2304">
        <f t="shared" si="9"/>
        <v>0</v>
      </c>
      <c r="AQ8" s="55">
        <f t="shared" si="10"/>
        <v>5</v>
      </c>
      <c r="AR8" s="55">
        <f t="shared" si="11"/>
        <v>48</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3" customFormat="1" ht="14.25">
      <c r="A9" s="2300">
        <f>'数据-汇总表'!C22</f>
        <v>0</v>
      </c>
      <c r="B9" s="2301" t="str">
        <f t="shared" si="1"/>
        <v/>
      </c>
      <c r="C9" s="230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3"/>
      <c r="AO9" s="55" t="e">
        <f t="shared" ca="1" si="8"/>
        <v>#REF!</v>
      </c>
      <c r="AP9" s="2304">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3" customFormat="1" ht="14.25">
      <c r="A10" s="2300">
        <f>'数据-汇总表'!C23</f>
        <v>0</v>
      </c>
      <c r="B10" s="2301" t="str">
        <f t="shared" si="1"/>
        <v/>
      </c>
      <c r="C10" s="230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3"/>
      <c r="AO10" s="55" t="e">
        <f t="shared" ca="1" si="8"/>
        <v>#REF!</v>
      </c>
      <c r="AP10" s="2304">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3" customFormat="1" ht="14.25">
      <c r="A11" s="2300">
        <f>'数据-汇总表'!C24</f>
        <v>0</v>
      </c>
      <c r="B11" s="2301" t="str">
        <f t="shared" si="1"/>
        <v/>
      </c>
      <c r="C11" s="230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3"/>
      <c r="AO11" s="55" t="e">
        <f t="shared" ca="1" si="8"/>
        <v>#REF!</v>
      </c>
      <c r="AP11" s="2304">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3" customFormat="1" ht="14.25">
      <c r="A12" s="2300">
        <f>'数据-汇总表'!C25</f>
        <v>0</v>
      </c>
      <c r="B12" s="2301" t="str">
        <f t="shared" si="1"/>
        <v/>
      </c>
      <c r="C12" s="230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3"/>
      <c r="AO12" s="55" t="e">
        <f t="shared" ca="1" si="8"/>
        <v>#REF!</v>
      </c>
      <c r="AP12" s="2304">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3" customFormat="1" ht="14.25">
      <c r="A13" s="2300">
        <f>'数据-汇总表'!C26</f>
        <v>0</v>
      </c>
      <c r="B13" s="2301" t="str">
        <f t="shared" si="1"/>
        <v/>
      </c>
      <c r="C13" s="230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3"/>
      <c r="AO13" s="55" t="e">
        <f t="shared" ca="1" si="8"/>
        <v>#REF!</v>
      </c>
      <c r="AP13" s="2304">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3" customFormat="1" ht="14.25">
      <c r="A14" s="2305" t="s">
        <v>2007</v>
      </c>
      <c r="B14" s="2301" t="s">
        <v>2008</v>
      </c>
      <c r="C14" s="2306" t="s">
        <v>2007</v>
      </c>
      <c r="D14" s="1054"/>
      <c r="E14" s="1051"/>
      <c r="F14" s="72"/>
      <c r="G14" s="73"/>
      <c r="H14" s="1253"/>
      <c r="I14" s="1253"/>
      <c r="J14" s="1253"/>
      <c r="K14" s="1254">
        <f>SUMIF('数据-汇总表'!C$19:C$33,A14,'数据-汇总表'!E$19:E$33)</f>
        <v>2001.91</v>
      </c>
      <c r="L14" s="91">
        <v>2000</v>
      </c>
      <c r="M14" s="75">
        <f t="shared" si="0"/>
        <v>400</v>
      </c>
      <c r="N14" s="92">
        <v>0.1</v>
      </c>
      <c r="O14" s="75">
        <f t="shared" si="3"/>
        <v>40</v>
      </c>
      <c r="P14" s="76">
        <f t="shared" si="4"/>
        <v>360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3" customFormat="1" ht="27">
      <c r="A15" s="2305" t="s">
        <v>2009</v>
      </c>
      <c r="B15" s="2301" t="s">
        <v>2008</v>
      </c>
      <c r="C15" s="2306" t="s">
        <v>2010</v>
      </c>
      <c r="D15" s="1054"/>
      <c r="E15" s="1051"/>
      <c r="F15" s="72"/>
      <c r="G15" s="73"/>
      <c r="H15" s="1253"/>
      <c r="I15" s="1253"/>
      <c r="J15" s="1253"/>
      <c r="K15" s="1254">
        <f>SUMIF('数据-汇总表'!C$19:C$33,A15,'数据-汇总表'!E$19:E$33)</f>
        <v>2641.39</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3" customFormat="1" ht="15.75" thickBot="1">
      <c r="A16" s="2307" t="s">
        <v>2011</v>
      </c>
      <c r="B16" s="97"/>
      <c r="C16" s="1008"/>
      <c r="D16" s="2308"/>
      <c r="E16" s="97"/>
      <c r="F16" s="97"/>
      <c r="G16" s="98">
        <f>ROUND(SUMPRODUCT(G6:G13,K6:K13)/SUMPRODUCT((G6:G13&gt;0)*(K6:K13)),3)</f>
        <v>0.996</v>
      </c>
      <c r="H16" s="99">
        <f>ROUND(SUMPRODUCT(H6:H13,K6:K13)/SUMPRODUCT((H6:H13&gt;0)*(K6:K13)),3)</f>
        <v>4.3999999999999997E-2</v>
      </c>
      <c r="I16" s="100"/>
      <c r="J16" s="100"/>
      <c r="K16" s="101">
        <f>SUM(K6:K15)</f>
        <v>67341.78</v>
      </c>
      <c r="L16" s="102">
        <f>ROUND(M16*10000/SUM(K6:K14),0)</f>
        <v>2839</v>
      </c>
      <c r="M16" s="102">
        <f>SUM(M6:M14)</f>
        <v>18370</v>
      </c>
      <c r="N16" s="103">
        <f>ROUND(SUMPRODUCT(M6:M14,N6:N14)/M16,3)</f>
        <v>0.33300000000000002</v>
      </c>
      <c r="O16" s="102">
        <f>SUM(O6:O14)</f>
        <v>6112</v>
      </c>
      <c r="P16" s="102">
        <f>SUM(P6:P14)</f>
        <v>12258</v>
      </c>
      <c r="Q16" s="104">
        <f>ROUND(SUMPRODUCT(Q6:Q13,K6:K13)/SUMPRODUCT((Q6:Q13&gt;0)*(K6:K13)),2)</f>
        <v>7.0000000000000007E-2</v>
      </c>
      <c r="R16" s="1258">
        <f ca="1">SUM(R6:R13)</f>
        <v>21570.97</v>
      </c>
      <c r="S16" s="105">
        <f>SUM(S6:S13)</f>
        <v>2001.92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09"/>
      <c r="B17" s="732"/>
      <c r="C17" s="1583"/>
      <c r="D17" s="2268"/>
      <c r="E17" s="2268"/>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75"/>
      <c r="C18" s="2272"/>
      <c r="D18" s="2273"/>
      <c r="E18" s="2272"/>
      <c r="F18" s="2272"/>
      <c r="G18" s="2272"/>
      <c r="H18" s="2272"/>
      <c r="I18" s="2272"/>
      <c r="J18" s="2272"/>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0" t="s">
        <v>2013</v>
      </c>
      <c r="B19" s="112">
        <v>0</v>
      </c>
      <c r="C19" s="2272" t="s">
        <v>2014</v>
      </c>
      <c r="D19" s="2273"/>
      <c r="E19" s="2272"/>
      <c r="F19" s="2272"/>
      <c r="G19" s="2272"/>
      <c r="H19" s="2272"/>
      <c r="I19" s="2272"/>
      <c r="J19" s="2272"/>
      <c r="K19" s="168"/>
      <c r="L19" s="168"/>
      <c r="M19" s="1583">
        <v>28</v>
      </c>
      <c r="N19" s="2963">
        <f>4/33</f>
        <v>0.12121212121212122</v>
      </c>
      <c r="O19" s="2964">
        <v>0.4</v>
      </c>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1" t="s">
        <v>2015</v>
      </c>
      <c r="B20" s="113">
        <v>2.5</v>
      </c>
      <c r="C20" s="2272" t="s">
        <v>2016</v>
      </c>
      <c r="D20" s="2273"/>
      <c r="E20" s="2272"/>
      <c r="F20" s="2272"/>
      <c r="G20" s="2272"/>
      <c r="H20" s="2272"/>
      <c r="I20" s="2272"/>
      <c r="J20" s="2272"/>
      <c r="K20" s="168"/>
      <c r="L20" s="168"/>
      <c r="M20" s="1583">
        <v>26</v>
      </c>
      <c r="N20" s="2963">
        <f>8/33</f>
        <v>0.24242424242424243</v>
      </c>
      <c r="O20" s="2964">
        <v>0.4</v>
      </c>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2" t="s">
        <v>2017</v>
      </c>
      <c r="B21" s="113">
        <f>ROUND(B20*N16,1)</f>
        <v>0.8</v>
      </c>
      <c r="C21" s="2272"/>
      <c r="D21" s="2273"/>
      <c r="E21" s="2272"/>
      <c r="F21" s="2272"/>
      <c r="G21" s="2272"/>
      <c r="H21" s="2272"/>
      <c r="I21" s="2272"/>
      <c r="J21" s="2272"/>
      <c r="K21" s="168"/>
      <c r="L21" s="168"/>
      <c r="M21" s="1583">
        <v>27</v>
      </c>
      <c r="N21" s="2963">
        <f>3/33</f>
        <v>9.0909090909090912E-2</v>
      </c>
      <c r="O21" s="2964">
        <v>0.4</v>
      </c>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1" t="s">
        <v>2018</v>
      </c>
      <c r="B22" s="114">
        <f>B19+B20</f>
        <v>2.5</v>
      </c>
      <c r="C22" s="2272"/>
      <c r="D22" s="2273"/>
      <c r="E22" s="2272"/>
      <c r="F22" s="2272"/>
      <c r="G22" s="2272"/>
      <c r="H22" s="2272"/>
      <c r="I22" s="2272"/>
      <c r="J22" s="2272"/>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2" t="s">
        <v>2019</v>
      </c>
      <c r="B23" s="114">
        <f>B19+B21</f>
        <v>0.8</v>
      </c>
      <c r="C23" s="2272"/>
      <c r="D23" s="2273"/>
      <c r="E23" s="2272"/>
      <c r="F23" s="2272"/>
      <c r="G23" s="2272"/>
      <c r="H23" s="2272"/>
      <c r="I23" s="2272"/>
      <c r="J23" s="2272"/>
      <c r="K23" s="168"/>
      <c r="L23" s="168"/>
      <c r="M23" s="1583">
        <v>25</v>
      </c>
      <c r="N23" s="1583">
        <f>6/12</f>
        <v>0.5</v>
      </c>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3" t="s">
        <v>2020</v>
      </c>
      <c r="B24" s="115">
        <f>B20-B21</f>
        <v>1.7</v>
      </c>
      <c r="C24" s="2272"/>
      <c r="D24" s="2273"/>
      <c r="E24" s="2272"/>
      <c r="F24" s="2272"/>
      <c r="G24" s="2272"/>
      <c r="H24" s="2272"/>
      <c r="I24" s="2272"/>
      <c r="J24" s="2272"/>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5"/>
      <c r="C25" s="2272"/>
      <c r="D25" s="2273"/>
      <c r="E25" s="2272"/>
      <c r="F25" s="2272"/>
      <c r="G25" s="2272"/>
      <c r="H25" s="2272"/>
      <c r="I25" s="2272"/>
      <c r="J25" s="2272"/>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1" t="s">
        <v>2021</v>
      </c>
      <c r="B26" s="2314" t="s">
        <v>2022</v>
      </c>
      <c r="C26" s="2315" t="s">
        <v>2023</v>
      </c>
      <c r="D26" s="2273"/>
      <c r="E26" s="2272"/>
      <c r="F26" s="2272"/>
      <c r="G26" s="2272"/>
      <c r="H26" s="2272"/>
      <c r="I26" s="2272"/>
      <c r="J26" s="2272"/>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8" customFormat="1" ht="27.75">
      <c r="A27" s="2316" t="s">
        <v>2024</v>
      </c>
      <c r="B27" s="116">
        <v>290</v>
      </c>
      <c r="C27" s="1766" t="s">
        <v>2025</v>
      </c>
      <c r="D27" s="2317"/>
      <c r="E27" s="1430"/>
      <c r="F27" s="1430"/>
      <c r="G27" s="2272"/>
      <c r="H27" s="2272"/>
      <c r="I27" s="2272"/>
      <c r="J27" s="2272"/>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8" customFormat="1" ht="27.75">
      <c r="A28" s="2319" t="s">
        <v>2026</v>
      </c>
      <c r="B28" s="119">
        <v>320</v>
      </c>
      <c r="C28" s="2320"/>
      <c r="D28" s="2317"/>
      <c r="E28" s="1430"/>
      <c r="F28" s="1430"/>
      <c r="G28" s="2272"/>
      <c r="H28" s="2272"/>
      <c r="I28" s="2272"/>
      <c r="J28" s="2272"/>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8" customFormat="1" ht="28.5" thickBot="1">
      <c r="A29" s="2321" t="s">
        <v>2027</v>
      </c>
      <c r="B29" s="121">
        <f ca="1">成本法!C9+成本法!C10</f>
        <v>1992</v>
      </c>
      <c r="C29" s="1766" t="s">
        <v>2028</v>
      </c>
      <c r="D29" s="2317"/>
      <c r="E29" s="1430"/>
      <c r="F29" s="1430"/>
      <c r="G29" s="2272"/>
      <c r="H29" s="2272"/>
      <c r="I29" s="2272"/>
      <c r="J29" s="2272"/>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8" customFormat="1" ht="27">
      <c r="A30" s="2322" t="s">
        <v>2029</v>
      </c>
      <c r="B30" s="724">
        <v>200</v>
      </c>
      <c r="C30" s="2320"/>
      <c r="D30" s="2317"/>
      <c r="E30" s="1430"/>
      <c r="F30" s="1430"/>
      <c r="G30" s="2272"/>
      <c r="H30" s="2272"/>
      <c r="I30" s="2272"/>
      <c r="J30" s="2272"/>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8" customFormat="1" ht="27">
      <c r="A31" s="2319" t="s">
        <v>2030</v>
      </c>
      <c r="B31" s="120">
        <f>B30-B32</f>
        <v>90</v>
      </c>
      <c r="C31" s="1766"/>
      <c r="D31" s="2317"/>
      <c r="E31" s="1430"/>
      <c r="F31" s="1430"/>
      <c r="G31" s="2272"/>
      <c r="H31" s="2272"/>
      <c r="I31" s="2272"/>
      <c r="J31" s="2272"/>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8" customFormat="1" ht="27.75" thickBot="1">
      <c r="A32" s="2323" t="s">
        <v>2031</v>
      </c>
      <c r="B32" s="725">
        <v>110</v>
      </c>
      <c r="C32" s="2320"/>
      <c r="D32" s="2273"/>
      <c r="E32" s="2272"/>
      <c r="F32" s="2272"/>
      <c r="G32" s="2272"/>
      <c r="H32" s="2272"/>
      <c r="I32" s="2272"/>
      <c r="J32" s="2272"/>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8" customFormat="1" ht="14.25">
      <c r="A33" s="2316" t="s">
        <v>2032</v>
      </c>
      <c r="B33" s="726">
        <v>0.03</v>
      </c>
      <c r="C33" s="1765" t="s">
        <v>2033</v>
      </c>
      <c r="D33" s="2273"/>
      <c r="E33" s="2272"/>
      <c r="F33" s="2272"/>
      <c r="G33" s="2272"/>
      <c r="H33" s="2272"/>
      <c r="I33" s="2272"/>
      <c r="J33" s="2272"/>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8" customFormat="1" ht="14.25">
      <c r="A34" s="2319" t="s">
        <v>2034</v>
      </c>
      <c r="B34" s="122">
        <v>0.05</v>
      </c>
      <c r="C34" s="1765" t="s">
        <v>2035</v>
      </c>
      <c r="D34" s="2273" t="s">
        <v>2036</v>
      </c>
      <c r="E34" s="732"/>
      <c r="F34" s="2272"/>
      <c r="G34" s="2272"/>
      <c r="H34" s="2272"/>
      <c r="I34" s="2272"/>
      <c r="J34" s="2272"/>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8" customFormat="1" ht="14.25">
      <c r="A35" s="2319" t="s">
        <v>2037</v>
      </c>
      <c r="B35" s="119">
        <v>200</v>
      </c>
      <c r="C35" s="1765" t="s">
        <v>2038</v>
      </c>
      <c r="D35" s="2317"/>
      <c r="E35" s="1430"/>
      <c r="F35" s="1430"/>
      <c r="G35" s="2272"/>
      <c r="H35" s="2272"/>
      <c r="I35" s="2272"/>
      <c r="J35" s="2272"/>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1" t="s">
        <v>2039</v>
      </c>
      <c r="B36" s="123">
        <v>1.4999999999999999E-2</v>
      </c>
      <c r="C36" s="1765" t="s">
        <v>2040</v>
      </c>
      <c r="D36" s="2273"/>
      <c r="E36" s="2272"/>
      <c r="F36" s="2272"/>
      <c r="G36" s="2272"/>
      <c r="H36" s="2272"/>
      <c r="I36" s="2272"/>
      <c r="J36" s="2272"/>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2" t="s">
        <v>2041</v>
      </c>
      <c r="B37" s="124">
        <v>0.02</v>
      </c>
      <c r="C37" s="1765" t="s">
        <v>2042</v>
      </c>
      <c r="D37" s="2273"/>
      <c r="E37" s="2272"/>
      <c r="F37" s="2272"/>
      <c r="G37" s="2272"/>
      <c r="H37" s="2272"/>
      <c r="I37" s="2272"/>
      <c r="J37" s="2272"/>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19" t="s">
        <v>2043</v>
      </c>
      <c r="B38" s="122">
        <v>0.02</v>
      </c>
      <c r="C38" s="1765" t="s">
        <v>2042</v>
      </c>
      <c r="D38" s="2273"/>
      <c r="E38" s="2272"/>
      <c r="F38" s="2272"/>
      <c r="G38" s="2272"/>
      <c r="H38" s="2272"/>
      <c r="I38" s="2272"/>
      <c r="J38" s="2272"/>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3" t="s">
        <v>2044</v>
      </c>
      <c r="B39" s="362">
        <f ca="1">存贷款利率!I1</f>
        <v>1.4999999999999999E-2</v>
      </c>
      <c r="C39" s="1765"/>
      <c r="D39" s="2273"/>
      <c r="E39" s="2272"/>
      <c r="F39" s="2272"/>
      <c r="G39" s="2272"/>
      <c r="H39" s="2272"/>
      <c r="I39" s="2272"/>
      <c r="J39" s="2272"/>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3" t="s">
        <v>2045</v>
      </c>
      <c r="B40" s="1303">
        <f ca="1">存贷款利率!G1</f>
        <v>4.7500000000000001E-2</v>
      </c>
      <c r="C40" s="1765" t="s">
        <v>2046</v>
      </c>
      <c r="D40" s="1583"/>
      <c r="E40" s="2273"/>
      <c r="F40" s="2272"/>
      <c r="G40" s="2272"/>
      <c r="H40" s="2272"/>
      <c r="I40" s="2272"/>
      <c r="J40" s="2272"/>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6" t="s">
        <v>2047</v>
      </c>
      <c r="B41" s="125">
        <f>B42+B43</f>
        <v>5.6500000000000002E-2</v>
      </c>
      <c r="C41" s="1766"/>
      <c r="D41" s="1583"/>
      <c r="E41" s="2273"/>
      <c r="F41" s="2272"/>
      <c r="G41" s="2272"/>
      <c r="H41" s="2272"/>
      <c r="I41" s="2272"/>
      <c r="J41" s="2272"/>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4" t="s">
        <v>2048</v>
      </c>
      <c r="B42" s="126">
        <v>0.05</v>
      </c>
      <c r="C42" s="2325">
        <f>IF(B2&lt;DATE(2016,5,1),0,B42)</f>
        <v>0.05</v>
      </c>
      <c r="D42" s="2273"/>
      <c r="E42" s="2272"/>
      <c r="F42" s="2272"/>
      <c r="G42" s="2272"/>
      <c r="H42" s="2272"/>
      <c r="I42" s="2272"/>
      <c r="J42" s="2272"/>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4" t="s">
        <v>2049</v>
      </c>
      <c r="B43" s="127">
        <f>B42*(B44+B45+B46)+B47</f>
        <v>6.5000000000000006E-3</v>
      </c>
      <c r="C43" s="1766"/>
      <c r="D43" s="2273"/>
      <c r="E43" s="2272"/>
      <c r="F43" s="2272"/>
      <c r="G43" s="2272"/>
      <c r="H43" s="2272"/>
      <c r="I43" s="2272"/>
      <c r="J43" s="2272"/>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6" t="s">
        <v>2050</v>
      </c>
      <c r="B44" s="128">
        <v>7.0000000000000007E-2</v>
      </c>
      <c r="C44" s="1765" t="s">
        <v>2051</v>
      </c>
      <c r="D44" s="2273"/>
      <c r="E44" s="2272"/>
      <c r="F44" s="2272"/>
      <c r="G44" s="2272"/>
      <c r="H44" s="2272"/>
      <c r="I44" s="2272"/>
      <c r="J44" s="2272"/>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6" t="s">
        <v>2052</v>
      </c>
      <c r="B45" s="126">
        <v>0.03</v>
      </c>
      <c r="C45" s="1766" t="s">
        <v>2053</v>
      </c>
      <c r="D45" s="2273"/>
      <c r="E45" s="2272"/>
      <c r="F45" s="2272"/>
      <c r="G45" s="2272"/>
      <c r="H45" s="2272"/>
      <c r="I45" s="2272"/>
      <c r="J45" s="2272"/>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6" t="s">
        <v>2054</v>
      </c>
      <c r="B46" s="126">
        <v>0.02</v>
      </c>
      <c r="C46" s="1766" t="s">
        <v>2055</v>
      </c>
      <c r="D46" s="2273"/>
      <c r="E46" s="2272"/>
      <c r="F46" s="2272"/>
      <c r="G46" s="2272"/>
      <c r="H46" s="2272"/>
      <c r="I46" s="2272"/>
      <c r="J46" s="2272"/>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7" t="s">
        <v>2056</v>
      </c>
      <c r="B47" s="129">
        <v>5.0000000000000001E-4</v>
      </c>
      <c r="C47" s="1766" t="s">
        <v>2057</v>
      </c>
      <c r="D47" s="2273"/>
      <c r="E47" s="2272"/>
      <c r="F47" s="2272"/>
      <c r="G47" s="2272"/>
      <c r="H47" s="2272"/>
      <c r="I47" s="2272"/>
      <c r="J47" s="2272"/>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8" t="s">
        <v>2058</v>
      </c>
      <c r="B48" s="130">
        <v>0.03</v>
      </c>
      <c r="C48" s="1773" t="s">
        <v>2059</v>
      </c>
      <c r="D48" s="2273"/>
      <c r="E48" s="2272"/>
      <c r="F48" s="2272"/>
      <c r="G48" s="2272"/>
      <c r="H48" s="2272"/>
      <c r="I48" s="2272"/>
      <c r="J48" s="2272"/>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3" t="s">
        <v>2060</v>
      </c>
      <c r="B49" s="126">
        <v>5.0000000000000001E-4</v>
      </c>
      <c r="C49" s="1773" t="s">
        <v>2061</v>
      </c>
      <c r="D49" s="2273"/>
      <c r="E49" s="2272"/>
      <c r="F49" s="2272"/>
      <c r="G49" s="2272"/>
      <c r="H49" s="2272"/>
      <c r="I49" s="2272"/>
      <c r="J49" s="2272"/>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29" t="s">
        <v>2062</v>
      </c>
      <c r="B50" s="131">
        <v>1.2E-2</v>
      </c>
      <c r="C50" s="1430"/>
      <c r="D50" s="2273"/>
      <c r="E50" s="2272"/>
      <c r="F50" s="2272"/>
      <c r="G50" s="2272"/>
      <c r="H50" s="2272"/>
      <c r="I50" s="2272"/>
      <c r="J50" s="2272"/>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1" t="s">
        <v>2063</v>
      </c>
      <c r="B51" s="132">
        <v>0.12</v>
      </c>
      <c r="C51" s="1430"/>
      <c r="D51" s="2273"/>
      <c r="E51" s="2272"/>
      <c r="F51" s="2272"/>
      <c r="G51" s="2272"/>
      <c r="H51" s="2272"/>
      <c r="I51" s="2272"/>
      <c r="J51" s="2272"/>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29" t="s">
        <v>2064</v>
      </c>
      <c r="B52" s="133">
        <f>SUMIF(A54:A63,B53,B54:B63)</f>
        <v>5</v>
      </c>
      <c r="C52" s="1430"/>
      <c r="D52" s="2273"/>
      <c r="E52" s="2272"/>
      <c r="F52" s="2272"/>
      <c r="G52" s="2272"/>
      <c r="H52" s="2272"/>
      <c r="I52" s="2272"/>
      <c r="J52" s="2272"/>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19" t="s">
        <v>2065</v>
      </c>
      <c r="B53" s="2330" t="s">
        <v>212</v>
      </c>
      <c r="C53" s="1430" t="s">
        <v>2066</v>
      </c>
      <c r="D53" s="2331" t="s">
        <v>2067</v>
      </c>
      <c r="E53" s="2272"/>
      <c r="F53" s="2272"/>
      <c r="G53" s="2272"/>
      <c r="H53" s="2272"/>
      <c r="I53" s="2272"/>
      <c r="J53" s="2272"/>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2" t="s">
        <v>2068</v>
      </c>
      <c r="B54" s="84">
        <v>5</v>
      </c>
      <c r="C54" s="1430">
        <v>30</v>
      </c>
      <c r="D54" s="2273"/>
      <c r="E54" s="2272"/>
      <c r="F54" s="2272"/>
      <c r="G54" s="2272"/>
      <c r="H54" s="2272"/>
      <c r="I54" s="2272"/>
      <c r="J54" s="2272"/>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2" t="s">
        <v>2069</v>
      </c>
      <c r="B55" s="84"/>
      <c r="C55" s="1430">
        <v>24</v>
      </c>
      <c r="D55" s="2273"/>
      <c r="E55" s="2272"/>
      <c r="F55" s="2272"/>
      <c r="G55" s="2272"/>
      <c r="H55" s="2272"/>
      <c r="I55" s="2333"/>
      <c r="J55" s="2272"/>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2" t="s">
        <v>2070</v>
      </c>
      <c r="B56" s="84"/>
      <c r="C56" s="1430">
        <v>18</v>
      </c>
      <c r="D56" s="2273"/>
      <c r="E56" s="2272"/>
      <c r="F56" s="2272"/>
      <c r="G56" s="2272"/>
      <c r="H56" s="2272"/>
      <c r="I56" s="2272"/>
      <c r="J56" s="2272"/>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2" t="s">
        <v>2071</v>
      </c>
      <c r="B57" s="84"/>
      <c r="C57" s="1430">
        <v>12</v>
      </c>
      <c r="D57" s="2273"/>
      <c r="E57" s="2272"/>
      <c r="F57" s="2272"/>
      <c r="G57" s="2272"/>
      <c r="H57" s="2272"/>
      <c r="I57" s="2272"/>
      <c r="J57" s="2272"/>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2" t="s">
        <v>2072</v>
      </c>
      <c r="B58" s="84"/>
      <c r="C58" s="1430">
        <v>3</v>
      </c>
      <c r="D58" s="2273"/>
      <c r="E58" s="2272"/>
      <c r="F58" s="2272"/>
      <c r="G58" s="2272"/>
      <c r="H58" s="2272"/>
      <c r="I58" s="2272"/>
      <c r="J58" s="2272"/>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2" t="s">
        <v>2073</v>
      </c>
      <c r="B59" s="84"/>
      <c r="C59" s="1430">
        <v>1.5</v>
      </c>
      <c r="D59" s="2273"/>
      <c r="E59" s="2272"/>
      <c r="F59" s="2272"/>
      <c r="G59" s="2272"/>
      <c r="H59" s="2272"/>
      <c r="I59" s="2272"/>
      <c r="J59" s="2272"/>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2" t="s">
        <v>2074</v>
      </c>
      <c r="B60" s="84"/>
      <c r="C60" s="2272"/>
      <c r="D60" s="2273"/>
      <c r="E60" s="2272"/>
      <c r="F60" s="2272"/>
      <c r="G60" s="2272"/>
      <c r="H60" s="2272"/>
      <c r="I60" s="2272"/>
      <c r="J60" s="2272"/>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2" t="s">
        <v>2075</v>
      </c>
      <c r="B61" s="84"/>
      <c r="C61" s="2272"/>
      <c r="D61" s="2273"/>
      <c r="E61" s="2272"/>
      <c r="F61" s="2272"/>
      <c r="G61" s="2272"/>
      <c r="H61" s="2272"/>
      <c r="I61" s="2272"/>
      <c r="J61" s="2272"/>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2" t="s">
        <v>2076</v>
      </c>
      <c r="B62" s="84"/>
      <c r="C62" s="2272"/>
      <c r="D62" s="2273"/>
      <c r="E62" s="2272"/>
      <c r="F62" s="2272"/>
      <c r="G62" s="2272"/>
      <c r="H62" s="2272"/>
      <c r="I62" s="2272"/>
      <c r="J62" s="2272"/>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4" t="s">
        <v>2077</v>
      </c>
      <c r="B63" s="134"/>
      <c r="C63" s="2272"/>
      <c r="D63" s="2273"/>
      <c r="E63" s="2272"/>
      <c r="F63" s="2272"/>
      <c r="G63" s="2272"/>
      <c r="H63" s="2272"/>
      <c r="I63" s="2272"/>
      <c r="J63" s="2272"/>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5"/>
      <c r="D64" s="2336"/>
      <c r="K64" s="798"/>
      <c r="L64" s="798"/>
    </row>
    <row r="65" spans="1:12" s="967" customFormat="1">
      <c r="A65" s="2335"/>
      <c r="D65" s="2336"/>
      <c r="K65" s="798"/>
      <c r="L65" s="798"/>
    </row>
    <row r="66" spans="1:12" s="967" customFormat="1">
      <c r="A66" s="2335"/>
      <c r="D66" s="2336"/>
      <c r="K66" s="798"/>
      <c r="L66" s="798"/>
    </row>
    <row r="67" spans="1:12" s="967" customFormat="1">
      <c r="A67" s="2335"/>
      <c r="D67" s="2336"/>
      <c r="K67" s="798"/>
      <c r="L67" s="798"/>
    </row>
    <row r="68" spans="1:12" s="967" customFormat="1">
      <c r="A68" s="2335"/>
      <c r="D68" s="2336"/>
      <c r="K68" s="798"/>
      <c r="L68" s="798"/>
    </row>
    <row r="69" spans="1:12" s="967" customFormat="1">
      <c r="A69" s="2335"/>
      <c r="D69" s="2336"/>
      <c r="K69" s="798"/>
      <c r="L69" s="798"/>
    </row>
    <row r="70" spans="1:12" s="967" customFormat="1">
      <c r="A70" s="2335"/>
      <c r="D70" s="2336"/>
      <c r="K70" s="798"/>
      <c r="L70" s="798"/>
    </row>
    <row r="71" spans="1:12" s="967" customFormat="1">
      <c r="A71" s="2335"/>
      <c r="D71" s="2336"/>
      <c r="K71" s="798"/>
      <c r="L71" s="798"/>
    </row>
    <row r="72" spans="1:12" s="967" customFormat="1">
      <c r="A72" s="2335"/>
      <c r="D72" s="2336"/>
      <c r="K72" s="798"/>
      <c r="L72" s="798"/>
    </row>
    <row r="73" spans="1:12" s="967" customFormat="1">
      <c r="A73" s="2335"/>
      <c r="D73" s="2336"/>
      <c r="K73" s="798"/>
      <c r="L73" s="798"/>
    </row>
    <row r="74" spans="1:12" s="967" customFormat="1">
      <c r="A74" s="2335"/>
      <c r="D74" s="2336"/>
      <c r="K74" s="798"/>
      <c r="L74" s="798"/>
    </row>
    <row r="75" spans="1:12" s="967" customFormat="1">
      <c r="A75" s="2335"/>
      <c r="D75" s="2336"/>
      <c r="K75" s="798"/>
      <c r="L75" s="798"/>
    </row>
    <row r="76" spans="1:12" s="967" customFormat="1">
      <c r="A76" s="2335"/>
      <c r="D76" s="2336"/>
      <c r="K76" s="798"/>
      <c r="L76" s="798"/>
    </row>
    <row r="77" spans="1:12" s="967" customFormat="1">
      <c r="A77" s="2335"/>
      <c r="D77" s="2336"/>
      <c r="K77" s="798"/>
      <c r="L77" s="798"/>
    </row>
    <row r="78" spans="1:12" s="967" customFormat="1">
      <c r="A78" s="2335"/>
      <c r="D78" s="2336"/>
      <c r="K78" s="798"/>
      <c r="L78" s="798"/>
    </row>
    <row r="79" spans="1:12" s="967" customFormat="1">
      <c r="A79" s="2335"/>
      <c r="D79" s="2336"/>
      <c r="K79" s="798"/>
      <c r="L79" s="798"/>
    </row>
    <row r="80" spans="1:12" s="967" customFormat="1">
      <c r="A80" s="2335"/>
      <c r="D80" s="2336"/>
      <c r="K80" s="798"/>
      <c r="L80" s="798"/>
    </row>
    <row r="81" spans="1:12" s="967" customFormat="1">
      <c r="A81" s="2335"/>
      <c r="D81" s="2336"/>
      <c r="K81" s="798"/>
      <c r="L81" s="798"/>
    </row>
    <row r="82" spans="1:12" s="967" customFormat="1">
      <c r="A82" s="2335"/>
      <c r="D82" s="2336"/>
      <c r="K82" s="798"/>
      <c r="L82" s="798"/>
    </row>
    <row r="83" spans="1:12" s="967" customFormat="1">
      <c r="A83" s="2335"/>
      <c r="D83" s="2336"/>
      <c r="K83" s="798"/>
      <c r="L83" s="798"/>
    </row>
    <row r="84" spans="1:12" s="967" customFormat="1">
      <c r="A84" s="2335"/>
      <c r="D84" s="2336"/>
      <c r="K84" s="798"/>
      <c r="L84" s="798"/>
    </row>
    <row r="85" spans="1:12" s="967" customFormat="1">
      <c r="A85" s="2335"/>
      <c r="D85" s="2336"/>
      <c r="K85" s="798"/>
      <c r="L85" s="798"/>
    </row>
    <row r="86" spans="1:12" s="967" customFormat="1">
      <c r="A86" s="2335"/>
      <c r="D86" s="2336"/>
      <c r="K86" s="798"/>
      <c r="L86" s="798"/>
    </row>
    <row r="87" spans="1:12" s="967" customFormat="1">
      <c r="A87" s="2335"/>
      <c r="D87" s="2336"/>
      <c r="K87" s="798"/>
      <c r="L87" s="798"/>
    </row>
    <row r="88" spans="1:12" s="967" customFormat="1">
      <c r="A88" s="2335"/>
      <c r="D88" s="2336"/>
      <c r="K88" s="798"/>
      <c r="L88" s="798"/>
    </row>
    <row r="89" spans="1:12" s="967" customFormat="1">
      <c r="A89" s="2335"/>
      <c r="D89" s="2336"/>
      <c r="K89" s="798"/>
      <c r="L89" s="798"/>
    </row>
    <row r="90" spans="1:12" s="967" customFormat="1">
      <c r="A90" s="2335"/>
      <c r="D90" s="2336"/>
      <c r="K90" s="798"/>
      <c r="L90" s="798"/>
    </row>
    <row r="91" spans="1:12" s="967" customFormat="1">
      <c r="A91" s="2335"/>
      <c r="D91" s="2336"/>
      <c r="K91" s="798"/>
      <c r="L91" s="798"/>
    </row>
    <row r="92" spans="1:12" s="967" customFormat="1">
      <c r="A92" s="2335"/>
      <c r="D92" s="2336"/>
      <c r="K92" s="798"/>
      <c r="L92" s="798"/>
    </row>
    <row r="93" spans="1:12" s="967" customFormat="1">
      <c r="A93" s="2335"/>
      <c r="D93" s="2336"/>
      <c r="K93" s="798"/>
      <c r="L93" s="798"/>
    </row>
    <row r="94" spans="1:12" s="967" customFormat="1">
      <c r="A94" s="2335"/>
      <c r="D94" s="2336"/>
      <c r="K94" s="798"/>
      <c r="L94" s="798"/>
    </row>
    <row r="95" spans="1:12" s="967" customFormat="1">
      <c r="A95" s="2335"/>
      <c r="D95" s="2336"/>
      <c r="K95" s="798"/>
      <c r="L95" s="798"/>
    </row>
    <row r="96" spans="1:12" s="967" customFormat="1">
      <c r="A96" s="2335"/>
      <c r="D96" s="2336"/>
      <c r="K96" s="798"/>
      <c r="L96" s="798"/>
    </row>
    <row r="97" spans="1:12" s="967" customFormat="1">
      <c r="A97" s="2335"/>
      <c r="D97" s="2336"/>
      <c r="K97" s="798"/>
      <c r="L97" s="798"/>
    </row>
    <row r="98" spans="1:12" s="967" customFormat="1">
      <c r="A98" s="2335"/>
      <c r="D98" s="2336"/>
      <c r="K98" s="798"/>
      <c r="L98" s="798"/>
    </row>
    <row r="99" spans="1:12" s="967" customFormat="1">
      <c r="A99" s="2335"/>
      <c r="D99" s="2336"/>
      <c r="K99" s="798"/>
      <c r="L99" s="798"/>
    </row>
    <row r="100" spans="1:12" s="967" customFormat="1">
      <c r="A100" s="2335"/>
      <c r="D100" s="2336"/>
      <c r="K100" s="798"/>
      <c r="L100" s="798"/>
    </row>
    <row r="101" spans="1:12" s="967" customFormat="1">
      <c r="A101" s="2335"/>
      <c r="D101" s="2336"/>
      <c r="K101" s="798"/>
      <c r="L101" s="798"/>
    </row>
    <row r="102" spans="1:12" s="967" customFormat="1">
      <c r="A102" s="2335"/>
      <c r="D102" s="2336"/>
      <c r="K102" s="798"/>
      <c r="L102" s="798"/>
    </row>
    <row r="103" spans="1:12" s="967" customFormat="1">
      <c r="A103" s="2335"/>
      <c r="D103" s="2336"/>
      <c r="K103" s="798"/>
      <c r="L103" s="798"/>
    </row>
    <row r="104" spans="1:12" s="967" customFormat="1">
      <c r="A104" s="2335"/>
      <c r="D104" s="2336"/>
      <c r="K104" s="798"/>
      <c r="L104" s="798"/>
    </row>
    <row r="105" spans="1:12" s="967" customFormat="1">
      <c r="A105" s="2335"/>
      <c r="D105" s="2336"/>
      <c r="K105" s="798"/>
      <c r="L105" s="798"/>
    </row>
    <row r="106" spans="1:12" s="967" customFormat="1">
      <c r="A106" s="2335"/>
      <c r="D106" s="2336"/>
      <c r="K106" s="798"/>
      <c r="L106" s="798"/>
    </row>
    <row r="107" spans="1:12" s="967" customFormat="1">
      <c r="A107" s="2335"/>
      <c r="D107" s="2336"/>
      <c r="K107" s="798"/>
      <c r="L107" s="798"/>
    </row>
    <row r="108" spans="1:12" s="967" customFormat="1">
      <c r="A108" s="2335"/>
      <c r="D108" s="2336"/>
      <c r="K108" s="798"/>
      <c r="L108" s="798"/>
    </row>
    <row r="109" spans="1:12" s="967" customFormat="1">
      <c r="A109" s="2335"/>
      <c r="D109" s="2336"/>
      <c r="K109" s="798"/>
      <c r="L109" s="798"/>
    </row>
    <row r="110" spans="1:12" s="967" customFormat="1">
      <c r="A110" s="2335"/>
      <c r="D110" s="2336"/>
      <c r="K110" s="798"/>
      <c r="L110" s="798"/>
    </row>
    <row r="111" spans="1:12" s="967" customFormat="1">
      <c r="A111" s="2335"/>
      <c r="D111" s="2336"/>
      <c r="K111" s="798"/>
      <c r="L111" s="798"/>
    </row>
    <row r="112" spans="1:12" s="967" customFormat="1">
      <c r="A112" s="2335"/>
      <c r="D112" s="2336"/>
      <c r="K112" s="798"/>
      <c r="L112" s="798"/>
    </row>
    <row r="113" spans="1:12" s="967" customFormat="1">
      <c r="A113" s="2335"/>
      <c r="D113" s="2336"/>
      <c r="K113" s="798"/>
      <c r="L113" s="798"/>
    </row>
    <row r="114" spans="1:12" s="967" customFormat="1">
      <c r="A114" s="2335"/>
      <c r="D114" s="2336"/>
      <c r="K114" s="798"/>
      <c r="L114" s="798"/>
    </row>
    <row r="115" spans="1:12" s="967" customFormat="1">
      <c r="A115" s="2335"/>
      <c r="D115" s="2336"/>
      <c r="K115" s="798"/>
      <c r="L115" s="798"/>
    </row>
    <row r="116" spans="1:12" s="967" customFormat="1">
      <c r="A116" s="2335"/>
      <c r="D116" s="2336"/>
      <c r="K116" s="798"/>
      <c r="L116" s="798"/>
    </row>
    <row r="117" spans="1:12" s="967" customFormat="1">
      <c r="A117" s="2335"/>
      <c r="D117" s="2336"/>
      <c r="K117" s="798"/>
      <c r="L117" s="798"/>
    </row>
    <row r="118" spans="1:12" s="967" customFormat="1">
      <c r="A118" s="2335"/>
      <c r="D118" s="2336"/>
      <c r="K118" s="798"/>
      <c r="L118" s="798"/>
    </row>
    <row r="119" spans="1:12" s="967" customFormat="1">
      <c r="A119" s="2335"/>
      <c r="D119" s="2336"/>
      <c r="K119" s="798"/>
      <c r="L119" s="798"/>
    </row>
    <row r="120" spans="1:12" s="967" customFormat="1">
      <c r="A120" s="2335"/>
      <c r="D120" s="2336"/>
      <c r="K120" s="798"/>
      <c r="L120" s="798"/>
    </row>
    <row r="121" spans="1:12" s="967" customFormat="1">
      <c r="A121" s="2335"/>
      <c r="D121" s="2336"/>
      <c r="K121" s="798"/>
      <c r="L121" s="798"/>
    </row>
    <row r="122" spans="1:12" s="967" customFormat="1">
      <c r="A122" s="2335"/>
      <c r="D122" s="2336"/>
      <c r="K122" s="798"/>
      <c r="L122" s="798"/>
    </row>
    <row r="123" spans="1:12" s="967" customFormat="1">
      <c r="A123" s="2335"/>
      <c r="D123" s="2336"/>
      <c r="K123" s="798"/>
      <c r="L123" s="798"/>
    </row>
    <row r="124" spans="1:12" s="967" customFormat="1">
      <c r="A124" s="2335"/>
      <c r="D124" s="2336"/>
      <c r="K124" s="798"/>
      <c r="L124" s="798"/>
    </row>
    <row r="125" spans="1:12" s="967" customFormat="1">
      <c r="A125" s="2335"/>
      <c r="D125" s="2336"/>
      <c r="K125" s="798"/>
      <c r="L125" s="798"/>
    </row>
    <row r="126" spans="1:12" s="967" customFormat="1">
      <c r="A126" s="2335"/>
      <c r="D126" s="2336"/>
      <c r="K126" s="798"/>
      <c r="L126" s="798"/>
    </row>
    <row r="127" spans="1:12" s="967" customFormat="1">
      <c r="A127" s="2335"/>
      <c r="D127" s="2336"/>
      <c r="K127" s="798"/>
      <c r="L127" s="798"/>
    </row>
    <row r="128" spans="1:12" s="967" customFormat="1">
      <c r="A128" s="2335"/>
      <c r="D128" s="2336"/>
      <c r="K128" s="798"/>
      <c r="L128" s="798"/>
    </row>
    <row r="129" spans="1:12" s="967" customFormat="1">
      <c r="A129" s="2335"/>
      <c r="D129" s="2336"/>
      <c r="K129" s="798"/>
      <c r="L129" s="798"/>
    </row>
    <row r="130" spans="1:12" s="967" customFormat="1">
      <c r="A130" s="2335"/>
      <c r="D130" s="2336"/>
      <c r="K130" s="798"/>
      <c r="L130" s="798"/>
    </row>
    <row r="131" spans="1:12" s="967" customFormat="1">
      <c r="A131" s="2335"/>
      <c r="D131" s="2336"/>
      <c r="K131" s="798"/>
      <c r="L131" s="798"/>
    </row>
    <row r="132" spans="1:12" s="967" customFormat="1">
      <c r="A132" s="2335"/>
      <c r="D132" s="2336"/>
      <c r="K132" s="798"/>
      <c r="L132" s="798"/>
    </row>
    <row r="133" spans="1:12" s="967" customFormat="1">
      <c r="A133" s="2335"/>
      <c r="D133" s="2336"/>
      <c r="K133" s="798"/>
      <c r="L133" s="798"/>
    </row>
    <row r="134" spans="1:12" s="2269" customFormat="1">
      <c r="A134" s="2337"/>
      <c r="D134" s="2338"/>
      <c r="K134" s="27"/>
      <c r="L134" s="27"/>
    </row>
    <row r="135" spans="1:12" s="2269" customFormat="1">
      <c r="A135" s="2337"/>
      <c r="D135" s="2338"/>
      <c r="K135" s="27"/>
      <c r="L135" s="27"/>
    </row>
    <row r="136" spans="1:12" s="2269" customFormat="1">
      <c r="A136" s="2337"/>
      <c r="D136" s="2338"/>
      <c r="K136" s="27"/>
      <c r="L136" s="27"/>
    </row>
    <row r="137" spans="1:12" s="2269" customFormat="1">
      <c r="A137" s="2337"/>
      <c r="D137" s="2338"/>
      <c r="K137" s="27"/>
      <c r="L137" s="27"/>
    </row>
    <row r="138" spans="1:12" s="2269" customFormat="1">
      <c r="A138" s="2337"/>
      <c r="D138" s="2338"/>
      <c r="K138" s="27"/>
      <c r="L138" s="27"/>
    </row>
    <row r="139" spans="1:12" s="2269" customFormat="1">
      <c r="A139" s="2337"/>
      <c r="D139" s="2338"/>
      <c r="K139" s="27"/>
      <c r="L139" s="27"/>
    </row>
    <row r="140" spans="1:12" s="2269" customFormat="1">
      <c r="A140" s="2337"/>
      <c r="D140" s="2338"/>
      <c r="K140" s="27"/>
      <c r="L140" s="27"/>
    </row>
    <row r="141" spans="1:12" s="2269" customFormat="1">
      <c r="A141" s="2337"/>
      <c r="D141" s="2338"/>
      <c r="K141" s="27"/>
      <c r="L141" s="27"/>
    </row>
    <row r="142" spans="1:12" s="2269" customFormat="1">
      <c r="A142" s="2337"/>
      <c r="D142" s="2338"/>
      <c r="K142" s="27"/>
      <c r="L142" s="27"/>
    </row>
    <row r="143" spans="1:12" s="2269" customFormat="1">
      <c r="A143" s="2337"/>
      <c r="D143" s="2338"/>
      <c r="K143" s="27"/>
      <c r="L143" s="27"/>
    </row>
    <row r="144" spans="1:12" s="2269" customFormat="1">
      <c r="A144" s="2337"/>
      <c r="D144" s="2338"/>
      <c r="K144" s="27"/>
      <c r="L144" s="27"/>
    </row>
    <row r="145" spans="1:12" s="2269" customFormat="1">
      <c r="A145" s="2337"/>
      <c r="D145" s="2338"/>
      <c r="K145" s="27"/>
      <c r="L145" s="27"/>
    </row>
    <row r="146" spans="1:12" s="2269" customFormat="1">
      <c r="A146" s="2337"/>
      <c r="D146" s="2338"/>
      <c r="K146" s="27"/>
      <c r="L146" s="27"/>
    </row>
    <row r="147" spans="1:12" s="2269" customFormat="1">
      <c r="A147" s="2337"/>
      <c r="D147" s="2338"/>
      <c r="K147" s="27"/>
      <c r="L147" s="27"/>
    </row>
    <row r="148" spans="1:12" s="2269" customFormat="1">
      <c r="A148" s="2337"/>
      <c r="D148" s="2338"/>
      <c r="K148" s="27"/>
      <c r="L148" s="27"/>
    </row>
    <row r="149" spans="1:12" s="2269" customFormat="1">
      <c r="A149" s="2337"/>
      <c r="D149" s="2338"/>
      <c r="K149" s="27"/>
      <c r="L149" s="27"/>
    </row>
    <row r="150" spans="1:12" s="2269" customFormat="1">
      <c r="A150" s="2337"/>
      <c r="D150" s="2338"/>
      <c r="K150" s="27"/>
      <c r="L150" s="27"/>
    </row>
    <row r="151" spans="1:12" s="2269" customFormat="1">
      <c r="A151" s="2337"/>
      <c r="D151" s="2338"/>
      <c r="K151" s="27"/>
      <c r="L151" s="27"/>
    </row>
    <row r="152" spans="1:12" s="2269" customFormat="1">
      <c r="A152" s="2337"/>
      <c r="D152" s="2338"/>
      <c r="K152" s="27"/>
      <c r="L152" s="27"/>
    </row>
    <row r="153" spans="1:12" s="2269" customFormat="1">
      <c r="A153" s="2337"/>
      <c r="D153" s="2338"/>
      <c r="K153" s="27"/>
      <c r="L153" s="27"/>
    </row>
    <row r="154" spans="1:12" s="2269" customFormat="1">
      <c r="A154" s="2337"/>
      <c r="D154" s="2338"/>
      <c r="K154" s="27"/>
      <c r="L154" s="27"/>
    </row>
    <row r="155" spans="1:12" s="2269" customFormat="1">
      <c r="A155" s="2337"/>
      <c r="D155" s="2338"/>
      <c r="K155" s="27"/>
      <c r="L155" s="27"/>
    </row>
    <row r="156" spans="1:12" s="2269" customFormat="1">
      <c r="A156" s="2337"/>
      <c r="D156" s="2338"/>
      <c r="K156" s="27"/>
      <c r="L156" s="27"/>
    </row>
    <row r="157" spans="1:12" s="2269" customFormat="1">
      <c r="A157" s="2337"/>
      <c r="D157" s="2338"/>
      <c r="K157" s="27"/>
      <c r="L157" s="27"/>
    </row>
    <row r="158" spans="1:12" s="2269" customFormat="1">
      <c r="A158" s="2337"/>
      <c r="D158" s="2338"/>
      <c r="K158" s="27"/>
      <c r="L158" s="27"/>
    </row>
    <row r="159" spans="1:12" s="2269" customFormat="1">
      <c r="A159" s="2337"/>
      <c r="D159" s="2338"/>
      <c r="K159" s="27"/>
      <c r="L159" s="27"/>
    </row>
    <row r="160" spans="1:12" s="2269" customFormat="1">
      <c r="A160" s="2337"/>
      <c r="D160" s="2338"/>
      <c r="K160" s="27"/>
      <c r="L160" s="27"/>
    </row>
    <row r="161" spans="1:12" s="2269" customFormat="1">
      <c r="A161" s="2337"/>
      <c r="D161" s="2338"/>
      <c r="K161" s="27"/>
      <c r="L161" s="27"/>
    </row>
    <row r="162" spans="1:12" s="2269" customFormat="1">
      <c r="A162" s="2337"/>
      <c r="D162" s="2338"/>
      <c r="K162" s="27"/>
      <c r="L162" s="27"/>
    </row>
    <row r="163" spans="1:12" s="2269" customFormat="1">
      <c r="A163" s="2337"/>
      <c r="D163" s="2338"/>
      <c r="K163" s="27"/>
      <c r="L163" s="27"/>
    </row>
    <row r="164" spans="1:12" s="2269" customFormat="1">
      <c r="A164" s="2337"/>
      <c r="D164" s="2338"/>
      <c r="K164" s="27"/>
      <c r="L164" s="27"/>
    </row>
    <row r="165" spans="1:12" s="2269" customFormat="1">
      <c r="A165" s="2337"/>
      <c r="D165" s="2338"/>
      <c r="K165" s="27"/>
      <c r="L165" s="27"/>
    </row>
    <row r="166" spans="1:12" s="2269" customFormat="1">
      <c r="A166" s="2337"/>
      <c r="D166" s="2338"/>
      <c r="K166" s="27"/>
      <c r="L166" s="27"/>
    </row>
    <row r="167" spans="1:12" s="2269" customFormat="1">
      <c r="A167" s="2337"/>
      <c r="D167" s="2338"/>
      <c r="K167" s="27"/>
      <c r="L167" s="27"/>
    </row>
    <row r="168" spans="1:12" s="2269" customFormat="1">
      <c r="A168" s="2337"/>
      <c r="D168" s="2338"/>
      <c r="K168" s="27"/>
      <c r="L168" s="27"/>
    </row>
    <row r="169" spans="1:12" s="2269" customFormat="1">
      <c r="A169" s="2337"/>
      <c r="D169" s="2338"/>
      <c r="K169" s="27"/>
      <c r="L169" s="27"/>
    </row>
    <row r="170" spans="1:12" s="2269" customFormat="1">
      <c r="A170" s="2337"/>
      <c r="D170" s="2338"/>
      <c r="K170" s="27"/>
      <c r="L170" s="27"/>
    </row>
    <row r="171" spans="1:12" s="2269" customFormat="1">
      <c r="A171" s="2337"/>
      <c r="D171" s="2338"/>
      <c r="K171" s="27"/>
      <c r="L171" s="27"/>
    </row>
    <row r="172" spans="1:12" s="2269" customFormat="1">
      <c r="A172" s="2337"/>
      <c r="D172" s="2338"/>
      <c r="K172" s="27"/>
      <c r="L172" s="27"/>
    </row>
    <row r="173" spans="1:12" s="2269" customFormat="1">
      <c r="A173" s="2337"/>
      <c r="D173" s="2338"/>
      <c r="K173" s="27"/>
      <c r="L173" s="27"/>
    </row>
    <row r="174" spans="1:12" s="2269"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23" sqref="K23"/>
    </sheetView>
  </sheetViews>
  <sheetFormatPr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57" t="s">
        <v>2078</v>
      </c>
      <c r="B1" s="3058"/>
      <c r="C1" s="3058"/>
      <c r="D1" s="3058"/>
      <c r="E1" s="3058"/>
      <c r="F1" s="3058"/>
      <c r="G1" s="3058"/>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2079</v>
      </c>
      <c r="D2" s="2360"/>
      <c r="E2" s="2361"/>
      <c r="F2" s="2281"/>
      <c r="G2" s="2359" t="s">
        <v>2080</v>
      </c>
      <c r="H2" s="2362"/>
      <c r="I2" s="2362"/>
      <c r="J2" s="2362"/>
      <c r="K2" s="2362"/>
      <c r="L2" s="2362"/>
      <c r="M2" s="2362"/>
      <c r="N2" s="2362"/>
      <c r="O2" s="2362"/>
      <c r="P2" s="2362"/>
      <c r="Q2" s="2362"/>
      <c r="R2" s="2362"/>
    </row>
    <row r="3" spans="1:29" ht="81">
      <c r="A3" s="415" t="s">
        <v>2081</v>
      </c>
      <c r="B3" s="1271" t="s">
        <v>2082</v>
      </c>
      <c r="C3" s="2948" t="s">
        <v>3124</v>
      </c>
      <c r="D3" s="2364"/>
      <c r="E3" s="431" t="s">
        <v>2081</v>
      </c>
      <c r="F3" s="2365" t="s">
        <v>2083</v>
      </c>
      <c r="G3" s="2366" t="s">
        <v>2084</v>
      </c>
      <c r="H3" s="2362"/>
      <c r="I3" s="2362"/>
      <c r="J3" s="2362"/>
      <c r="K3" s="2362"/>
      <c r="L3" s="2362"/>
      <c r="M3" s="2362"/>
      <c r="N3" s="2362"/>
      <c r="O3" s="2362"/>
      <c r="P3" s="2362"/>
      <c r="Q3" s="2362"/>
      <c r="R3" s="2362"/>
    </row>
    <row r="4" spans="1:29" ht="54">
      <c r="A4" s="431"/>
      <c r="B4" s="1797" t="s">
        <v>2085</v>
      </c>
      <c r="C4" s="2949" t="s">
        <v>3125</v>
      </c>
      <c r="D4" s="2364"/>
      <c r="E4" s="2368"/>
      <c r="F4" s="42" t="s">
        <v>2086</v>
      </c>
      <c r="G4" s="2369" t="s">
        <v>2087</v>
      </c>
      <c r="H4" s="2362"/>
      <c r="I4" s="2362"/>
      <c r="J4" s="2362"/>
      <c r="K4" s="2362"/>
      <c r="L4" s="2362"/>
      <c r="M4" s="2362"/>
      <c r="N4" s="2362"/>
      <c r="O4" s="2362"/>
      <c r="P4" s="2362"/>
      <c r="Q4" s="2362"/>
      <c r="R4" s="2362"/>
    </row>
    <row r="5" spans="1:29" ht="27">
      <c r="A5" s="431"/>
      <c r="B5" s="1797" t="s">
        <v>2088</v>
      </c>
      <c r="C5" s="2367"/>
      <c r="D5" s="2364"/>
      <c r="E5" s="2368"/>
      <c r="F5" s="1797" t="s">
        <v>2089</v>
      </c>
      <c r="G5" s="2369" t="s">
        <v>2090</v>
      </c>
      <c r="H5" s="2362"/>
      <c r="I5" s="2362"/>
      <c r="J5" s="2362"/>
      <c r="K5" s="2362"/>
      <c r="L5" s="2362"/>
      <c r="M5" s="2362"/>
      <c r="N5" s="2362"/>
      <c r="O5" s="2362"/>
      <c r="P5" s="2362"/>
      <c r="Q5" s="2362"/>
      <c r="R5" s="2362"/>
    </row>
    <row r="6" spans="1:29" ht="94.5">
      <c r="A6" s="431"/>
      <c r="B6" s="1797" t="s">
        <v>2091</v>
      </c>
      <c r="C6" s="2950" t="s">
        <v>3126</v>
      </c>
      <c r="D6" s="2364"/>
      <c r="E6" s="2368"/>
      <c r="F6" s="1797" t="s">
        <v>2092</v>
      </c>
      <c r="G6" s="2369" t="s">
        <v>2093</v>
      </c>
      <c r="H6" s="2362"/>
      <c r="I6" s="2362"/>
      <c r="J6" s="2362"/>
      <c r="K6" s="2362"/>
      <c r="L6" s="2362"/>
      <c r="M6" s="2362"/>
      <c r="N6" s="2362"/>
      <c r="O6" s="2362"/>
      <c r="P6" s="2362"/>
      <c r="Q6" s="2362"/>
      <c r="R6" s="2362"/>
    </row>
    <row r="7" spans="1:29" ht="122.25" thickBot="1">
      <c r="A7" s="431"/>
      <c r="B7" s="1797" t="s">
        <v>2089</v>
      </c>
      <c r="C7" s="2950" t="s">
        <v>3127</v>
      </c>
      <c r="D7" s="2370"/>
      <c r="E7" s="2371"/>
      <c r="F7" s="2372" t="s">
        <v>2094</v>
      </c>
      <c r="G7" s="2373" t="s">
        <v>2095</v>
      </c>
      <c r="H7" s="2362"/>
      <c r="I7" s="2362"/>
      <c r="J7" s="2362"/>
      <c r="K7" s="2362"/>
      <c r="L7" s="2362"/>
      <c r="M7" s="2362"/>
      <c r="N7" s="2362"/>
      <c r="O7" s="2362"/>
      <c r="P7" s="2362"/>
      <c r="Q7" s="2362"/>
      <c r="R7" s="2362"/>
    </row>
    <row r="8" spans="1:29" ht="27">
      <c r="A8" s="431"/>
      <c r="B8" s="1797" t="s">
        <v>2092</v>
      </c>
      <c r="C8" s="2950" t="s">
        <v>3128</v>
      </c>
      <c r="D8" s="2370"/>
      <c r="E8" s="2370"/>
      <c r="F8" s="1136"/>
      <c r="G8" s="1136"/>
      <c r="H8" s="2362"/>
      <c r="I8" s="2362"/>
      <c r="J8" s="2362"/>
      <c r="K8" s="2362"/>
      <c r="L8" s="2362"/>
      <c r="M8" s="2362"/>
      <c r="N8" s="2362"/>
      <c r="O8" s="2362"/>
      <c r="P8" s="2362"/>
      <c r="Q8" s="2362"/>
      <c r="R8" s="2362"/>
    </row>
    <row r="9" spans="1:29" ht="54">
      <c r="A9" s="431"/>
      <c r="B9" s="1797" t="s">
        <v>2096</v>
      </c>
      <c r="C9" s="2949" t="s">
        <v>3129</v>
      </c>
      <c r="D9" s="2364"/>
      <c r="E9" s="2370"/>
      <c r="F9" s="1136"/>
      <c r="G9" s="1136"/>
      <c r="H9" s="2362"/>
      <c r="I9" s="2362"/>
      <c r="J9" s="2362"/>
      <c r="K9" s="2362"/>
      <c r="L9" s="2362"/>
      <c r="M9" s="2362"/>
      <c r="N9" s="2362"/>
      <c r="O9" s="2362"/>
      <c r="P9" s="2362"/>
      <c r="Q9" s="2362"/>
      <c r="R9" s="2362"/>
    </row>
    <row r="10" spans="1:29" s="117" customFormat="1" ht="15.75" thickBot="1">
      <c r="A10" s="2374"/>
      <c r="B10" s="2375" t="s">
        <v>2097</v>
      </c>
      <c r="C10" s="2376" t="s">
        <v>3130</v>
      </c>
      <c r="D10" s="2364"/>
      <c r="E10" s="2364"/>
      <c r="F10" s="1136"/>
      <c r="G10" s="1136"/>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4"/>
      <c r="D11" s="2364"/>
      <c r="E11" s="2364"/>
      <c r="F11" s="2370"/>
      <c r="G11" s="1154"/>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4"/>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2098</v>
      </c>
      <c r="B13" s="2381"/>
      <c r="C13" s="2381"/>
      <c r="D13" s="2388"/>
      <c r="E13" s="2381"/>
      <c r="F13" s="2381"/>
      <c r="G13" s="2381"/>
    </row>
    <row r="14" spans="1:29" ht="15.75" thickBot="1">
      <c r="A14" s="2392"/>
      <c r="B14" s="2393"/>
      <c r="C14" s="2394" t="s">
        <v>2099</v>
      </c>
      <c r="D14" s="2364"/>
      <c r="E14" s="2395"/>
      <c r="F14" s="2395"/>
      <c r="G14" s="2359" t="s">
        <v>2100</v>
      </c>
    </row>
    <row r="15" spans="1:29" ht="85.5">
      <c r="A15" s="68" t="s">
        <v>2101</v>
      </c>
      <c r="B15" s="1270" t="s">
        <v>2082</v>
      </c>
      <c r="C15" s="2396" t="str">
        <f>C3</f>
        <v>估价对象周边居住用地比例较大、居住小区规模较大和社区发展完善程度较好，有远景庄园、碧桂园海昌天澜等住宅项目，综合评价居住社区成熟度较好。</v>
      </c>
      <c r="D15" s="2364"/>
      <c r="E15" s="2397" t="s">
        <v>2102</v>
      </c>
      <c r="F15" s="1270" t="s">
        <v>2103</v>
      </c>
      <c r="G15" s="135" t="str">
        <f>G3</f>
        <v>估价对象位于XX开发区，园区建设成熟度XX，产业集聚程度XX</v>
      </c>
    </row>
    <row r="16" spans="1:29" ht="57">
      <c r="A16" s="645"/>
      <c r="B16" s="2398" t="s">
        <v>2085</v>
      </c>
      <c r="C16" s="2399" t="str">
        <f>C4</f>
        <v>估价对象位于天津市滨海新区响螺湾地区，周边商业氛围成熟度一般，人流量一般，商业繁华度一般。</v>
      </c>
      <c r="D16" s="2364"/>
      <c r="E16" s="2400"/>
      <c r="F16" s="2401" t="s">
        <v>2086</v>
      </c>
      <c r="G16" s="136" t="str">
        <f>G4</f>
        <v>估价对象周边道路状况、公共交通通达情况、停车便捷程度，综合评价交通便捷度较好</v>
      </c>
    </row>
    <row r="17" spans="1:18" ht="15">
      <c r="A17" s="645"/>
      <c r="B17" s="2398" t="s">
        <v>2088</v>
      </c>
      <c r="C17" s="2399">
        <f>C5</f>
        <v>0</v>
      </c>
      <c r="D17" s="2370"/>
      <c r="E17" s="2400"/>
      <c r="F17" s="2401" t="s">
        <v>2104</v>
      </c>
      <c r="G17" s="1571"/>
    </row>
    <row r="18" spans="1:18" ht="99.75">
      <c r="A18" s="645"/>
      <c r="B18" s="2401" t="s">
        <v>2091</v>
      </c>
      <c r="C18" s="136" t="str">
        <f>C6</f>
        <v>估价对象紧邻城市支路——大新路、安阳道，周边路网密集程度一般、公共交通通达情况一般，有821、529路等公共交通，停车便捷程度一般，综合评价交通便捷度一般。</v>
      </c>
      <c r="D18" s="2370"/>
      <c r="E18" s="2400"/>
      <c r="F18" s="2401" t="s">
        <v>2094</v>
      </c>
      <c r="G18" s="136" t="str">
        <f>G7</f>
        <v>该园区内是否有污染型企业，绿化情况，卫生条件，整体环境状况判断</v>
      </c>
    </row>
    <row r="19" spans="1:18" ht="28.5">
      <c r="A19" s="645"/>
      <c r="B19" s="2401" t="s">
        <v>2105</v>
      </c>
      <c r="C19" s="2951" t="s">
        <v>3131</v>
      </c>
      <c r="D19" s="2364"/>
      <c r="E19" s="2400"/>
      <c r="F19" s="1797" t="s">
        <v>2089</v>
      </c>
      <c r="G19" s="136" t="str">
        <f>G5</f>
        <v>估价对象所在区域公共配套设施齐备情况</v>
      </c>
    </row>
    <row r="20" spans="1:18" ht="57">
      <c r="A20" s="645"/>
      <c r="B20" s="2401" t="s">
        <v>2106</v>
      </c>
      <c r="C20" s="2399" t="str">
        <f>C9</f>
        <v>区域自然环境：彩带公园；人文环境：无博物馆、展览馆等人文景观；综合评价环境状况一般。</v>
      </c>
      <c r="D20" s="2370"/>
      <c r="E20" s="2400"/>
      <c r="F20" s="1797" t="s">
        <v>2107</v>
      </c>
      <c r="G20" s="136" t="str">
        <f>G6</f>
        <v>估价对象所在区域基础设施水平</v>
      </c>
    </row>
    <row r="21" spans="1:18" ht="128.25">
      <c r="A21" s="645"/>
      <c r="B21" s="1797" t="s">
        <v>2089</v>
      </c>
      <c r="C21" s="136" t="str">
        <f>C7</f>
        <v>估价对象所在区域2公里范围内有：银行（天津滨海惠民村镇银行、中信银行），购物（宝龙广场、保华突查百货），医院（响螺湾医院），学校（滨海新区幸福幼儿园、塘沽盐场小学）等，公共配套设施齐备情况较好。</v>
      </c>
      <c r="D21" s="2364"/>
      <c r="E21" s="2400"/>
      <c r="F21" s="2401" t="s">
        <v>2108</v>
      </c>
      <c r="G21" s="2402"/>
    </row>
    <row r="22" spans="1:18" ht="13.5" customHeight="1">
      <c r="A22" s="645"/>
      <c r="B22" s="1797" t="s">
        <v>2092</v>
      </c>
      <c r="C22" s="136" t="str">
        <f>C8</f>
        <v>估价对象所在区域基础设施水平达到“七通”。</v>
      </c>
      <c r="D22" s="2364"/>
      <c r="E22" s="2400"/>
      <c r="F22" s="2401" t="s">
        <v>2097</v>
      </c>
      <c r="G22" s="1571"/>
    </row>
    <row r="23" spans="1:18" s="2362" customFormat="1" ht="15.75" thickBot="1">
      <c r="A23" s="645"/>
      <c r="B23" s="2401" t="s">
        <v>2108</v>
      </c>
      <c r="C23" s="2402" t="s">
        <v>3132</v>
      </c>
      <c r="D23" s="2389"/>
      <c r="E23" s="2403"/>
      <c r="F23" s="2404" t="s">
        <v>2109</v>
      </c>
      <c r="G23" s="2405"/>
      <c r="H23" s="2389"/>
      <c r="I23" s="2390"/>
      <c r="J23" s="2389"/>
      <c r="K23" s="2389"/>
      <c r="L23" s="2390"/>
      <c r="M23" s="2389"/>
      <c r="N23" s="2389"/>
      <c r="O23" s="2390"/>
      <c r="P23" s="2389"/>
      <c r="Q23" s="2389"/>
      <c r="R23" s="2391"/>
    </row>
    <row r="24" spans="1:18" s="2362" customFormat="1" ht="15.75" thickBot="1">
      <c r="A24" s="2406"/>
      <c r="B24" s="2404" t="s">
        <v>2110</v>
      </c>
      <c r="C24" s="137" t="str">
        <f>C10</f>
        <v>城市支路——大新路</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6" sqref="C16"/>
    </sheetView>
  </sheetViews>
  <sheetFormatPr defaultRowHeight="13.5"/>
  <cols>
    <col min="1" max="1" width="23.375" style="1740" customWidth="1"/>
    <col min="2" max="9" width="15.75" style="1740" customWidth="1"/>
    <col min="10" max="16384" width="9" style="1740"/>
  </cols>
  <sheetData>
    <row r="1" spans="1:10" ht="16.5">
      <c r="A1" s="1745" t="s">
        <v>1365</v>
      </c>
      <c r="B1" s="1745">
        <f>SUM(B14:B23)</f>
        <v>322022.70999999996</v>
      </c>
      <c r="C1" s="1744"/>
      <c r="D1" s="1744"/>
      <c r="E1" s="1744"/>
      <c r="F1" s="1744"/>
      <c r="G1" s="1742"/>
    </row>
    <row r="2" spans="1:10" ht="16.5">
      <c r="A2" s="1745" t="s">
        <v>1353</v>
      </c>
      <c r="B2" s="1745">
        <f>SUM(C14:C23)</f>
        <v>106984.7</v>
      </c>
      <c r="C2" s="1744"/>
      <c r="D2" s="1744"/>
      <c r="E2" s="1744"/>
      <c r="F2" s="1744"/>
      <c r="G2" s="1742"/>
    </row>
    <row r="3" spans="1:10" ht="16.5">
      <c r="A3" s="1745" t="s">
        <v>1362</v>
      </c>
      <c r="B3" s="1746">
        <f>项目基本情况!D3</f>
        <v>43279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482925</v>
      </c>
      <c r="C5" s="1745">
        <f ca="1">ROUND(B5*10000/$B$1,0)</f>
        <v>14997</v>
      </c>
      <c r="D5" s="1745">
        <f ca="1">ROUND(B5*10000/$B$2,0)</f>
        <v>45140</v>
      </c>
      <c r="E5" s="1744"/>
      <c r="F5" s="1742"/>
      <c r="G5" s="1742"/>
    </row>
    <row r="6" spans="1:10" ht="16.5">
      <c r="A6" s="1745" t="s">
        <v>1356</v>
      </c>
      <c r="B6" s="1745">
        <f ca="1">SUM(G14:G23)</f>
        <v>482925</v>
      </c>
      <c r="C6" s="1745">
        <f ca="1">ROUND(B6*10000/$B$1,0)</f>
        <v>14997</v>
      </c>
      <c r="D6" s="1745">
        <f ca="1">ROUND(B6*10000/$B$2,0)</f>
        <v>45140</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67341.78</v>
      </c>
      <c r="C14" s="1743">
        <f>结果表!C118</f>
        <v>22451.59</v>
      </c>
      <c r="D14" s="1743">
        <f ca="1">结果表!H118</f>
        <v>119535</v>
      </c>
      <c r="E14" s="1743">
        <f ca="1">ROUND(D14*10000/B14,0)</f>
        <v>17750</v>
      </c>
      <c r="F14" s="1743">
        <f ca="1">ROUND(D14*10000/C14,0)</f>
        <v>53241</v>
      </c>
      <c r="G14" s="1743">
        <f ca="1">结果表!D122</f>
        <v>119535</v>
      </c>
      <c r="H14" s="1743" t="str">
        <f>结果表!D124</f>
        <v>——</v>
      </c>
      <c r="I14" s="1743" t="str">
        <f>结果表!D126</f>
        <v>——</v>
      </c>
      <c r="J14" s="1742"/>
    </row>
    <row r="15" spans="1:10" ht="16.5">
      <c r="A15" s="1741" t="s">
        <v>1349</v>
      </c>
      <c r="B15" s="1748">
        <f>[1]系统读取表!$B$14</f>
        <v>254680.93</v>
      </c>
      <c r="C15" s="1748">
        <f>[1]系统读取表!$C$14</f>
        <v>84533.11</v>
      </c>
      <c r="D15" s="1748">
        <f ca="1">[1]系统读取表!$D$14</f>
        <v>363390</v>
      </c>
      <c r="E15" s="1743">
        <f t="shared" ref="E15:E23" ca="1" si="0">ROUND(D15*10000/B15,0)</f>
        <v>14268</v>
      </c>
      <c r="F15" s="1743">
        <f t="shared" ref="F15:F23" ca="1" si="1">ROUND(D15*10000/C15,0)</f>
        <v>42988</v>
      </c>
      <c r="G15" s="1749">
        <f ca="1">[1]系统读取表!$G$14</f>
        <v>363390</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E10" zoomScaleNormal="100" zoomScaleSheetLayoutView="100" zoomScalePageLayoutView="80" workbookViewId="0">
      <selection activeCell="J24" sqref="J24"/>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2111</v>
      </c>
      <c r="B1" s="2412"/>
      <c r="C1" s="2413"/>
      <c r="D1" s="2412"/>
      <c r="E1" s="2412"/>
      <c r="F1" s="2414" t="s">
        <v>2112</v>
      </c>
      <c r="G1" s="2068" t="s">
        <v>2113</v>
      </c>
      <c r="H1" s="2415" t="str">
        <f>IF(G1="现房","——","估价对象范围")</f>
        <v>估价对象范围</v>
      </c>
      <c r="I1" s="2416" t="s">
        <v>3211</v>
      </c>
    </row>
    <row r="2" spans="1:12" ht="21.75" customHeight="1" thickBot="1">
      <c r="A2" s="3092" t="e">
        <f>项目基本情况!S2</f>
        <v>#REF!</v>
      </c>
      <c r="B2" s="3093"/>
      <c r="C2" s="3093"/>
      <c r="D2" s="3093"/>
      <c r="E2" s="3093"/>
      <c r="F2" s="3093"/>
      <c r="G2" s="3093"/>
      <c r="H2" s="3093"/>
      <c r="I2" s="3094"/>
    </row>
    <row r="3" spans="1:12" ht="12.75">
      <c r="A3" s="3096" t="s">
        <v>2114</v>
      </c>
      <c r="B3" s="3097"/>
      <c r="C3" s="3097"/>
      <c r="D3" s="3097"/>
      <c r="E3" s="3097"/>
      <c r="F3" s="3097"/>
      <c r="G3" s="3097"/>
      <c r="H3" s="3097"/>
      <c r="I3" s="3097"/>
    </row>
    <row r="4" spans="1:12" ht="14.25">
      <c r="A4" s="2419" t="s">
        <v>2115</v>
      </c>
      <c r="B4" s="2420" t="s">
        <v>2116</v>
      </c>
      <c r="C4" s="2421" t="s">
        <v>3209</v>
      </c>
      <c r="D4" s="2421" t="s">
        <v>3210</v>
      </c>
      <c r="E4" s="3089" t="s">
        <v>2117</v>
      </c>
      <c r="F4" s="3090"/>
      <c r="G4" s="3090"/>
      <c r="H4" s="3090"/>
      <c r="I4" s="3098"/>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072" t="s">
        <v>2118</v>
      </c>
      <c r="B5" s="3010">
        <v>25</v>
      </c>
      <c r="C5" s="3075"/>
      <c r="D5" s="3095"/>
      <c r="E5" s="140" t="s">
        <v>2119</v>
      </c>
      <c r="F5" s="2423"/>
      <c r="G5" s="2423"/>
      <c r="H5" s="2423"/>
      <c r="I5" s="1833"/>
    </row>
    <row r="6" spans="1:12" ht="12.75">
      <c r="A6" s="3072"/>
      <c r="B6" s="3010"/>
      <c r="C6" s="3076"/>
      <c r="D6" s="3095"/>
      <c r="E6" s="140" t="s">
        <v>2120</v>
      </c>
      <c r="F6" s="2423"/>
      <c r="G6" s="2423"/>
      <c r="H6" s="2423"/>
      <c r="I6" s="1833"/>
    </row>
    <row r="7" spans="1:12" ht="12.75">
      <c r="A7" s="3072"/>
      <c r="B7" s="3010"/>
      <c r="C7" s="3077"/>
      <c r="D7" s="3095"/>
      <c r="E7" s="140" t="s">
        <v>2121</v>
      </c>
      <c r="F7" s="2423"/>
      <c r="G7" s="2423"/>
      <c r="H7" s="2423"/>
      <c r="I7" s="1833"/>
    </row>
    <row r="8" spans="1:12" ht="12.75">
      <c r="A8" s="3072" t="s">
        <v>2122</v>
      </c>
      <c r="B8" s="3010">
        <v>15</v>
      </c>
      <c r="C8" s="3075"/>
      <c r="D8" s="3095"/>
      <c r="E8" s="140" t="s">
        <v>2123</v>
      </c>
      <c r="F8" s="2423"/>
      <c r="G8" s="2423"/>
      <c r="H8" s="2423"/>
      <c r="I8" s="1833"/>
    </row>
    <row r="9" spans="1:12" ht="12.75">
      <c r="A9" s="3072"/>
      <c r="B9" s="3010"/>
      <c r="C9" s="3077"/>
      <c r="D9" s="3095"/>
      <c r="E9" s="140" t="s">
        <v>2124</v>
      </c>
      <c r="F9" s="2423"/>
      <c r="G9" s="2423"/>
      <c r="H9" s="2423"/>
      <c r="I9" s="1833"/>
    </row>
    <row r="10" spans="1:12" ht="12.75">
      <c r="A10" s="3072" t="s">
        <v>2125</v>
      </c>
      <c r="B10" s="3010">
        <v>15</v>
      </c>
      <c r="C10" s="3075"/>
      <c r="D10" s="3095"/>
      <c r="E10" s="140" t="s">
        <v>2126</v>
      </c>
      <c r="F10" s="2423"/>
      <c r="G10" s="2423"/>
      <c r="H10" s="2423"/>
      <c r="I10" s="1833"/>
    </row>
    <row r="11" spans="1:12" ht="12.75">
      <c r="A11" s="3072"/>
      <c r="B11" s="3010"/>
      <c r="C11" s="3077"/>
      <c r="D11" s="3095"/>
      <c r="E11" s="140" t="s">
        <v>2127</v>
      </c>
      <c r="F11" s="2423"/>
      <c r="G11" s="2423"/>
      <c r="H11" s="2423"/>
      <c r="I11" s="1833"/>
    </row>
    <row r="12" spans="1:12" ht="12.75">
      <c r="A12" s="3072" t="s">
        <v>2128</v>
      </c>
      <c r="B12" s="3010">
        <v>15</v>
      </c>
      <c r="C12" s="3075"/>
      <c r="D12" s="3095"/>
      <c r="E12" s="140" t="s">
        <v>2129</v>
      </c>
      <c r="F12" s="2423"/>
      <c r="G12" s="2423"/>
      <c r="H12" s="2423"/>
      <c r="I12" s="1833"/>
    </row>
    <row r="13" spans="1:12" ht="12.75">
      <c r="A13" s="3072"/>
      <c r="B13" s="3010"/>
      <c r="C13" s="3077"/>
      <c r="D13" s="3095"/>
      <c r="E13" s="140" t="s">
        <v>2130</v>
      </c>
      <c r="F13" s="2423"/>
      <c r="G13" s="2423"/>
      <c r="H13" s="2423"/>
      <c r="I13" s="1833"/>
    </row>
    <row r="14" spans="1:12" ht="12.75">
      <c r="A14" s="3072" t="s">
        <v>2131</v>
      </c>
      <c r="B14" s="3010">
        <v>30</v>
      </c>
      <c r="C14" s="3075">
        <v>5</v>
      </c>
      <c r="D14" s="3095">
        <v>5</v>
      </c>
      <c r="E14" s="140" t="s">
        <v>2132</v>
      </c>
      <c r="F14" s="2423"/>
      <c r="G14" s="2423"/>
      <c r="H14" s="2423"/>
      <c r="I14" s="1833"/>
    </row>
    <row r="15" spans="1:12" ht="12.75">
      <c r="A15" s="3072"/>
      <c r="B15" s="3010"/>
      <c r="C15" s="3076"/>
      <c r="D15" s="3095"/>
      <c r="E15" s="140" t="s">
        <v>2133</v>
      </c>
      <c r="F15" s="2423"/>
      <c r="G15" s="2423"/>
      <c r="H15" s="2423"/>
      <c r="I15" s="1833"/>
    </row>
    <row r="16" spans="1:12" ht="12.75">
      <c r="A16" s="3072"/>
      <c r="B16" s="3010"/>
      <c r="C16" s="3077"/>
      <c r="D16" s="3095"/>
      <c r="E16" s="140" t="s">
        <v>2134</v>
      </c>
      <c r="F16" s="2423"/>
      <c r="G16" s="2423"/>
      <c r="H16" s="2423"/>
      <c r="I16" s="1833"/>
    </row>
    <row r="17" spans="1:35" ht="15">
      <c r="A17" s="2424" t="s">
        <v>2135</v>
      </c>
      <c r="B17" s="64"/>
      <c r="C17" s="141">
        <f>SUM(C5:C16)</f>
        <v>5</v>
      </c>
      <c r="D17" s="141">
        <f>SUM(D5:D16)</f>
        <v>5</v>
      </c>
      <c r="E17" s="138"/>
      <c r="F17" s="138"/>
      <c r="G17" s="138"/>
      <c r="H17" s="138"/>
      <c r="I17" s="138"/>
      <c r="K17" s="2422"/>
      <c r="L17" s="2425" t="s">
        <v>2136</v>
      </c>
      <c r="M17" s="2425" t="s">
        <v>2137</v>
      </c>
    </row>
    <row r="18" spans="1:35" ht="15.75" thickBot="1">
      <c r="A18" s="2426" t="s">
        <v>2138</v>
      </c>
      <c r="B18" s="2427"/>
      <c r="C18" s="142">
        <f>ROUND(C17/SUM(C17:D17),2)</f>
        <v>0.5</v>
      </c>
      <c r="D18" s="142">
        <f>1-C18</f>
        <v>0.5</v>
      </c>
      <c r="E18" s="138"/>
      <c r="F18" s="138"/>
      <c r="G18" s="138"/>
      <c r="H18" s="138"/>
      <c r="I18" s="138"/>
      <c r="K18" s="2422" t="s">
        <v>2139</v>
      </c>
      <c r="L18" s="2422">
        <f>IF(C1="",'数据-汇总表'!E3,SUMIF(项目类型,C1,'数据-汇总表'!E17:E26)+SUMIF(项目类型,C1,'数据-汇总表'!I17:I26))</f>
        <v>67341.78</v>
      </c>
      <c r="M18" s="2422">
        <f>IF(C1="",'数据-汇总表'!E3,SUMIF(项目类型,C1,'数据-汇总表'!E17:E26))</f>
        <v>67341.78</v>
      </c>
    </row>
    <row r="19" spans="1:35" ht="15">
      <c r="A19" s="2428" t="s">
        <v>2140</v>
      </c>
      <c r="B19" s="2429" t="s">
        <v>2141</v>
      </c>
      <c r="C19" s="143">
        <f ca="1">SUMIF(INDIRECT("'"&amp;C4&amp;"'"&amp;"!A:A"),结果表!B19,INDIRECT("'"&amp;C4&amp;"'"&amp;"!B:B"))</f>
        <v>121773</v>
      </c>
      <c r="D19" s="144">
        <f ca="1">SUMIF(INDIRECT("'"&amp;D4&amp;"'"&amp;"!A:A"),结果表!B19,INDIRECT("'"&amp;D4&amp;"'"&amp;"!B:B"))</f>
        <v>117296</v>
      </c>
      <c r="E19" s="2428" t="s">
        <v>2142</v>
      </c>
      <c r="F19" s="2429" t="s">
        <v>2141</v>
      </c>
      <c r="G19" s="145">
        <f ca="1">ROUND(C19*$C$18+D19*$D$18,0)</f>
        <v>119535</v>
      </c>
      <c r="H19" s="2430" t="s">
        <v>2143</v>
      </c>
      <c r="I19" s="138"/>
      <c r="J19" s="795">
        <f ca="1">G19+[1]结果表!$G$19</f>
        <v>482925</v>
      </c>
      <c r="K19" s="2422" t="s">
        <v>2144</v>
      </c>
      <c r="L19" s="2422">
        <f>IF(C1="",'数据-汇总表'!D3,SUMIF(项目类型,C1,'数据-汇总表'!D17:D26)+SUMIF(项目类型,C1,'数据-汇总表'!H17:H27))</f>
        <v>22451.59</v>
      </c>
      <c r="M19" s="2422">
        <f>IF(C1="",'数据-汇总表'!D3,SUMIF(项目类型,C1,'数据-汇总表'!D17:D26))</f>
        <v>22451.59</v>
      </c>
    </row>
    <row r="20" spans="1:35" ht="15">
      <c r="A20" s="2431"/>
      <c r="B20" s="1250" t="s">
        <v>2145</v>
      </c>
      <c r="C20" s="146">
        <f ca="1">SUMIF(INDIRECT("'"&amp;C4&amp;"'"&amp;"!A:A"),结果表!B20,INDIRECT("'"&amp;C4&amp;"'"&amp;"!B:B"))</f>
        <v>18083</v>
      </c>
      <c r="D20" s="147">
        <f ca="1">SUMIF(INDIRECT("'"&amp;D4&amp;"'"&amp;"!A:A"),结果表!B20,INDIRECT("'"&amp;D4&amp;"'"&amp;"!B:B"))</f>
        <v>17418</v>
      </c>
      <c r="E20" s="2431"/>
      <c r="F20" s="1250" t="s">
        <v>2145</v>
      </c>
      <c r="G20" s="148">
        <f ca="1">ROUND(C20*$C$18+D20*$D$18,0)</f>
        <v>17751</v>
      </c>
      <c r="H20" s="983" t="s">
        <v>2146</v>
      </c>
      <c r="I20" s="138"/>
    </row>
    <row r="21" spans="1:35" ht="15" customHeight="1" thickBot="1">
      <c r="A21" s="1003"/>
      <c r="B21" s="2432" t="s">
        <v>2147</v>
      </c>
      <c r="C21" s="789">
        <f ca="1">ROUND(C19*10000/L19,0)</f>
        <v>54238</v>
      </c>
      <c r="D21" s="790">
        <f ca="1">ROUND(D19*10000/L19,0)</f>
        <v>52244</v>
      </c>
      <c r="E21" s="1003"/>
      <c r="F21" s="2432" t="s">
        <v>2147</v>
      </c>
      <c r="G21" s="149">
        <f ca="1">ROUND(G19*10000/L19,0)</f>
        <v>53241</v>
      </c>
      <c r="H21" s="2433" t="s">
        <v>2146</v>
      </c>
      <c r="I21" s="138"/>
    </row>
    <row r="22" spans="1:35" ht="15" thickBot="1">
      <c r="A22" s="2276" t="s">
        <v>2148</v>
      </c>
      <c r="B22" s="2434"/>
      <c r="C22" s="2435"/>
      <c r="D22" s="791">
        <f ca="1">IF(C19&lt;D19,D19/C19-1,C19/D19-1)</f>
        <v>3.8168394489155544E-2</v>
      </c>
      <c r="E22" s="138"/>
      <c r="F22" s="138"/>
      <c r="G22" s="138"/>
      <c r="H22" s="138"/>
      <c r="I22" s="138"/>
    </row>
    <row r="23" spans="1:35" ht="13.5" thickBot="1">
      <c r="A23" s="2412"/>
      <c r="B23" s="2412"/>
      <c r="C23" s="2412"/>
      <c r="D23" s="2412"/>
      <c r="E23" s="138"/>
      <c r="F23" s="138"/>
      <c r="G23" s="138"/>
      <c r="H23" s="138"/>
      <c r="I23" s="138"/>
    </row>
    <row r="24" spans="1:35" ht="14.25">
      <c r="A24" s="3066" t="s">
        <v>2149</v>
      </c>
      <c r="B24" s="2429" t="s">
        <v>2141</v>
      </c>
      <c r="C24" s="145">
        <f>IF(B30=0,0,D30)</f>
        <v>0</v>
      </c>
      <c r="D24" s="2436"/>
      <c r="E24" s="138"/>
      <c r="F24" s="138"/>
      <c r="G24" s="138"/>
      <c r="H24" s="138"/>
      <c r="I24" s="138"/>
    </row>
    <row r="25" spans="1:35" ht="14.25">
      <c r="A25" s="3067"/>
      <c r="B25" s="1250" t="s">
        <v>2145</v>
      </c>
      <c r="C25" s="150">
        <f>IF(B30=0,0,C30)</f>
        <v>0</v>
      </c>
      <c r="D25" s="2437"/>
      <c r="E25" s="138"/>
      <c r="F25" s="138"/>
      <c r="G25" s="138"/>
      <c r="H25" s="138"/>
      <c r="I25" s="138"/>
    </row>
    <row r="26" spans="1:35" ht="13.5" customHeight="1">
      <c r="A26" s="2438" t="s">
        <v>2150</v>
      </c>
      <c r="B26" s="151" t="s">
        <v>2151</v>
      </c>
      <c r="C26" s="151" t="s">
        <v>2152</v>
      </c>
      <c r="D26" s="152" t="s">
        <v>2153</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2154</v>
      </c>
      <c r="B30" s="151"/>
      <c r="C30" s="151"/>
      <c r="D30" s="151"/>
      <c r="E30" s="2920" t="s">
        <v>3030</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2155</v>
      </c>
      <c r="B32" s="2442"/>
      <c r="C32" s="153">
        <f ca="1">IF(D32="总价",G19-C24,G20-C25)</f>
        <v>119535</v>
      </c>
      <c r="D32" s="2443" t="s">
        <v>2156</v>
      </c>
      <c r="E32" s="138"/>
      <c r="F32" s="138"/>
      <c r="G32" s="138"/>
      <c r="H32" s="138"/>
      <c r="I32" s="138"/>
    </row>
    <row r="33" spans="1:15" ht="15">
      <c r="A33" s="960" t="s">
        <v>2157</v>
      </c>
      <c r="B33" s="2444"/>
      <c r="C33" s="2445" t="s">
        <v>3212</v>
      </c>
      <c r="D33" s="2446" t="s">
        <v>3209</v>
      </c>
      <c r="E33" s="2447" t="s">
        <v>2158</v>
      </c>
      <c r="F33" s="2448" t="str">
        <f>IF(D32="楼面单价","取值（单价）","取值（总价）")</f>
        <v>取值（总价）</v>
      </c>
      <c r="G33" s="138"/>
      <c r="H33" s="138"/>
      <c r="I33" s="138"/>
    </row>
    <row r="34" spans="1:15" ht="15">
      <c r="A34" s="2449"/>
      <c r="B34" s="2450" t="s">
        <v>2159</v>
      </c>
      <c r="C34" s="157">
        <f ca="1">IF(C33="自定义",F34,C32-C35)</f>
        <v>111168</v>
      </c>
      <c r="D34" s="1058">
        <f ca="1">IF(C33="自定义",ROUND(C34/C32,3),IF(C33="收益比率",SUMIF(INDIRECT("'"&amp;D33&amp;"'"&amp;"!b:b"),"土地收益比率",INDIRECT("'"&amp;D33&amp;"'"&amp;"!c:c")),SUMIF(INDIRECT("'"&amp;D33&amp;"'"&amp;"!b:b"),"土地成本比率",INDIRECT("'"&amp;D33&amp;"'"&amp;"!c:c"))))</f>
        <v>0.92999999999999994</v>
      </c>
      <c r="E34" s="2451" t="s">
        <v>2160</v>
      </c>
      <c r="F34" s="1738"/>
      <c r="G34" s="138"/>
      <c r="H34" s="138"/>
      <c r="I34" s="138"/>
    </row>
    <row r="35" spans="1:15" ht="15.75" thickBot="1">
      <c r="A35" s="2452"/>
      <c r="B35" s="2453" t="s">
        <v>2161</v>
      </c>
      <c r="C35" s="1444">
        <f ca="1">IF(C33="自定义",F35,ROUND(C32*D35,0))</f>
        <v>8367</v>
      </c>
      <c r="D35" s="1445">
        <f ca="1">IF(C33="自定义",ROUND(C35/C32,3),IF(C33="收益比率",SUMIF(INDIRECT("'"&amp;D33&amp;"'"&amp;"!b:b"),"建筑物收益比率",INDIRECT("'"&amp;D33&amp;"'"&amp;"!c:c")),SUMIF(INDIRECT("'"&amp;D33&amp;"'"&amp;"!b:b"),"建筑物成本比率",INDIRECT("'"&amp;D33&amp;"'"&amp;"!c:c"))))</f>
        <v>7.0000000000000007E-2</v>
      </c>
      <c r="E35" s="2454" t="s">
        <v>2162</v>
      </c>
      <c r="F35" s="163"/>
      <c r="G35" s="138"/>
      <c r="H35" s="138"/>
      <c r="I35" s="138"/>
    </row>
    <row r="36" spans="1:15" ht="15.75" thickBot="1">
      <c r="A36" s="3084" t="s">
        <v>2163</v>
      </c>
      <c r="B36" s="2455" t="s">
        <v>2164</v>
      </c>
      <c r="C36" s="154"/>
      <c r="D36" s="2456"/>
      <c r="E36" s="2457"/>
      <c r="F36" s="2458"/>
      <c r="G36" s="138"/>
      <c r="H36" s="138"/>
      <c r="I36" s="138"/>
    </row>
    <row r="37" spans="1:15" ht="15.75" thickBot="1">
      <c r="A37" s="3085"/>
      <c r="B37" s="2262" t="s">
        <v>2165</v>
      </c>
      <c r="C37" s="156"/>
      <c r="D37" s="1395"/>
      <c r="E37" s="1395"/>
      <c r="F37" s="2458"/>
      <c r="G37" s="138"/>
      <c r="H37" s="138"/>
      <c r="I37" s="138"/>
    </row>
    <row r="38" spans="1:15" ht="15.75" thickBot="1">
      <c r="A38" s="3086"/>
      <c r="B38" s="2459" t="s">
        <v>2166</v>
      </c>
      <c r="C38" s="727"/>
      <c r="D38" s="2460" t="s">
        <v>2167</v>
      </c>
      <c r="E38" s="1395"/>
      <c r="F38" s="2458"/>
      <c r="G38" s="138"/>
      <c r="H38" s="138"/>
      <c r="I38" s="138"/>
    </row>
    <row r="39" spans="1:15" ht="15">
      <c r="A39" s="2431" t="s">
        <v>2168</v>
      </c>
      <c r="B39" s="2461" t="s">
        <v>2169</v>
      </c>
      <c r="C39" s="2462" t="s">
        <v>2170</v>
      </c>
      <c r="D39" s="2462" t="s">
        <v>2171</v>
      </c>
      <c r="E39" s="2463" t="s">
        <v>2172</v>
      </c>
      <c r="F39" s="2458"/>
      <c r="G39" s="138"/>
      <c r="H39" s="138"/>
      <c r="I39" s="138"/>
    </row>
    <row r="40" spans="1:15" ht="14.25">
      <c r="A40" s="2464" t="s">
        <v>2173</v>
      </c>
      <c r="B40" s="158"/>
      <c r="C40" s="159"/>
      <c r="D40" s="159"/>
      <c r="E40" s="160"/>
      <c r="F40" s="2458"/>
      <c r="G40" s="138"/>
      <c r="H40" s="138"/>
      <c r="I40" s="138"/>
    </row>
    <row r="41" spans="1:15" ht="14.25">
      <c r="A41" s="2464" t="s">
        <v>2174</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2175</v>
      </c>
      <c r="B44" s="2469"/>
      <c r="C44" s="2469"/>
      <c r="D44" s="2470"/>
      <c r="E44" s="2470"/>
      <c r="F44" s="2471"/>
      <c r="G44" s="2471"/>
      <c r="H44" s="2471"/>
      <c r="I44" s="2471"/>
      <c r="J44" s="2472" t="s">
        <v>2176</v>
      </c>
      <c r="K44" s="2473"/>
      <c r="L44" s="2473"/>
      <c r="M44" s="2473"/>
      <c r="N44" s="2473"/>
      <c r="O44" s="2473"/>
    </row>
    <row r="45" spans="1:15" ht="14.25" customHeight="1" thickBot="1">
      <c r="A45" s="3063" t="s">
        <v>2177</v>
      </c>
      <c r="B45" s="3064"/>
      <c r="C45" s="3065"/>
      <c r="D45" s="164">
        <f ca="1">ROUND(H101*F45,0)</f>
        <v>119535</v>
      </c>
      <c r="E45" s="165" t="s">
        <v>2178</v>
      </c>
      <c r="F45" s="166">
        <v>1</v>
      </c>
      <c r="G45" s="167" t="s">
        <v>2179</v>
      </c>
      <c r="H45" s="138"/>
      <c r="I45" s="138"/>
      <c r="J45" s="3123" t="s">
        <v>2180</v>
      </c>
      <c r="K45" s="3123"/>
      <c r="L45" s="3123"/>
      <c r="M45" s="3123"/>
      <c r="N45" s="3123"/>
      <c r="O45" s="3123"/>
    </row>
    <row r="46" spans="1:15" ht="14.25" customHeight="1">
      <c r="A46" s="3060" t="s">
        <v>2181</v>
      </c>
      <c r="B46" s="3061"/>
      <c r="C46" s="3061"/>
      <c r="D46" s="3061"/>
      <c r="E46" s="3061"/>
      <c r="F46" s="3061"/>
      <c r="G46" s="3062"/>
      <c r="H46" s="2474"/>
      <c r="I46" s="168"/>
      <c r="J46" s="1811">
        <v>1</v>
      </c>
      <c r="K46" s="3123" t="s">
        <v>2182</v>
      </c>
      <c r="L46" s="3123"/>
      <c r="M46" s="3143"/>
      <c r="N46" s="3143"/>
      <c r="O46" s="3143"/>
    </row>
    <row r="47" spans="1:15" ht="12" customHeight="1">
      <c r="A47" s="169" t="s">
        <v>2183</v>
      </c>
      <c r="B47" s="170"/>
      <c r="C47" s="171"/>
      <c r="D47" s="172" t="s">
        <v>2184</v>
      </c>
      <c r="E47" s="24" t="s">
        <v>2185</v>
      </c>
      <c r="F47" s="173" t="s">
        <v>2186</v>
      </c>
      <c r="G47" s="174" t="s">
        <v>2187</v>
      </c>
      <c r="H47" s="2474"/>
      <c r="I47" s="168"/>
      <c r="J47" s="1811">
        <v>2</v>
      </c>
      <c r="K47" s="3123" t="s">
        <v>2188</v>
      </c>
      <c r="L47" s="3123"/>
      <c r="M47" s="3144">
        <f>'数据-取费表'!B2</f>
        <v>43279</v>
      </c>
      <c r="N47" s="3144"/>
      <c r="O47" s="3144"/>
    </row>
    <row r="48" spans="1:15" ht="25.5">
      <c r="A48" s="3091" t="s">
        <v>2189</v>
      </c>
      <c r="B48" s="3074"/>
      <c r="C48" s="3074"/>
      <c r="D48" s="140">
        <f>IF(H48="情况1",0,IF(H48="情况2",D52,IF(H48="情况3",D53,IF(H48="情况4",D54))))</f>
        <v>0</v>
      </c>
      <c r="E48" s="1800" t="str">
        <f>IF(H48="情况4","(销售额-原购置价)×税（费）率","销售额×税（费）率")</f>
        <v>销售额×税（费）率</v>
      </c>
      <c r="F48" s="175" t="str">
        <f>IF(H48="情况1","免征",'数据-取费表'!B41)</f>
        <v>免征</v>
      </c>
      <c r="G48" s="2475" t="s">
        <v>2190</v>
      </c>
      <c r="H48" s="2476" t="s">
        <v>2191</v>
      </c>
      <c r="I48" s="2474"/>
      <c r="J48" s="1811">
        <v>3</v>
      </c>
      <c r="K48" s="3123" t="s">
        <v>2192</v>
      </c>
      <c r="L48" s="3123"/>
      <c r="M48" s="3145">
        <f ca="1">H101</f>
        <v>119535</v>
      </c>
      <c r="N48" s="3145"/>
      <c r="O48" s="3145"/>
    </row>
    <row r="49" spans="1:35" ht="25.5" customHeight="1">
      <c r="A49" s="176" t="s">
        <v>2193</v>
      </c>
      <c r="B49" s="3059" t="s">
        <v>2194</v>
      </c>
      <c r="C49" s="3059"/>
      <c r="D49" s="177">
        <v>0</v>
      </c>
      <c r="E49" s="23" t="s">
        <v>2195</v>
      </c>
      <c r="F49" s="28" t="s">
        <v>34</v>
      </c>
      <c r="G49" s="3129"/>
      <c r="H49" s="138"/>
      <c r="I49" s="2477"/>
      <c r="J49" s="1811">
        <v>4</v>
      </c>
      <c r="K49" s="3123" t="str">
        <f>IF(项目基本情况!E8="房地产抵押价值","房地产抵押价值","抵押担保权已注销时的房地产抵押价值")</f>
        <v>房地产抵押价值</v>
      </c>
      <c r="L49" s="3123"/>
      <c r="M49" s="3145">
        <f ca="1">IF(项目基本情况!E8="房地产抵押价值",H107,H109)</f>
        <v>119535</v>
      </c>
      <c r="N49" s="3145"/>
      <c r="O49" s="3145"/>
    </row>
    <row r="50" spans="1:35" ht="25.5" customHeight="1">
      <c r="A50" s="178"/>
      <c r="B50" s="3059" t="s">
        <v>2196</v>
      </c>
      <c r="C50" s="3059"/>
      <c r="D50" s="179"/>
      <c r="E50" s="31"/>
      <c r="F50" s="180"/>
      <c r="G50" s="3130"/>
      <c r="H50" s="138"/>
      <c r="I50" s="2477"/>
      <c r="J50" s="3123" t="s">
        <v>2197</v>
      </c>
      <c r="K50" s="3123"/>
      <c r="L50" s="3123"/>
      <c r="M50" s="3123"/>
      <c r="N50" s="3123"/>
      <c r="O50" s="3123"/>
    </row>
    <row r="51" spans="1:35" ht="12" customHeight="1">
      <c r="A51" s="181"/>
      <c r="B51" s="3059" t="s">
        <v>2198</v>
      </c>
      <c r="C51" s="3059"/>
      <c r="D51" s="182"/>
      <c r="E51" s="30"/>
      <c r="F51" s="180"/>
      <c r="G51" s="3131"/>
      <c r="H51" s="138"/>
      <c r="I51" s="2477"/>
      <c r="J51" s="2478" t="s">
        <v>2199</v>
      </c>
      <c r="K51" s="3123" t="s">
        <v>2200</v>
      </c>
      <c r="L51" s="3123"/>
      <c r="M51" s="2478" t="s">
        <v>2201</v>
      </c>
      <c r="N51" s="2478" t="s">
        <v>2202</v>
      </c>
      <c r="O51" s="2478" t="s">
        <v>2203</v>
      </c>
    </row>
    <row r="52" spans="1:35" ht="24" customHeight="1">
      <c r="A52" s="183" t="s">
        <v>2204</v>
      </c>
      <c r="B52" s="3059" t="s">
        <v>2205</v>
      </c>
      <c r="C52" s="3059"/>
      <c r="D52" s="182">
        <f ca="1">ROUND(D45*'数据-取费表'!B41/(1+'数据-取费表'!C42),0)</f>
        <v>6432</v>
      </c>
      <c r="E52" s="11" t="s">
        <v>2206</v>
      </c>
      <c r="F52" s="184">
        <f>'数据-取费表'!B41</f>
        <v>5.6500000000000002E-2</v>
      </c>
      <c r="G52" s="2479"/>
      <c r="H52" s="138"/>
      <c r="I52" s="2477"/>
      <c r="J52" s="1811">
        <v>1</v>
      </c>
      <c r="K52" s="3124" t="s">
        <v>2207</v>
      </c>
      <c r="L52" s="3124"/>
      <c r="M52" s="1753">
        <f>D48</f>
        <v>0</v>
      </c>
      <c r="N52" s="1811" t="str">
        <f>E48</f>
        <v>销售额×税（费）率</v>
      </c>
      <c r="O52" s="1754" t="str">
        <f>F48</f>
        <v>免征</v>
      </c>
    </row>
    <row r="53" spans="1:35" ht="12" customHeight="1">
      <c r="A53" s="183" t="s">
        <v>2208</v>
      </c>
      <c r="B53" s="3082" t="s">
        <v>2209</v>
      </c>
      <c r="C53" s="3083"/>
      <c r="D53" s="182">
        <f ca="1">ROUND(D45*'数据-取费表'!B41/(1+'数据-取费表'!C42),0)</f>
        <v>6432</v>
      </c>
      <c r="E53" s="11" t="s">
        <v>2206</v>
      </c>
      <c r="F53" s="184">
        <f>'数据-取费表'!B41</f>
        <v>5.6500000000000002E-2</v>
      </c>
      <c r="G53" s="2479"/>
      <c r="H53" s="138"/>
      <c r="I53" s="2477"/>
      <c r="J53" s="1811">
        <v>2</v>
      </c>
      <c r="K53" s="3124" t="s">
        <v>2210</v>
      </c>
      <c r="L53" s="3124"/>
      <c r="M53" s="1753">
        <f t="shared" ref="M53:O54" ca="1" si="0">D55</f>
        <v>60</v>
      </c>
      <c r="N53" s="1811" t="str">
        <f t="shared" si="0"/>
        <v>销售额×税（费）率</v>
      </c>
      <c r="O53" s="1754">
        <f t="shared" si="0"/>
        <v>5.0000000000000001E-4</v>
      </c>
    </row>
    <row r="54" spans="1:35" ht="12" customHeight="1">
      <c r="A54" s="183" t="s">
        <v>2211</v>
      </c>
      <c r="B54" s="3082" t="s">
        <v>2212</v>
      </c>
      <c r="C54" s="3083"/>
      <c r="D54" s="182">
        <f ca="1">C68</f>
        <v>6432</v>
      </c>
      <c r="E54" s="30" t="s">
        <v>2213</v>
      </c>
      <c r="F54" s="184">
        <f>'数据-取费表'!B41</f>
        <v>5.6500000000000002E-2</v>
      </c>
      <c r="G54" s="2479"/>
      <c r="H54" s="2480"/>
      <c r="I54" s="2477"/>
      <c r="J54" s="1811">
        <v>3</v>
      </c>
      <c r="K54" s="3124" t="s">
        <v>2214</v>
      </c>
      <c r="L54" s="3124"/>
      <c r="M54" s="1753">
        <f t="shared" ca="1" si="0"/>
        <v>67603</v>
      </c>
      <c r="N54" s="1811" t="str">
        <f t="shared" si="0"/>
        <v>增值额×税（费）率</v>
      </c>
      <c r="O54" s="1755" t="str">
        <f t="shared" si="0"/>
        <v>——</v>
      </c>
    </row>
    <row r="55" spans="1:35" ht="24" customHeight="1">
      <c r="A55" s="3073" t="s">
        <v>2215</v>
      </c>
      <c r="B55" s="3074"/>
      <c r="C55" s="3074"/>
      <c r="D55" s="185">
        <f ca="1">IF(H55="个人住宅",0,ROUND(D45*I55,0))</f>
        <v>60</v>
      </c>
      <c r="E55" s="11" t="s">
        <v>2216</v>
      </c>
      <c r="F55" s="184">
        <f>IF(H55="正常",I55,"免征")</f>
        <v>5.0000000000000001E-4</v>
      </c>
      <c r="G55" s="2479"/>
      <c r="H55" s="2476" t="s">
        <v>2217</v>
      </c>
      <c r="I55" s="186">
        <f>'数据-取费表'!B49</f>
        <v>5.0000000000000001E-4</v>
      </c>
      <c r="J55" s="1811" t="str">
        <f>IF(H59="非个人房产","",4)</f>
        <v/>
      </c>
      <c r="K55" s="3124" t="str">
        <f>IF(H59="非个人房产","——","个人所得税")</f>
        <v>——</v>
      </c>
      <c r="L55" s="3124"/>
      <c r="M55" s="1756" t="str">
        <f>D59</f>
        <v>——</v>
      </c>
      <c r="N55" s="1809" t="str">
        <f>E59</f>
        <v>——</v>
      </c>
      <c r="O55" s="1757" t="str">
        <f>F59</f>
        <v>——</v>
      </c>
    </row>
    <row r="56" spans="1:35" ht="24.75">
      <c r="A56" s="3073" t="s">
        <v>2218</v>
      </c>
      <c r="B56" s="3074"/>
      <c r="C56" s="3074"/>
      <c r="D56" s="185">
        <f ca="1">IF(H56="个人住宅",D57,D58)</f>
        <v>67603</v>
      </c>
      <c r="E56" s="11" t="s">
        <v>2219</v>
      </c>
      <c r="F56" s="184" t="str">
        <f>IF(H56="正常",F58,"免征")</f>
        <v>——</v>
      </c>
      <c r="G56" s="2481" t="s">
        <v>2220</v>
      </c>
      <c r="H56" s="2482" t="s">
        <v>2217</v>
      </c>
      <c r="I56" s="2483"/>
      <c r="J56" s="1811" t="str">
        <f>IF(项目基本情况!K6="上海银行",IF(J55="",4,J55+1),"")</f>
        <v/>
      </c>
      <c r="K56" s="3147" t="str">
        <f>IF(项目基本情况!K6="上海银行","其他处置费用","")</f>
        <v/>
      </c>
      <c r="L56" s="3148"/>
      <c r="M56" s="1753" t="str">
        <f>IF(项目基本情况!K6="上海银行",M69,"")</f>
        <v/>
      </c>
      <c r="N56" s="3150" t="str">
        <f>IF(项目基本情况!K6="上海银行","包含处置中涉及的律师、诉讼、拍卖、评估等费用","")</f>
        <v/>
      </c>
      <c r="O56" s="3151"/>
    </row>
    <row r="57" spans="1:35" ht="12.75">
      <c r="A57" s="183" t="s">
        <v>2193</v>
      </c>
      <c r="B57" s="3089" t="s">
        <v>2221</v>
      </c>
      <c r="C57" s="3098"/>
      <c r="D57" s="187">
        <v>0</v>
      </c>
      <c r="E57" s="23" t="s">
        <v>2195</v>
      </c>
      <c r="F57" s="155"/>
      <c r="G57" s="2479"/>
      <c r="H57" s="2483"/>
      <c r="I57" s="2483"/>
      <c r="J57" s="3124">
        <f>IF(AND(J55="",J56=""),4,IF(项目基本情况!K6="上海银行",结果表!J56+1,结果表!J55+1))</f>
        <v>4</v>
      </c>
      <c r="K57" s="3124" t="s">
        <v>2222</v>
      </c>
      <c r="L57" s="2484" t="s">
        <v>2223</v>
      </c>
      <c r="M57" s="1758"/>
      <c r="N57" s="1759">
        <f ca="1">SUMIF(M52:M56,"&lt;9e307")</f>
        <v>67663</v>
      </c>
      <c r="O57" s="2485"/>
      <c r="P57" s="1752">
        <f ca="1">N57/M49</f>
        <v>0.56605178399631906</v>
      </c>
    </row>
    <row r="58" spans="1:35" ht="24.75">
      <c r="A58" s="183" t="s">
        <v>2204</v>
      </c>
      <c r="B58" s="3089" t="s">
        <v>2224</v>
      </c>
      <c r="C58" s="3090"/>
      <c r="D58" s="185">
        <f ca="1">IF(H58="转让取得",C81,C97)</f>
        <v>67603</v>
      </c>
      <c r="E58" s="11" t="s">
        <v>2219</v>
      </c>
      <c r="F58" s="24" t="s">
        <v>34</v>
      </c>
      <c r="G58" s="2479"/>
      <c r="H58" s="2482" t="s">
        <v>2225</v>
      </c>
      <c r="I58" s="2483"/>
      <c r="J58" s="3124"/>
      <c r="K58" s="3124"/>
      <c r="L58" s="2484" t="s">
        <v>2226</v>
      </c>
      <c r="M58" s="1760"/>
      <c r="N58" s="2486" t="str">
        <f ca="1">NUMBERSTRING(INT(N57*10000),2)&amp;"元整"</f>
        <v>陆亿柒仟陆佰陆拾叁万元整</v>
      </c>
      <c r="O58" s="2487"/>
    </row>
    <row r="59" spans="1:35" ht="24.75" thickBot="1">
      <c r="A59" s="3127" t="s">
        <v>2227</v>
      </c>
      <c r="B59" s="3128"/>
      <c r="C59" s="3128"/>
      <c r="D59" s="188" t="str">
        <f>IF(H59="非个人房产","——",IF(H59="个人住宅",0,ROUND(D45*I59,0)))</f>
        <v>——</v>
      </c>
      <c r="E59" s="189" t="str">
        <f>IF(H59="非个人房产","——","销售额×税（费）率")</f>
        <v>——</v>
      </c>
      <c r="F59" s="190" t="str">
        <f>IF(H59="非个人房产","——",IF(H59="个人住宅","免征",I59))</f>
        <v>——</v>
      </c>
      <c r="G59" s="2488" t="s">
        <v>2220</v>
      </c>
      <c r="H59" s="2482" t="s">
        <v>2228</v>
      </c>
      <c r="I59" s="191">
        <v>0.01</v>
      </c>
      <c r="J59" s="3125">
        <f>J57+1</f>
        <v>5</v>
      </c>
      <c r="K59" s="3124" t="s">
        <v>2229</v>
      </c>
      <c r="L59" s="1811" t="s">
        <v>2223</v>
      </c>
      <c r="M59" s="1761"/>
      <c r="N59" s="1762">
        <f ca="1">M49-N57</f>
        <v>51872</v>
      </c>
      <c r="O59" s="2489"/>
    </row>
    <row r="60" spans="1:35" ht="12" customHeight="1">
      <c r="A60" s="2490"/>
      <c r="B60" s="2412"/>
      <c r="C60" s="2412"/>
      <c r="D60" s="2412"/>
      <c r="E60" s="2162"/>
      <c r="F60" s="2483"/>
      <c r="G60" s="2483"/>
      <c r="H60" s="2491"/>
      <c r="I60" s="138"/>
      <c r="J60" s="3126"/>
      <c r="K60" s="3124"/>
      <c r="L60" s="2484" t="s">
        <v>2226</v>
      </c>
      <c r="M60" s="1760"/>
      <c r="N60" s="2486" t="str">
        <f ca="1">NUMBERSTRING(INT(N59*10000),2)&amp;"元整"</f>
        <v>伍亿壹仟捌佰柒拾贰万元整</v>
      </c>
      <c r="O60" s="2487"/>
    </row>
    <row r="61" spans="1:35" ht="13.5" thickBot="1">
      <c r="A61" s="3071" t="s">
        <v>2230</v>
      </c>
      <c r="B61" s="3071"/>
      <c r="C61" s="3071"/>
      <c r="D61" s="3071"/>
      <c r="E61" s="3071"/>
      <c r="F61" s="2483"/>
      <c r="G61" s="2483"/>
      <c r="H61" s="2491"/>
      <c r="I61" s="138"/>
      <c r="J61" s="1811">
        <f>J59+1</f>
        <v>6</v>
      </c>
      <c r="K61" s="3124" t="s">
        <v>2231</v>
      </c>
      <c r="L61" s="3124"/>
      <c r="M61" s="1763"/>
      <c r="N61" s="1764">
        <f ca="1">ROUND(N59*10000/'数据-汇总表'!E3,0)</f>
        <v>7703</v>
      </c>
      <c r="O61" s="2492"/>
    </row>
    <row r="62" spans="1:35" ht="12.75">
      <c r="A62" s="3087" t="s">
        <v>2232</v>
      </c>
      <c r="B62" s="3088"/>
      <c r="C62" s="1803"/>
      <c r="D62" s="1803" t="s">
        <v>2233</v>
      </c>
      <c r="E62" s="192" t="s">
        <v>2234</v>
      </c>
      <c r="F62" s="2483"/>
      <c r="G62" s="2483"/>
      <c r="H62" s="2491"/>
      <c r="I62" s="138"/>
    </row>
    <row r="63" spans="1:35" ht="12.75">
      <c r="A63" s="203" t="s">
        <v>775</v>
      </c>
      <c r="B63" s="193" t="s">
        <v>2235</v>
      </c>
      <c r="C63" s="194">
        <f ca="1">ROUND((C64+C65)/(1+'数据-取费表'!C42),0)</f>
        <v>113843</v>
      </c>
      <c r="D63" s="195"/>
      <c r="E63" s="196"/>
      <c r="F63" s="2483"/>
      <c r="G63" s="2483"/>
      <c r="H63" s="2491"/>
      <c r="I63" s="138"/>
      <c r="J63" s="3149" t="s">
        <v>2236</v>
      </c>
      <c r="K63" s="2493" t="s">
        <v>2237</v>
      </c>
      <c r="L63" s="1751">
        <f ca="1">IF(M49&gt;10000,M49*0.5%,IF(AND(M49&gt;1000,M49&lt;=10000),M49*1%,IF(AND(M49&gt;100,M49&lt;=1000),M49*3%,IF(AND(M49&gt;10,M49&lt;=100),M49*5%,M49*8%))))</f>
        <v>597.67500000000007</v>
      </c>
      <c r="M63" s="24">
        <f ca="1">ROUND(L63,1)</f>
        <v>597.70000000000005</v>
      </c>
      <c r="Z63" s="2417"/>
      <c r="AI63" s="2418"/>
    </row>
    <row r="64" spans="1:35" ht="14.25" customHeight="1">
      <c r="A64" s="197" t="s">
        <v>770</v>
      </c>
      <c r="B64" s="198" t="s">
        <v>2238</v>
      </c>
      <c r="C64" s="199">
        <f ca="1">D45</f>
        <v>119535</v>
      </c>
      <c r="D64" s="200" t="s">
        <v>32</v>
      </c>
      <c r="E64" s="201"/>
      <c r="F64" s="2483"/>
      <c r="G64" s="2483"/>
      <c r="H64" s="2491"/>
      <c r="I64" s="138"/>
      <c r="J64" s="3149"/>
      <c r="K64" s="2493" t="s">
        <v>2239</v>
      </c>
      <c r="L64" s="1751">
        <f ca="1">IF(M49&gt;2000,M49*0.5%,IF(AND(M49&gt;1000,M49&lt;=2000),M49*0.6%,IF(AND(M49&gt;500,M49&lt;=1000),M49*0.7%,IF(AND(M49&gt;200,M49&lt;=500),M49*0.8%,IF(AND(M49&gt;100,M49&lt;=200),M49*0.9%,IF(AND(M49&gt;50,M49&lt;=100),M49*1%,IF(AND(M49&gt;20,M49&lt;=50),M49*1.5%,IF(AND(M49&gt;10,M49&lt;=20),M49*2%,IF(AND(M49&gt;1,M49&lt;=10),M49*2.5%)))))))))</f>
        <v>597.67500000000007</v>
      </c>
      <c r="M64" s="24">
        <f t="shared" ref="M64:M65" ca="1" si="1">ROUND(L64,1)</f>
        <v>597.70000000000005</v>
      </c>
      <c r="N64" s="138" t="s">
        <v>2240</v>
      </c>
      <c r="Z64" s="2417"/>
      <c r="AI64" s="2418"/>
    </row>
    <row r="65" spans="1:35" ht="14.25" customHeight="1">
      <c r="A65" s="197" t="s">
        <v>771</v>
      </c>
      <c r="B65" s="198" t="s">
        <v>2241</v>
      </c>
      <c r="C65" s="202"/>
      <c r="D65" s="200"/>
      <c r="E65" s="201"/>
      <c r="F65" s="2483"/>
      <c r="G65" s="2483"/>
      <c r="H65" s="2491"/>
      <c r="I65" s="138"/>
      <c r="J65" s="3149"/>
      <c r="K65" s="2493" t="s">
        <v>2242</v>
      </c>
      <c r="L65" s="1751">
        <f ca="1">IF(M49&gt;1000,M49*0.1%,IF(AND(M49&gt;500,M49&lt;=1000),M49*0.5%,IF(AND(M49&gt;50,M49&lt;=500),M49*1%,IF(AND(M49&gt;1,M49&lt;=50),M49*1.5%))))</f>
        <v>119.535</v>
      </c>
      <c r="M65" s="24">
        <f t="shared" ca="1" si="1"/>
        <v>119.5</v>
      </c>
      <c r="N65" s="138" t="s">
        <v>2240</v>
      </c>
      <c r="Z65" s="2417"/>
      <c r="AI65" s="2418"/>
    </row>
    <row r="66" spans="1:35" ht="14.25" customHeight="1">
      <c r="A66" s="203" t="s">
        <v>772</v>
      </c>
      <c r="B66" s="204" t="s">
        <v>2243</v>
      </c>
      <c r="C66" s="205"/>
      <c r="D66" s="206" t="s">
        <v>32</v>
      </c>
      <c r="E66" s="1775" t="s">
        <v>1371</v>
      </c>
      <c r="F66" s="2483"/>
      <c r="G66" s="2483"/>
      <c r="H66" s="2491"/>
      <c r="I66" s="138"/>
      <c r="J66" s="3149"/>
      <c r="K66" s="2493" t="s">
        <v>2244</v>
      </c>
      <c r="L66" s="1751">
        <f ca="1">M49*0.5%</f>
        <v>597.67500000000007</v>
      </c>
      <c r="M66" s="24">
        <f ca="1">IF(L66&gt;0.5,0.5,ROUND(L66,0))</f>
        <v>0.5</v>
      </c>
      <c r="N66" s="138" t="s">
        <v>2245</v>
      </c>
      <c r="Z66" s="2417"/>
      <c r="AI66" s="2418"/>
    </row>
    <row r="67" spans="1:35" ht="14.25" customHeight="1">
      <c r="A67" s="203" t="s">
        <v>773</v>
      </c>
      <c r="B67" s="204" t="s">
        <v>2246</v>
      </c>
      <c r="C67" s="207">
        <f ca="1">C63-C66</f>
        <v>113843</v>
      </c>
      <c r="D67" s="200" t="s">
        <v>32</v>
      </c>
      <c r="E67" s="201"/>
      <c r="F67" s="2483"/>
      <c r="G67" s="2483"/>
      <c r="H67" s="2491"/>
      <c r="I67" s="138"/>
      <c r="J67" s="3149"/>
      <c r="K67" s="2493" t="s">
        <v>2247</v>
      </c>
      <c r="L67" s="1751">
        <f ca="1">IF(M49&gt;=10000,(8.25+(M49-10000)*0.01%),IF(AND(M49&gt;=8000,M49&lt;10000),(7.85+(M49-8000)*0.02%),IF(AND(M49&gt;=5000,M49&lt;8000),(6.65+(M49-5000)*0.04%),IF(AND(M49&gt;=2000,M49&lt;5000),(4.25+(PM49-2000)*0.08%),IF(AND(M49&gt;=1000,M49&lt;2000),(2.75+(M49-1000)*0.15%),IF(AND(M49&gt;=100,M49&lt;1000),(0.5+(M49-100)*0.25%),IF(AND(M49&gt;0,M49&lt;100),M49*0.5%)))))))</f>
        <v>19.203499999999998</v>
      </c>
      <c r="M67" s="24">
        <f ca="1">ROUND(L67*0.9,1)</f>
        <v>17.3</v>
      </c>
      <c r="Z67" s="2417"/>
      <c r="AI67" s="2418"/>
    </row>
    <row r="68" spans="1:35" ht="14.25" customHeight="1" thickBot="1">
      <c r="A68" s="208" t="s">
        <v>774</v>
      </c>
      <c r="B68" s="209" t="s">
        <v>2248</v>
      </c>
      <c r="C68" s="210">
        <f ca="1">IF(C67&lt;=0,0,ROUND(C67*D68,0))</f>
        <v>6432</v>
      </c>
      <c r="D68" s="211">
        <f>'数据-取费表'!B41</f>
        <v>5.6500000000000002E-2</v>
      </c>
      <c r="E68" s="212"/>
      <c r="F68" s="2483"/>
      <c r="G68" s="2483"/>
      <c r="H68" s="2491"/>
      <c r="I68" s="138"/>
      <c r="J68" s="3149"/>
      <c r="K68" s="2493" t="s">
        <v>2249</v>
      </c>
      <c r="L68" s="1751">
        <f ca="1">IF(M49&gt;10000,M49*0.5%,IF(AND(M49&gt;5000,M49&lt;=10000),M49*1%,IF(AND(M49&gt;1000,M49&lt;=5000),M49*2%,IF(AND(M49&gt;200,M49&lt;=1000),M49*3%,M49*5%))))</f>
        <v>597.67500000000007</v>
      </c>
      <c r="M68" s="24">
        <f ca="1">ROUND(L68,1)</f>
        <v>597.70000000000005</v>
      </c>
      <c r="Z68" s="2417"/>
      <c r="AI68" s="2418"/>
    </row>
    <row r="69" spans="1:35" s="2440" customFormat="1" ht="16.5" customHeight="1">
      <c r="A69" s="2494"/>
      <c r="B69" s="2495"/>
      <c r="C69" s="2496"/>
      <c r="D69" s="2497"/>
      <c r="E69" s="2498"/>
      <c r="F69" s="2162"/>
      <c r="G69" s="2162"/>
      <c r="H69" s="2161"/>
      <c r="I69" s="2412"/>
      <c r="J69" s="3149"/>
      <c r="K69" s="2493" t="s">
        <v>2250</v>
      </c>
      <c r="L69" s="2499"/>
      <c r="M69" s="24">
        <f ca="1">ROUND(SUM(M63:M68),0)</f>
        <v>1930</v>
      </c>
      <c r="N69" s="1752">
        <f ca="1">M69/M49</f>
        <v>1.6145898690760028E-2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08" t="s">
        <v>2251</v>
      </c>
      <c r="B70" s="3109"/>
      <c r="C70" s="3109"/>
      <c r="D70" s="3109"/>
      <c r="E70" s="3109"/>
      <c r="F70" s="3109"/>
      <c r="G70" s="3109"/>
      <c r="H70" s="310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87" t="s">
        <v>2232</v>
      </c>
      <c r="B71" s="3088"/>
      <c r="C71" s="1803"/>
      <c r="D71" s="1803" t="s">
        <v>2233</v>
      </c>
      <c r="E71" s="213" t="s">
        <v>2234</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2252</v>
      </c>
      <c r="C72" s="207">
        <f ca="1">ROUND(D45/(1+'数据-取费表'!C42),0)</f>
        <v>113843</v>
      </c>
      <c r="D72" s="200" t="s">
        <v>32</v>
      </c>
      <c r="E72" s="1802"/>
      <c r="F72" s="1796"/>
      <c r="G72" s="1796"/>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2253</v>
      </c>
      <c r="C73" s="207">
        <f ca="1">C74+C78</f>
        <v>740</v>
      </c>
      <c r="D73" s="200" t="s">
        <v>32</v>
      </c>
      <c r="E73" s="1802"/>
      <c r="F73" s="1796"/>
      <c r="G73" s="1796"/>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2254</v>
      </c>
      <c r="C74" s="200">
        <f>ROUND(IF(G77="2016年5月1日后购买",C75/(1+'数据-取费表'!C42)+C76+C77,C75+C76+C77),0)</f>
        <v>0</v>
      </c>
      <c r="D74" s="200" t="s">
        <v>32</v>
      </c>
      <c r="E74" s="1802"/>
      <c r="F74" s="1796"/>
      <c r="G74" s="1796"/>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2255</v>
      </c>
      <c r="C75" s="218"/>
      <c r="D75" s="200" t="s">
        <v>32</v>
      </c>
      <c r="E75" s="219" t="s">
        <v>2256</v>
      </c>
      <c r="F75" s="2505" t="s">
        <v>2257</v>
      </c>
      <c r="G75" s="219" t="s">
        <v>2258</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2259</v>
      </c>
      <c r="C76" s="200">
        <f>IF(F75="购房发票",ROUND(C75*H75*D76,0),0)</f>
        <v>0</v>
      </c>
      <c r="D76" s="222">
        <v>0.05</v>
      </c>
      <c r="E76" s="3082" t="s">
        <v>2260</v>
      </c>
      <c r="F76" s="3059"/>
      <c r="G76" s="3059"/>
      <c r="H76" s="310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7" t="s">
        <v>2263</v>
      </c>
      <c r="H77" s="180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2264</v>
      </c>
      <c r="C78" s="225">
        <f ca="1">ROUND(D45*D78/(1+'数据-取费表'!C42),0)</f>
        <v>740</v>
      </c>
      <c r="D78" s="226">
        <f>'数据-取费表'!B43</f>
        <v>6.5000000000000006E-3</v>
      </c>
      <c r="E78" s="3068" t="s">
        <v>2265</v>
      </c>
      <c r="F78" s="3069"/>
      <c r="G78" s="3069"/>
      <c r="H78" s="307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2266</v>
      </c>
      <c r="C79" s="207">
        <f ca="1">C72-C73</f>
        <v>113103</v>
      </c>
      <c r="D79" s="200" t="s">
        <v>32</v>
      </c>
      <c r="E79" s="1802"/>
      <c r="F79" s="1796"/>
      <c r="G79" s="1796"/>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2267</v>
      </c>
      <c r="C80" s="227">
        <f ca="1">IF(C79&lt;=0,0,C79/C73)</f>
        <v>152.84189189189189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2268</v>
      </c>
      <c r="C81" s="228">
        <f ca="1">ROUND(IF(C79&lt;=0,0,IF(C80&gt;=200%,C79*60%-C73*35%,IF(C80&gt;=100%,C79*50%-C73*15%,IF(C80&gt;=50%,C79*40%-C73*5%,IF(C80&lt;50%,C79*30%,0))))),0)</f>
        <v>67603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08" t="s">
        <v>2269</v>
      </c>
      <c r="B83" s="3109"/>
      <c r="C83" s="3109"/>
      <c r="D83" s="3109"/>
      <c r="E83" s="3109"/>
      <c r="F83" s="3109"/>
      <c r="G83" s="3109"/>
      <c r="H83" s="310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87" t="s">
        <v>2232</v>
      </c>
      <c r="B84" s="3088"/>
      <c r="C84" s="1803"/>
      <c r="D84" s="1803" t="s">
        <v>2233</v>
      </c>
      <c r="E84" s="213" t="s">
        <v>2234</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2252</v>
      </c>
      <c r="C85" s="207">
        <f ca="1">ROUND(D45/(1+'数据-取费表'!C42),0)</f>
        <v>113843</v>
      </c>
      <c r="D85" s="200" t="s">
        <v>32</v>
      </c>
      <c r="E85" s="1802"/>
      <c r="F85" s="1796"/>
      <c r="G85" s="1796"/>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2253</v>
      </c>
      <c r="C86" s="207">
        <f ca="1">IF(H88="仅含出让金",C87+C90+C91+C92+C93+C94,C87+C91+C92+C93+C94)</f>
        <v>740</v>
      </c>
      <c r="D86" s="235"/>
      <c r="E86" s="1802"/>
      <c r="F86" s="1796"/>
      <c r="G86" s="1796"/>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2270</v>
      </c>
      <c r="C87" s="225">
        <f>C88+C89</f>
        <v>0</v>
      </c>
      <c r="D87" s="226"/>
      <c r="E87" s="1798"/>
      <c r="F87" s="1799"/>
      <c r="G87" s="1799"/>
      <c r="H87" s="180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2271</v>
      </c>
      <c r="C88" s="236"/>
      <c r="D88" s="226"/>
      <c r="E88" s="237" t="s">
        <v>2272</v>
      </c>
      <c r="F88" s="1799"/>
      <c r="G88" s="238" t="s">
        <v>2273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2261</v>
      </c>
      <c r="C89" s="225">
        <f>ROUND(C88*D89,0)</f>
        <v>0</v>
      </c>
      <c r="D89" s="226">
        <f>'数据-取费表'!B48+'数据-取费表'!B49</f>
        <v>3.0499999999999999E-2</v>
      </c>
      <c r="E89" s="237" t="s">
        <v>2274</v>
      </c>
      <c r="F89" s="1799"/>
      <c r="G89" s="1799"/>
      <c r="H89" s="180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2275</v>
      </c>
      <c r="C90" s="236"/>
      <c r="D90" s="226"/>
      <c r="E90" s="237" t="str">
        <f>IF(H88="-","土地取得成本中已包含该笔费用"," ")</f>
        <v xml:space="preserve"> </v>
      </c>
      <c r="F90" s="1799"/>
      <c r="G90" s="1799"/>
      <c r="H90" s="180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2276</v>
      </c>
      <c r="B91" s="198" t="s">
        <v>2277</v>
      </c>
      <c r="C91" s="225">
        <f>IF(H91="——",成本法!C33,I91)</f>
        <v>0</v>
      </c>
      <c r="D91" s="226"/>
      <c r="E91" s="3068" t="s">
        <v>2278</v>
      </c>
      <c r="F91" s="3069"/>
      <c r="G91" s="3069"/>
      <c r="H91" s="2512" t="s">
        <v>2279</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2280</v>
      </c>
      <c r="B92" s="198" t="s">
        <v>2281</v>
      </c>
      <c r="C92" s="225">
        <f>ROUND((C87+C90+C91)*D92,0)</f>
        <v>0</v>
      </c>
      <c r="D92" s="226">
        <v>0.1</v>
      </c>
      <c r="E92" s="3068" t="s">
        <v>2282</v>
      </c>
      <c r="F92" s="3069"/>
      <c r="G92" s="3069"/>
      <c r="H92" s="307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2283</v>
      </c>
      <c r="B93" s="198" t="s">
        <v>2264</v>
      </c>
      <c r="C93" s="225">
        <f ca="1">ROUND(D45*D93/(1+'数据-取费表'!C42),0)</f>
        <v>740</v>
      </c>
      <c r="D93" s="226">
        <f>'数据-取费表'!B43</f>
        <v>6.5000000000000006E-3</v>
      </c>
      <c r="E93" s="3068" t="s">
        <v>2265</v>
      </c>
      <c r="F93" s="3069"/>
      <c r="G93" s="3069"/>
      <c r="H93" s="307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2284</v>
      </c>
      <c r="B94" s="198" t="s">
        <v>2285</v>
      </c>
      <c r="C94" s="236">
        <f>ROUND((C87+C90+C91)*D94,0)</f>
        <v>0</v>
      </c>
      <c r="D94" s="226">
        <v>0.2</v>
      </c>
      <c r="E94" s="3079" t="s">
        <v>2286</v>
      </c>
      <c r="F94" s="3080"/>
      <c r="G94" s="3080"/>
      <c r="H94" s="308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2266</v>
      </c>
      <c r="C95" s="207">
        <f ca="1">ROUND(C85-C86,0)</f>
        <v>113103</v>
      </c>
      <c r="D95" s="200" t="s">
        <v>32</v>
      </c>
      <c r="E95" s="1802"/>
      <c r="F95" s="1796"/>
      <c r="G95" s="1796"/>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2267</v>
      </c>
      <c r="C96" s="227">
        <f ca="1">IF(C95&lt;=0,0,C95/C86)</f>
        <v>152.84189189189189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2268</v>
      </c>
      <c r="C97" s="228">
        <f ca="1">ROUND(IF(C95&lt;=0,0,IF(C96&gt;=200%,C95*60%-C86*35%,IF(C96&gt;=100%,C95*50%-C86*15%,IF(C96&gt;=50%,C95*40%-C86*5%,IF(C96&lt;50%,C95*30%,0))))),0)</f>
        <v>67603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2287</v>
      </c>
      <c r="B99" s="2412"/>
      <c r="C99" s="2412"/>
      <c r="D99" s="2412"/>
      <c r="E99" s="2162"/>
      <c r="F99" s="2162"/>
      <c r="G99" s="2162"/>
      <c r="H99" s="2161"/>
      <c r="I99" s="138"/>
    </row>
    <row r="100" spans="1:35" ht="18.75" customHeight="1">
      <c r="A100" s="3053" t="s">
        <v>2288</v>
      </c>
      <c r="B100" s="3054"/>
      <c r="C100" s="3054"/>
      <c r="D100" s="3070"/>
      <c r="E100" s="3054" t="s">
        <v>2289</v>
      </c>
      <c r="F100" s="3054"/>
      <c r="G100" s="3054"/>
      <c r="H100" s="3070"/>
      <c r="I100" s="138"/>
    </row>
    <row r="101" spans="1:35" ht="18.75" customHeight="1">
      <c r="A101" s="3132" t="s">
        <v>2290</v>
      </c>
      <c r="B101" s="3133"/>
      <c r="C101" s="736" t="str">
        <f>C4</f>
        <v>成本法</v>
      </c>
      <c r="D101" s="737" t="str">
        <f>D4</f>
        <v>假设开发法</v>
      </c>
      <c r="E101" s="3146" t="s">
        <v>2291</v>
      </c>
      <c r="F101" s="3100"/>
      <c r="G101" s="2514" t="s">
        <v>2292</v>
      </c>
      <c r="H101" s="1048">
        <f ca="1">H118</f>
        <v>119535</v>
      </c>
      <c r="I101" s="138"/>
    </row>
    <row r="102" spans="1:35" ht="18.75" customHeight="1">
      <c r="A102" s="3102" t="s">
        <v>2293</v>
      </c>
      <c r="B102" s="2514" t="s">
        <v>2292</v>
      </c>
      <c r="C102" s="736">
        <f ca="1">C19</f>
        <v>121773</v>
      </c>
      <c r="D102" s="737">
        <f ca="1">D19</f>
        <v>117296</v>
      </c>
      <c r="E102" s="3146"/>
      <c r="F102" s="3100"/>
      <c r="G102" s="2514" t="s">
        <v>2294</v>
      </c>
      <c r="H102" s="371">
        <f ca="1">I118</f>
        <v>17750</v>
      </c>
      <c r="I102" s="138"/>
    </row>
    <row r="103" spans="1:35" ht="42.75" customHeight="1">
      <c r="A103" s="3102"/>
      <c r="B103" s="2514" t="s">
        <v>2294</v>
      </c>
      <c r="C103" s="738">
        <f ca="1">C20</f>
        <v>18083</v>
      </c>
      <c r="D103" s="739">
        <f ca="1">D20</f>
        <v>17418</v>
      </c>
      <c r="E103" s="3141" t="s">
        <v>2295</v>
      </c>
      <c r="F103" s="3142"/>
      <c r="G103" s="2515" t="s">
        <v>2296</v>
      </c>
      <c r="H103" s="1048">
        <f>IF(D36="正常操作",H104+H105+H106,H105+H106)</f>
        <v>0</v>
      </c>
      <c r="I103" s="138"/>
    </row>
    <row r="104" spans="1:35" ht="18.75" customHeight="1">
      <c r="A104" s="3102" t="s">
        <v>2297</v>
      </c>
      <c r="B104" s="2516" t="s">
        <v>2292</v>
      </c>
      <c r="C104" s="740">
        <f ca="1">H118</f>
        <v>119535</v>
      </c>
      <c r="D104" s="741"/>
      <c r="E104" s="2262" t="s">
        <v>2298</v>
      </c>
      <c r="F104" s="2254"/>
      <c r="G104" s="2515" t="s">
        <v>2296</v>
      </c>
      <c r="H104" s="1049">
        <f>IF(D36="同一抵押权人同一抵押物续贷",C36&amp;"（未扣减，详见特别提示）",C36)</f>
        <v>0</v>
      </c>
      <c r="I104" s="138"/>
    </row>
    <row r="105" spans="1:35" ht="18.75" customHeight="1" thickBot="1">
      <c r="A105" s="3103"/>
      <c r="B105" s="2517" t="s">
        <v>2294</v>
      </c>
      <c r="C105" s="742">
        <f ca="1">I118</f>
        <v>17750</v>
      </c>
      <c r="D105" s="743"/>
      <c r="E105" s="2262" t="s">
        <v>2299</v>
      </c>
      <c r="F105" s="2254"/>
      <c r="G105" s="2515" t="s">
        <v>2296</v>
      </c>
      <c r="H105" s="1049">
        <f>C37</f>
        <v>0</v>
      </c>
      <c r="I105" s="138"/>
    </row>
    <row r="106" spans="1:35" ht="18.75" customHeight="1">
      <c r="A106" s="2412" t="s">
        <v>2300</v>
      </c>
      <c r="B106" s="2412"/>
      <c r="C106" s="2412"/>
      <c r="D106" s="2412"/>
      <c r="E106" s="2518" t="s">
        <v>2301</v>
      </c>
      <c r="F106" s="2254"/>
      <c r="G106" s="2515" t="s">
        <v>2296</v>
      </c>
      <c r="H106" s="1049">
        <f>C38</f>
        <v>0</v>
      </c>
      <c r="I106" s="138"/>
    </row>
    <row r="107" spans="1:35" ht="18.75" customHeight="1">
      <c r="A107" s="138"/>
      <c r="B107" s="138"/>
      <c r="C107" s="138"/>
      <c r="D107" s="138"/>
      <c r="E107" s="3099" t="str">
        <f>IF(项目基本情况!E8="已注销","——","3.房地产抵押价值")</f>
        <v>3.房地产抵押价值</v>
      </c>
      <c r="F107" s="3100"/>
      <c r="G107" s="2514" t="s">
        <v>2292</v>
      </c>
      <c r="H107" s="1048">
        <f ca="1">IF(E107="——","——",H101-H103)</f>
        <v>119535</v>
      </c>
      <c r="I107" s="138"/>
    </row>
    <row r="108" spans="1:35" ht="18.75" customHeight="1">
      <c r="A108" s="138"/>
      <c r="B108" s="138"/>
      <c r="C108" s="138"/>
      <c r="D108" s="138"/>
      <c r="E108" s="3099"/>
      <c r="F108" s="3100"/>
      <c r="G108" s="2514" t="s">
        <v>2294</v>
      </c>
      <c r="H108" s="371">
        <f ca="1">ROUND(H107*10000/'数据-汇总表'!E3,0)</f>
        <v>17750</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14" t="s">
        <v>2292</v>
      </c>
      <c r="H109" s="348" t="str">
        <f>IF(E109="——","——",H101-H105-H106)</f>
        <v>——</v>
      </c>
      <c r="I109" s="138"/>
    </row>
    <row r="110" spans="1:35" ht="18.75" customHeight="1">
      <c r="A110" s="138"/>
      <c r="B110" s="138"/>
      <c r="C110" s="138"/>
      <c r="D110" s="138"/>
      <c r="E110" s="3099"/>
      <c r="F110" s="3100"/>
      <c r="G110" s="2514" t="s">
        <v>2294</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14" t="s">
        <v>2292</v>
      </c>
      <c r="H111" s="1048" t="str">
        <f>IF(E111="——","——",N59)</f>
        <v>——</v>
      </c>
      <c r="I111" s="138"/>
    </row>
    <row r="112" spans="1:35" ht="18.75" customHeight="1" thickBot="1">
      <c r="A112" s="138"/>
      <c r="B112" s="138"/>
      <c r="C112" s="138"/>
      <c r="D112" s="138"/>
      <c r="E112" s="3136"/>
      <c r="F112" s="3137"/>
      <c r="G112" s="2519" t="s">
        <v>2294</v>
      </c>
      <c r="H112" s="790" t="str">
        <f>IF(E111="——","——",N61)</f>
        <v>——</v>
      </c>
      <c r="I112" s="138"/>
    </row>
    <row r="113" spans="1:11" ht="18.75" customHeight="1">
      <c r="A113" s="138"/>
      <c r="B113" s="138"/>
      <c r="C113" s="138"/>
      <c r="D113" s="138"/>
      <c r="E113" s="3104" t="s">
        <v>2300</v>
      </c>
      <c r="F113" s="3104"/>
      <c r="G113" s="3104"/>
      <c r="H113" s="3104"/>
      <c r="I113" s="138"/>
    </row>
    <row r="114" spans="1:11" ht="3.75" customHeight="1">
      <c r="A114" s="2412"/>
      <c r="B114" s="2412"/>
      <c r="C114" s="2412"/>
      <c r="D114" s="2412"/>
      <c r="E114" s="2490"/>
      <c r="F114" s="2490"/>
      <c r="G114" s="2490"/>
      <c r="H114" s="2490"/>
      <c r="I114" s="2412"/>
    </row>
    <row r="115" spans="1:11" ht="18.75" customHeight="1">
      <c r="A115" s="3117" t="s">
        <v>2302</v>
      </c>
      <c r="B115" s="3118"/>
      <c r="C115" s="3118"/>
      <c r="D115" s="3118"/>
      <c r="E115" s="3118"/>
      <c r="F115" s="3118"/>
      <c r="G115" s="3118"/>
      <c r="H115" s="3118"/>
      <c r="I115" s="3119"/>
    </row>
    <row r="116" spans="1:11" ht="27" customHeight="1">
      <c r="A116" s="3010" t="s">
        <v>2303</v>
      </c>
      <c r="B116" s="3105" t="s">
        <v>2304</v>
      </c>
      <c r="C116" s="3105" t="s">
        <v>2305</v>
      </c>
      <c r="D116" s="3121" t="s">
        <v>2306</v>
      </c>
      <c r="E116" s="3122"/>
      <c r="F116" s="3113" t="s">
        <v>2307</v>
      </c>
      <c r="G116" s="3113"/>
      <c r="H116" s="3010" t="s">
        <v>2308</v>
      </c>
      <c r="I116" s="3010"/>
    </row>
    <row r="117" spans="1:11" ht="18.75" customHeight="1">
      <c r="A117" s="3010"/>
      <c r="B117" s="3106"/>
      <c r="C117" s="3106"/>
      <c r="D117" s="1797" t="s">
        <v>2309</v>
      </c>
      <c r="E117" s="1797" t="s">
        <v>2310</v>
      </c>
      <c r="F117" s="1797" t="s">
        <v>2309</v>
      </c>
      <c r="G117" s="1797" t="s">
        <v>2311</v>
      </c>
      <c r="H117" s="1797" t="s">
        <v>2309</v>
      </c>
      <c r="I117" s="1797" t="s">
        <v>2311</v>
      </c>
    </row>
    <row r="118" spans="1:11" ht="24.75" customHeight="1">
      <c r="A118" s="2520" t="e">
        <f>项目基本情况!S2</f>
        <v>#REF!</v>
      </c>
      <c r="B118" s="1797">
        <f>M18</f>
        <v>67341.78</v>
      </c>
      <c r="C118" s="1797">
        <f>M19</f>
        <v>22451.59</v>
      </c>
      <c r="D118" s="1797">
        <f ca="1">ROUND(IF(D32="总价",C34,E118*B118/10000),0)</f>
        <v>111168</v>
      </c>
      <c r="E118" s="1797">
        <f ca="1">ROUND(IF(C33="自定义",IF(D32="楼面单价",C34,D118*10000/B118),I118-G118),0)</f>
        <v>16508</v>
      </c>
      <c r="F118" s="1797">
        <f ca="1">ROUND(IF(D32="总价",C35,G118*B118/10000),0)</f>
        <v>8367</v>
      </c>
      <c r="G118" s="1797">
        <f ca="1">ROUND(IF(D32="楼面单价",C35,F118*10000/B118),0)</f>
        <v>1242</v>
      </c>
      <c r="H118" s="1797">
        <f ca="1">ROUND(IF(D32="总价",C32,I118*B118/10000),0)</f>
        <v>119535</v>
      </c>
      <c r="I118" s="1797">
        <f ca="1">ROUND(IF(D32="楼面单价",C32,H118*10000/B118),0)</f>
        <v>17750</v>
      </c>
    </row>
    <row r="119" spans="1:11" ht="18.75" customHeight="1">
      <c r="A119" s="3010" t="s">
        <v>2312</v>
      </c>
      <c r="B119" s="3010"/>
      <c r="C119" s="3010"/>
      <c r="D119" s="3110" t="str">
        <f ca="1">NUMBERSTRING(INT(D118*10000),2)&amp;"元整"</f>
        <v>壹拾壹亿壹仟壹佰陆拾捌万元整</v>
      </c>
      <c r="E119" s="3112"/>
      <c r="F119" s="3110" t="str">
        <f ca="1">NUMBERSTRING(INT(F118*10000),2)&amp;"元整"</f>
        <v>捌仟叁佰陆拾柒万元整</v>
      </c>
      <c r="G119" s="3112"/>
      <c r="H119" s="3110" t="str">
        <f ca="1">NUMBERSTRING(INT(H118*10000),2)&amp;"元整"</f>
        <v>壹拾壹亿玖仟伍佰叁拾伍万元整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17" t="str">
        <f>IF(D120=0,"故，本次评估不存在"&amp;A120,"故，本次评估"&amp;A120&amp;"为人民币"&amp;D120&amp;"万元整。")</f>
        <v>故，本次评估不存在估价师知悉的法定优先受偿款</v>
      </c>
    </row>
    <row r="121" spans="1:11" ht="18.75" customHeight="1">
      <c r="A121" s="3114" t="s">
        <v>2312</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房地产抵押价值</v>
      </c>
      <c r="B122" s="3101"/>
      <c r="C122" s="3101"/>
      <c r="D122" s="3138">
        <f ca="1">H107</f>
        <v>119535</v>
      </c>
      <c r="E122" s="3139"/>
      <c r="F122" s="3139"/>
      <c r="G122" s="3139"/>
      <c r="H122" s="3139"/>
      <c r="I122" s="3140"/>
    </row>
    <row r="123" spans="1:11" ht="18.75" customHeight="1">
      <c r="A123" s="3010" t="s">
        <v>2312</v>
      </c>
      <c r="B123" s="3010"/>
      <c r="C123" s="3010"/>
      <c r="D123" s="3110" t="str">
        <f ca="1">NUMBERSTRING(INT(D122*10000),2)&amp;"元整"</f>
        <v>壹拾壹亿玖仟伍佰叁拾伍万元整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0" t="s">
        <v>2312</v>
      </c>
      <c r="B125" s="3010"/>
      <c r="C125" s="3010"/>
      <c r="D125" s="3110" t="e">
        <f>NUMBERSTRING(INT(D124*10000),2)&amp;"元整"</f>
        <v>#VALUE!</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2312</v>
      </c>
      <c r="B127" s="3010"/>
      <c r="C127" s="3010"/>
      <c r="D127" s="3110" t="e">
        <f>NUMBERSTRING(INT(D126*10000),2)&amp;"元整"</f>
        <v>#VALUE!</v>
      </c>
      <c r="E127" s="3111"/>
      <c r="F127" s="3111"/>
      <c r="G127" s="3111"/>
      <c r="H127" s="3111"/>
      <c r="I127" s="3112"/>
    </row>
    <row r="128" spans="1:11" ht="21.75" customHeight="1">
      <c r="A128" s="3120" t="s">
        <v>2313</v>
      </c>
      <c r="B128" s="3120"/>
      <c r="C128" s="3120"/>
      <c r="D128" s="3120"/>
      <c r="E128" s="3120"/>
      <c r="F128" s="3120"/>
      <c r="G128" s="3120"/>
      <c r="H128" s="3120"/>
      <c r="I128" s="3120"/>
    </row>
    <row r="129" spans="1:35" ht="21.75" customHeight="1">
      <c r="A129" s="2521" t="s">
        <v>2314</v>
      </c>
      <c r="B129" s="2522"/>
      <c r="C129" s="2523" t="s">
        <v>2315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2316</v>
      </c>
      <c r="G135" s="2538"/>
      <c r="H135" s="2538"/>
      <c r="I135" s="2539" t="s">
        <v>2317</v>
      </c>
    </row>
    <row r="136" spans="1:35" ht="21.75" customHeight="1">
      <c r="A136" s="795"/>
      <c r="B136" s="2540"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2319</v>
      </c>
    </row>
    <row r="139" spans="1:35" ht="21.75" customHeight="1">
      <c r="A139" s="795"/>
      <c r="B139" s="2540" t="s">
        <v>2320</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2319</v>
      </c>
    </row>
    <row r="142" spans="1:35" ht="21.75" customHeight="1">
      <c r="A142" s="795"/>
      <c r="B142" s="2540"/>
      <c r="C142" s="2541"/>
      <c r="D142" s="2542"/>
      <c r="E142" s="2542"/>
      <c r="F142" s="2335"/>
      <c r="G142" s="795"/>
      <c r="H142" s="795"/>
      <c r="I142" s="795"/>
    </row>
    <row r="143" spans="1:35" s="139" customFormat="1" ht="21.75" customHeight="1">
      <c r="A143" s="795"/>
      <c r="B143" s="2540"/>
      <c r="C143" s="2541"/>
      <c r="D143" s="2542"/>
      <c r="E143" s="2542"/>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9"/>
      <c r="C1" s="242"/>
      <c r="D1" s="242"/>
      <c r="E1" s="242"/>
      <c r="F1" s="242"/>
      <c r="G1" s="1382">
        <f>MATCH(B1,'数据-取费表'!A6:A16,0)+5</f>
        <v>9</v>
      </c>
    </row>
    <row r="2" spans="1:9" s="244" customFormat="1" ht="18" customHeight="1">
      <c r="A2" s="245" t="s">
        <v>2322</v>
      </c>
      <c r="B2" s="246">
        <f ca="1">IF(D2="——",C52,C52-E2)</f>
        <v>121773</v>
      </c>
      <c r="C2" s="243" t="s">
        <v>2323</v>
      </c>
      <c r="D2" s="2543" t="s">
        <v>70</v>
      </c>
      <c r="E2" s="1443" t="e">
        <f ca="1">SUMIF(INDIRECT("'"&amp;G2&amp;"'"&amp;"!A:A"),"承租人权益价值",INDIRECT("'"&amp;G2&amp;"'"&amp;"!c:c"))</f>
        <v>#REF!</v>
      </c>
      <c r="F2" s="2544" t="s">
        <v>2323</v>
      </c>
      <c r="G2" s="2545"/>
    </row>
    <row r="3" spans="1:9" s="244" customFormat="1" ht="18" customHeight="1" thickBot="1">
      <c r="A3" s="247" t="s">
        <v>2324</v>
      </c>
      <c r="B3" s="248">
        <f ca="1">ROUND(B2*10000/(IF(B1="",'数据-汇总表'!E3,INDIRECT("'数据-取费表'!k"&amp;$G$1))),0)</f>
        <v>18083</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96941</v>
      </c>
      <c r="D5" s="255" t="s">
        <v>2329</v>
      </c>
      <c r="E5" s="256" t="s">
        <v>2330</v>
      </c>
      <c r="F5" s="256" t="s">
        <v>2331</v>
      </c>
      <c r="G5" s="257"/>
    </row>
    <row r="6" spans="1:9" s="258" customFormat="1" ht="13.5" customHeight="1">
      <c r="A6" s="952" t="s">
        <v>2332</v>
      </c>
      <c r="B6" s="259" t="s">
        <v>2333</v>
      </c>
      <c r="C6" s="260">
        <f>ROUND('[1]比较法-住宅、综合'!$C$50*'土地比较法-住宅、综合'!E56/10000,0)</f>
        <v>92139</v>
      </c>
      <c r="D6" s="261"/>
      <c r="E6" s="262"/>
      <c r="F6" s="262"/>
      <c r="G6" s="263"/>
    </row>
    <row r="7" spans="1:9" s="258" customFormat="1" ht="13.5" customHeight="1">
      <c r="A7" s="952" t="s">
        <v>2334</v>
      </c>
      <c r="B7" s="259" t="s">
        <v>2335</v>
      </c>
      <c r="C7" s="264">
        <f>ROUND(C6*F7,0)</f>
        <v>2810</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1992</v>
      </c>
      <c r="D8" s="266"/>
      <c r="E8" s="264"/>
      <c r="F8" s="265"/>
      <c r="G8" s="2546" t="s">
        <v>3106</v>
      </c>
    </row>
    <row r="9" spans="1:9" s="258" customFormat="1" ht="13.5" customHeight="1">
      <c r="A9" s="953" t="s">
        <v>800</v>
      </c>
      <c r="B9" s="268" t="s">
        <v>2338</v>
      </c>
      <c r="C9" s="269">
        <f ca="1">ROUND(D9*E9/10000,0)</f>
        <v>1575</v>
      </c>
      <c r="D9" s="1035">
        <f ca="1">IF(B1="",'数据-汇总表'!E5,IF(INDIRECT("'数据-取费表'!c"&amp;$G$1)="住宅",INDIRECT("'数据-取费表'!k"&amp;$G$1),0))</f>
        <v>54311.28</v>
      </c>
      <c r="E9" s="269">
        <f>'数据-取费表'!B27</f>
        <v>290</v>
      </c>
      <c r="F9" s="265"/>
      <c r="G9" s="2547" t="s">
        <v>3105</v>
      </c>
      <c r="H9" s="1393">
        <v>1992</v>
      </c>
      <c r="I9" s="2548" t="s">
        <v>2339</v>
      </c>
    </row>
    <row r="10" spans="1:9" s="258" customFormat="1" ht="13.5" customHeight="1">
      <c r="A10" s="953" t="s">
        <v>801</v>
      </c>
      <c r="B10" s="268" t="s">
        <v>2340</v>
      </c>
      <c r="C10" s="269">
        <f ca="1">ROUND(D10*E10/10000,0)</f>
        <v>417</v>
      </c>
      <c r="D10" s="1035">
        <f ca="1">IF(B1="",'数据-汇总表'!E6,IF(INDIRECT("'数据-取费表'!c"&amp;$G$1)="住宅",INDIRECT("'数据-取费表'!s"&amp;$G$1),INDIRECT("'数据-取费表'!k"&amp;$G$1)+INDIRECT("'数据-取费表'!s"&amp;$G$1)))</f>
        <v>13030.5</v>
      </c>
      <c r="E10" s="269">
        <f>'数据-取费表'!B28</f>
        <v>320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67341.78</v>
      </c>
      <c r="E19" s="255">
        <f>'数据-取费表'!B31</f>
        <v>90</v>
      </c>
      <c r="F19" s="275"/>
      <c r="G19" s="2546" t="s">
        <v>3107</v>
      </c>
    </row>
    <row r="20" spans="1:7" s="258" customFormat="1" ht="13.5" customHeight="1">
      <c r="A20" s="299" t="s">
        <v>2353</v>
      </c>
      <c r="B20" s="254" t="s">
        <v>2354</v>
      </c>
      <c r="C20" s="276">
        <f ca="1">ROUND((C5+C19)*F20,0)</f>
        <v>1939</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7">
        <f ca="1">ROUND(SUM(C23:C25),0)</f>
        <v>3703</v>
      </c>
      <c r="D22" s="279">
        <f ca="1">C26</f>
        <v>4.0000000000000002E-4</v>
      </c>
      <c r="E22" s="280" t="s">
        <v>2358</v>
      </c>
      <c r="F22" s="281">
        <f ca="1">'数据-取费表'!B40</f>
        <v>4.7500000000000001E-2</v>
      </c>
      <c r="G22" s="278" t="str">
        <f>IF('数据-取费表'!B22&lt;=1,"单利计息","复利计息")</f>
        <v>复利计息</v>
      </c>
    </row>
    <row r="23" spans="1:7" s="258" customFormat="1" ht="13.5" customHeight="1">
      <c r="A23" s="954" t="s">
        <v>2362</v>
      </c>
      <c r="B23" s="259" t="s">
        <v>2363</v>
      </c>
      <c r="C23" s="1358">
        <f ca="1">ROUND(IF('数据-取费表'!B22&lt;=1,C5*F22*'数据-取费表'!B23,C5*(POWER((1+F22),'数据-取费表'!B23)-1)),0)</f>
        <v>3667</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36</v>
      </c>
      <c r="D25" s="282"/>
      <c r="E25" s="285"/>
      <c r="F25" s="283"/>
      <c r="G25" s="286" t="s">
        <v>2370</v>
      </c>
    </row>
    <row r="26" spans="1:7" s="258" customFormat="1">
      <c r="A26" s="954" t="s">
        <v>795</v>
      </c>
      <c r="B26" s="259" t="s">
        <v>2371</v>
      </c>
      <c r="C26" s="282">
        <f ca="1">ROUND(IF('数据-取费表'!B22&lt;=1,F21*F22*'数据-取费表'!B23/2,F21*(POWER((1+F22),'数据-取费表'!B23/2)-1)),4)</f>
        <v>4.0000000000000002E-4</v>
      </c>
      <c r="D26" s="282"/>
      <c r="E26" s="285"/>
      <c r="F26" s="283"/>
      <c r="G26" s="287"/>
    </row>
    <row r="27" spans="1:7" s="258" customFormat="1" ht="24.75">
      <c r="A27" s="299" t="s">
        <v>2372</v>
      </c>
      <c r="B27" s="288" t="s">
        <v>2373</v>
      </c>
      <c r="C27" s="289">
        <f ca="1">C28</f>
        <v>2215</v>
      </c>
      <c r="D27" s="279">
        <f ca="1">C29</f>
        <v>4.0000000000000002E-4</v>
      </c>
      <c r="E27" s="280" t="s">
        <v>2374</v>
      </c>
      <c r="F27" s="290">
        <f ca="1">IF(B1="",'数据-取费表'!Q16,INDIRECT("'数据-取费表'!q"&amp;$G$1))</f>
        <v>7.0000000000000007E-2</v>
      </c>
      <c r="G27" s="291" t="s">
        <v>2375</v>
      </c>
    </row>
    <row r="28" spans="1:7" s="258" customFormat="1" ht="13.5" customHeight="1">
      <c r="A28" s="954" t="s">
        <v>791</v>
      </c>
      <c r="B28" s="292" t="s">
        <v>2376</v>
      </c>
      <c r="C28" s="293">
        <f ca="1">ROUND((C5+C19+C20)*F27*'数据-取费表'!B21/'数据-取费表'!B20,0)</f>
        <v>2215</v>
      </c>
      <c r="D28" s="279"/>
      <c r="E28" s="280"/>
      <c r="F28" s="290"/>
      <c r="G28" s="291"/>
    </row>
    <row r="29" spans="1:7" s="258" customFormat="1" ht="13.5" customHeight="1">
      <c r="A29" s="954" t="s">
        <v>792</v>
      </c>
      <c r="B29" s="292" t="s">
        <v>2377</v>
      </c>
      <c r="C29" s="282">
        <f ca="1">ROUND(C21*F27*'数据-取费表'!B21/'数据-取费表'!B20,4)</f>
        <v>4.0000000000000002E-4</v>
      </c>
      <c r="D29" s="279"/>
      <c r="E29" s="280"/>
      <c r="F29" s="290"/>
      <c r="G29" s="291"/>
    </row>
    <row r="30" spans="1:7" s="258" customFormat="1" ht="13.5" customHeight="1">
      <c r="A30" s="299" t="s">
        <v>2378</v>
      </c>
      <c r="B30" s="254" t="s">
        <v>2379</v>
      </c>
      <c r="C30" s="279">
        <f>ROUND(F30/(1+'数据-取费表'!C42),4)</f>
        <v>5.3800000000000001E-2</v>
      </c>
      <c r="D30" s="280" t="s">
        <v>2374</v>
      </c>
      <c r="E30" s="285"/>
      <c r="F30" s="281">
        <f>'数据-取费表'!B41</f>
        <v>5.6500000000000002E-2</v>
      </c>
      <c r="G30" s="278" t="s">
        <v>2380</v>
      </c>
    </row>
    <row r="31" spans="1:7" ht="16.5" customHeight="1">
      <c r="A31" s="253">
        <v>1</v>
      </c>
      <c r="B31" s="254" t="s">
        <v>2381</v>
      </c>
      <c r="C31" s="255">
        <f ca="1">ROUND((C5+C19+C20+C22+C27)/(1-C21-D22-D27-C30),0)</f>
        <v>113246</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7097</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6112</v>
      </c>
      <c r="D34" s="261"/>
      <c r="E34" s="264"/>
      <c r="F34" s="301">
        <f ca="1">IF('数据-取费表'!B24=0,1,IF(B1="",'数据-取费表'!N16,INDIRECT("'数据-取费表'!n"&amp;$G$1)))</f>
        <v>0.33300000000000002</v>
      </c>
      <c r="G34" s="263" t="s">
        <v>2386</v>
      </c>
    </row>
    <row r="35" spans="1:7" ht="13.5" customHeight="1">
      <c r="A35" s="954" t="s">
        <v>796</v>
      </c>
      <c r="B35" s="259" t="s">
        <v>2387</v>
      </c>
      <c r="C35" s="264">
        <f ca="1">ROUND(C34*F35,0)</f>
        <v>183</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262</v>
      </c>
      <c r="D36" s="264"/>
      <c r="E36" s="264"/>
      <c r="F36" s="303">
        <f>'数据-取费表'!B34</f>
        <v>0.05</v>
      </c>
      <c r="G36" s="304" t="s">
        <v>2390</v>
      </c>
    </row>
    <row r="37" spans="1:7" s="302" customFormat="1" ht="13.5" customHeight="1">
      <c r="A37" s="954" t="s">
        <v>798</v>
      </c>
      <c r="B37" s="259" t="s">
        <v>2391</v>
      </c>
      <c r="C37" s="293">
        <f ca="1">ROUND(E37*D37*F34/10000,0)</f>
        <v>448</v>
      </c>
      <c r="D37" s="261">
        <f ca="1">D19</f>
        <v>67341.78</v>
      </c>
      <c r="E37" s="293">
        <f>'数据-取费表'!B35</f>
        <v>200</v>
      </c>
      <c r="F37" s="303"/>
      <c r="G37" s="305" t="s">
        <v>2392</v>
      </c>
    </row>
    <row r="38" spans="1:7" ht="13.5" customHeight="1">
      <c r="A38" s="954" t="s">
        <v>799</v>
      </c>
      <c r="B38" s="259" t="s">
        <v>2393</v>
      </c>
      <c r="C38" s="264">
        <f ca="1">ROUND(C34*F38,0)</f>
        <v>92</v>
      </c>
      <c r="D38" s="264"/>
      <c r="E38" s="264"/>
      <c r="F38" s="303">
        <f>'数据-取费表'!B36</f>
        <v>1.4999999999999999E-2</v>
      </c>
      <c r="G38" s="263" t="s">
        <v>2388</v>
      </c>
    </row>
    <row r="39" spans="1:7" s="258" customFormat="1" ht="13.5" customHeight="1">
      <c r="A39" s="299" t="s">
        <v>2394</v>
      </c>
      <c r="B39" s="254" t="s">
        <v>2395</v>
      </c>
      <c r="C39" s="276">
        <f ca="1">ROUND(C33*F20,0)</f>
        <v>142</v>
      </c>
      <c r="D39" s="276"/>
      <c r="E39" s="276"/>
      <c r="F39" s="277"/>
      <c r="G39" s="278" t="s">
        <v>2396</v>
      </c>
    </row>
    <row r="40" spans="1:7" s="258" customFormat="1" ht="13.5" customHeight="1">
      <c r="A40" s="299" t="s">
        <v>2397</v>
      </c>
      <c r="B40" s="254" t="s">
        <v>2398</v>
      </c>
      <c r="C40" s="1730">
        <f>F21</f>
        <v>0.02</v>
      </c>
      <c r="D40" s="280" t="s">
        <v>2399</v>
      </c>
      <c r="E40" s="276"/>
      <c r="F40" s="277"/>
      <c r="G40" s="278" t="s">
        <v>2400</v>
      </c>
    </row>
    <row r="41" spans="1:7" s="258" customFormat="1" ht="13.5" customHeight="1">
      <c r="A41" s="299" t="s">
        <v>2401</v>
      </c>
      <c r="B41" s="254" t="s">
        <v>2402</v>
      </c>
      <c r="C41" s="276">
        <f ca="1">ROUND(SUM(C42:C43),0)</f>
        <v>136</v>
      </c>
      <c r="D41" s="279">
        <f ca="1">C44</f>
        <v>4.0000000000000002E-4</v>
      </c>
      <c r="E41" s="280" t="s">
        <v>2399</v>
      </c>
      <c r="F41" s="281"/>
      <c r="G41" s="278" t="str">
        <f>IF('数据-取费表'!B22&lt;=1,"单利计息","复利计息")</f>
        <v>复利计息</v>
      </c>
    </row>
    <row r="42" spans="1:7" ht="13.5" customHeight="1">
      <c r="A42" s="954" t="s">
        <v>791</v>
      </c>
      <c r="B42" s="259" t="s">
        <v>2403</v>
      </c>
      <c r="C42" s="282">
        <f ca="1">ROUND(IF('数据-取费表'!B22&lt;=1,C33*F22*'数据-取费表'!B21/2,C33*(POWER((1+F22),'数据-取费表'!B21/2)-1)),0)</f>
        <v>133</v>
      </c>
      <c r="D42" s="282"/>
      <c r="E42" s="282"/>
      <c r="F42" s="283"/>
      <c r="G42" s="3152" t="s">
        <v>2404</v>
      </c>
    </row>
    <row r="43" spans="1:7" ht="13.5" customHeight="1">
      <c r="A43" s="954" t="s">
        <v>792</v>
      </c>
      <c r="B43" s="259" t="s">
        <v>2405</v>
      </c>
      <c r="C43" s="282">
        <f ca="1">ROUND(IF('数据-取费表'!B22&lt;=1,C39*F22*'数据-取费表'!B21/2,C39*(POWER((1+F22),'数据-取费表'!B21/2)-1)),0)</f>
        <v>3</v>
      </c>
      <c r="D43" s="282"/>
      <c r="E43" s="282"/>
      <c r="F43" s="283"/>
      <c r="G43" s="3153"/>
    </row>
    <row r="44" spans="1:7" ht="13.5" customHeight="1">
      <c r="A44" s="954" t="s">
        <v>793</v>
      </c>
      <c r="B44" s="259" t="s">
        <v>2406</v>
      </c>
      <c r="C44" s="282">
        <f ca="1">ROUND(IF('数据-取费表'!B22&lt;=1,C40*F22*'数据-取费表'!B21/2,C40*(POWER((1+F22),'数据-取费表'!B21/2)-1)),4)</f>
        <v>4.0000000000000002E-4</v>
      </c>
      <c r="D44" s="282"/>
      <c r="E44" s="282"/>
      <c r="F44" s="283"/>
      <c r="G44" s="3154"/>
    </row>
    <row r="45" spans="1:7" s="258" customFormat="1" ht="13.5" customHeight="1">
      <c r="A45" s="299" t="s">
        <v>2407</v>
      </c>
      <c r="B45" s="288" t="s">
        <v>2373</v>
      </c>
      <c r="C45" s="289">
        <f ca="1">C46</f>
        <v>507</v>
      </c>
      <c r="D45" s="279">
        <f ca="1">C47</f>
        <v>1.4E-3</v>
      </c>
      <c r="E45" s="280" t="s">
        <v>2399</v>
      </c>
      <c r="F45" s="290"/>
      <c r="G45" s="291" t="s">
        <v>2408</v>
      </c>
    </row>
    <row r="46" spans="1:7" s="258" customFormat="1" ht="13.5" customHeight="1">
      <c r="A46" s="954" t="s">
        <v>791</v>
      </c>
      <c r="B46" s="292" t="s">
        <v>2409</v>
      </c>
      <c r="C46" s="293">
        <f ca="1">ROUND((C33+C39)*F27,0)</f>
        <v>507</v>
      </c>
      <c r="D46" s="307"/>
      <c r="E46" s="280"/>
      <c r="F46" s="290"/>
      <c r="G46" s="291"/>
    </row>
    <row r="47" spans="1:7" s="258" customFormat="1" ht="13.5" customHeight="1">
      <c r="A47" s="954" t="s">
        <v>792</v>
      </c>
      <c r="B47" s="292" t="s">
        <v>2410</v>
      </c>
      <c r="C47" s="282">
        <f ca="1">ROUND(C40*F27,4)</f>
        <v>1.4E-3</v>
      </c>
      <c r="D47" s="307"/>
      <c r="E47" s="280"/>
      <c r="F47" s="290"/>
      <c r="G47" s="291"/>
    </row>
    <row r="48" spans="1:7" s="258" customFormat="1" ht="13.5" customHeight="1">
      <c r="A48" s="299" t="s">
        <v>2372</v>
      </c>
      <c r="B48" s="254" t="s">
        <v>2411</v>
      </c>
      <c r="C48" s="1730">
        <f>ROUND(F30/(1+'数据-取费表'!C42),4)</f>
        <v>5.3800000000000001E-2</v>
      </c>
      <c r="D48" s="280" t="s">
        <v>2399</v>
      </c>
      <c r="E48" s="276"/>
      <c r="F48" s="281"/>
      <c r="G48" s="278" t="s">
        <v>2412</v>
      </c>
    </row>
    <row r="49" spans="1:7" ht="16.5" customHeight="1">
      <c r="A49" s="299" t="s">
        <v>2378</v>
      </c>
      <c r="B49" s="254" t="s">
        <v>2413</v>
      </c>
      <c r="C49" s="276">
        <f ca="1">ROUND((C33+C39+C41+C45)/(1-C40-D41-D45-C48),0)</f>
        <v>8527</v>
      </c>
      <c r="D49" s="276"/>
      <c r="E49" s="276"/>
      <c r="F49" s="308"/>
      <c r="G49" s="278" t="s">
        <v>2414</v>
      </c>
    </row>
    <row r="50" spans="1:7" s="302" customFormat="1" ht="24">
      <c r="A50" s="299" t="s">
        <v>2415</v>
      </c>
      <c r="B50" s="254" t="s">
        <v>2416</v>
      </c>
      <c r="C50" s="276"/>
      <c r="D50" s="276"/>
      <c r="E50" s="276"/>
      <c r="F50" s="308">
        <f>IF('数据-取费表'!B24=0,'数据-取费表'!N16,1)</f>
        <v>1</v>
      </c>
      <c r="G50" s="291" t="s">
        <v>2417</v>
      </c>
    </row>
    <row r="51" spans="1:7" ht="16.5" customHeight="1">
      <c r="A51" s="299" t="s">
        <v>2418</v>
      </c>
      <c r="B51" s="254" t="s">
        <v>2419</v>
      </c>
      <c r="C51" s="276">
        <f ca="1">ROUND(C49*F50,0)</f>
        <v>8527</v>
      </c>
      <c r="D51" s="276"/>
      <c r="E51" s="276"/>
      <c r="F51" s="308"/>
      <c r="G51" s="278" t="s">
        <v>2420</v>
      </c>
    </row>
    <row r="52" spans="1:7" s="252" customFormat="1" ht="16.5" thickBot="1">
      <c r="A52" s="309" t="s">
        <v>2421</v>
      </c>
      <c r="B52" s="310"/>
      <c r="C52" s="311">
        <f ca="1">C31+C51</f>
        <v>121773</v>
      </c>
      <c r="D52" s="310"/>
      <c r="E52" s="310"/>
      <c r="F52" s="310"/>
      <c r="G52" s="312"/>
    </row>
    <row r="55" spans="1:7" ht="15">
      <c r="B55" s="314" t="s">
        <v>2422</v>
      </c>
      <c r="C55" s="315"/>
    </row>
    <row r="56" spans="1:7">
      <c r="B56" s="317" t="s">
        <v>1513</v>
      </c>
      <c r="C56" s="319">
        <f ca="1">1-C57</f>
        <v>0.92999999999999994</v>
      </c>
    </row>
    <row r="57" spans="1:7">
      <c r="B57" s="317" t="s">
        <v>1514</v>
      </c>
      <c r="C57" s="318">
        <f ca="1">ROUND(C51/C52,3)</f>
        <v>7.0000000000000007E-2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6" t="e">
        <f>项目基本情况!B1</f>
        <v>#REF!</v>
      </c>
      <c r="C37" s="2966"/>
      <c r="D37" s="2966"/>
      <c r="E37" s="2966"/>
      <c r="F37" s="2966"/>
      <c r="G37" s="2966"/>
      <c r="H37" s="2966"/>
      <c r="I37" s="2966"/>
    </row>
    <row r="38" spans="1:9">
      <c r="A38" s="1019"/>
      <c r="B38" s="1019"/>
    </row>
    <row r="39" spans="1:9">
      <c r="A39" s="1017" t="s">
        <v>818</v>
      </c>
      <c r="B39" s="1017" t="s">
        <v>820</v>
      </c>
    </row>
    <row r="40" spans="1:9">
      <c r="A40" s="1017"/>
      <c r="B40" s="1944" t="str">
        <f>项目基本情况!B5</f>
        <v>天津弘盛房地产开发有限公司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刘梅（注册号：1120140022)、吴薇（注册号：1419970001)</v>
      </c>
    </row>
    <row r="47" spans="1:9">
      <c r="A47" s="1017"/>
      <c r="B47" s="1017" t="str">
        <f>项目基本情况!K5</f>
        <v/>
      </c>
    </row>
    <row r="48" spans="1:9">
      <c r="A48" s="1017" t="s">
        <v>818</v>
      </c>
      <c r="B48" s="1017" t="s">
        <v>824</v>
      </c>
    </row>
    <row r="49" spans="2:2">
      <c r="B49" s="1944" t="str">
        <f>"康正预评字"&amp;项目基本情况!B2&amp;"号"</f>
        <v>康正预评字2018-1-0469号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9"/>
      <c r="C1" s="2549" t="s">
        <v>2423</v>
      </c>
      <c r="D1" s="242"/>
      <c r="E1" s="242"/>
      <c r="F1" s="242"/>
      <c r="G1" s="1382">
        <f>MATCH(B1,'数据-取费表'!A6:A16,0)+5</f>
        <v>9</v>
      </c>
      <c r="H1" s="1285" t="str">
        <f>IF(ISERROR(FIND("住宅",B1)),"非住宅","住宅")</f>
        <v>非住宅</v>
      </c>
    </row>
    <row r="2" spans="1:8" s="244" customFormat="1" ht="18" customHeight="1">
      <c r="A2" s="245" t="s">
        <v>2322</v>
      </c>
      <c r="B2" s="246">
        <f ca="1">ROUND(IF(D2="——",C52/10000,C52/10000-E2),0)</f>
        <v>30068</v>
      </c>
      <c r="C2" s="243" t="s">
        <v>2323</v>
      </c>
      <c r="D2" s="2543" t="s">
        <v>70</v>
      </c>
      <c r="E2" s="1443" t="e">
        <f ca="1">SUMIF(INDIRECT("'"&amp;G2&amp;"'"&amp;"!A:A"),"承租人权益价值",INDIRECT("'"&amp;G2&amp;"'"&amp;"!c:c"))</f>
        <v>#REF!</v>
      </c>
      <c r="F2" s="2544" t="s">
        <v>2323</v>
      </c>
      <c r="G2" s="2545"/>
    </row>
    <row r="3" spans="1:8" s="244" customFormat="1" ht="18" customHeight="1" thickBot="1">
      <c r="A3" s="247" t="s">
        <v>2324</v>
      </c>
      <c r="B3" s="248">
        <f ca="1">ROUND(B2*10000/(IF(B1="",'数据-汇总表'!E3,INDIRECT("'数据-取费表'!k"&amp;$G$1))),0)</f>
        <v>4465</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19920031</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19920031</v>
      </c>
      <c r="D8" s="266"/>
      <c r="E8" s="264"/>
      <c r="F8" s="265"/>
      <c r="G8" s="2546"/>
    </row>
    <row r="9" spans="1:8" s="258" customFormat="1" ht="13.5" customHeight="1">
      <c r="A9" s="953" t="s">
        <v>800</v>
      </c>
      <c r="B9" s="268" t="s">
        <v>2338</v>
      </c>
      <c r="C9" s="269">
        <f ca="1">ROUND(D9*E9,0)</f>
        <v>15750271</v>
      </c>
      <c r="D9" s="1035">
        <f ca="1">IF(B1="",'数据-汇总表'!E5,IF(INDIRECT("'数据-取费表'!c"&amp;$G$1)="住宅",INDIRECT("'数据-取费表'!k"&amp;$G$1),0))</f>
        <v>54311.28</v>
      </c>
      <c r="E9" s="269">
        <f>'数据-取费表'!B27</f>
        <v>290</v>
      </c>
      <c r="F9" s="265"/>
      <c r="G9" s="270"/>
    </row>
    <row r="10" spans="1:8" s="258" customFormat="1" ht="13.5" customHeight="1">
      <c r="A10" s="953" t="s">
        <v>801</v>
      </c>
      <c r="B10" s="268" t="s">
        <v>2340</v>
      </c>
      <c r="C10" s="269">
        <f ca="1">ROUND(D10*E10,0)</f>
        <v>4169760</v>
      </c>
      <c r="D10" s="1035">
        <f ca="1">IF(B1="",'数据-汇总表'!E6,IF(INDIRECT("'数据-取费表'!c"&amp;$G$1)="住宅",INDIRECT("'数据-取费表'!s"&amp;$G$1),INDIRECT("'数据-取费表'!k"&amp;$G$1)+INDIRECT("'数据-取费表'!s"&amp;$G$1)))</f>
        <v>13030.5</v>
      </c>
      <c r="E10" s="269">
        <f>'数据-取费表'!B28</f>
        <v>320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6060760</v>
      </c>
      <c r="D19" s="1039">
        <f ca="1">D9+D10</f>
        <v>67341.78</v>
      </c>
      <c r="E19" s="255">
        <f>'数据-取费表'!B31</f>
        <v>90</v>
      </c>
      <c r="F19" s="275"/>
      <c r="G19" s="2546"/>
    </row>
    <row r="20" spans="1:7" s="258" customFormat="1" ht="13.5" customHeight="1">
      <c r="A20" s="299" t="s">
        <v>2434</v>
      </c>
      <c r="B20" s="254" t="s">
        <v>2435</v>
      </c>
      <c r="C20" s="276">
        <f ca="1">ROUND((C5+C19)*F20,0)</f>
        <v>519616</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3">
        <f ca="1">ROUND(SUM(C23:C25),0)</f>
        <v>3227028</v>
      </c>
      <c r="D22" s="279">
        <f ca="1">C26</f>
        <v>1.1999999999999999E-3</v>
      </c>
      <c r="E22" s="280" t="s">
        <v>2439</v>
      </c>
      <c r="F22" s="281">
        <f ca="1">'数据-取费表'!B40</f>
        <v>4.7500000000000001E-2</v>
      </c>
      <c r="G22" s="278" t="str">
        <f>IF('数据-取费表'!B22&lt;=1,"单利计息","复利计息")</f>
        <v>复利计息</v>
      </c>
    </row>
    <row r="23" spans="1:7" s="258" customFormat="1" ht="13.5" customHeight="1">
      <c r="A23" s="954" t="s">
        <v>2332</v>
      </c>
      <c r="B23" s="259" t="s">
        <v>2443</v>
      </c>
      <c r="C23" s="1384">
        <f ca="1">ROUND(IF('数据-取费表'!B22&lt;=1,C5*F22*'数据-取费表'!B22,C5*(POWER((1+F22),'数据-取费表'!B22)-1)),0)</f>
        <v>2450438</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745557</v>
      </c>
      <c r="D24" s="282"/>
      <c r="E24" s="282"/>
      <c r="F24" s="283"/>
      <c r="G24" s="284" t="s">
        <v>2446</v>
      </c>
    </row>
    <row r="25" spans="1:7" s="258" customFormat="1" ht="24">
      <c r="A25" s="954" t="s">
        <v>2336</v>
      </c>
      <c r="B25" s="259" t="s">
        <v>2447</v>
      </c>
      <c r="C25" s="1384">
        <f ca="1">ROUND(IF('数据-取费表'!B22&lt;=1,C20*F22*'数据-取费表'!B22/2,C20*(POWER((1+F22),'数据-取费表'!B22/2)-1)),0)</f>
        <v>31033</v>
      </c>
      <c r="D25" s="282"/>
      <c r="E25" s="285"/>
      <c r="F25" s="283"/>
      <c r="G25" s="286" t="s">
        <v>2448</v>
      </c>
    </row>
    <row r="26" spans="1:7" s="258" customFormat="1">
      <c r="A26" s="954" t="s">
        <v>795</v>
      </c>
      <c r="B26" s="259" t="s">
        <v>2371</v>
      </c>
      <c r="C26" s="282">
        <f ca="1">ROUND(IF('数据-取费表'!B22&lt;=1,F21*F22*'数据-取费表'!B22/2,F21*(POWER((1+F22),'数据-取费表'!B22/2)-1)),4)</f>
        <v>1.1999999999999999E-3</v>
      </c>
      <c r="D26" s="282"/>
      <c r="E26" s="285"/>
      <c r="F26" s="283"/>
      <c r="G26" s="287"/>
    </row>
    <row r="27" spans="1:7" s="258" customFormat="1" ht="24.75">
      <c r="A27" s="299" t="s">
        <v>2372</v>
      </c>
      <c r="B27" s="288" t="s">
        <v>2373</v>
      </c>
      <c r="C27" s="289">
        <f ca="1">C28</f>
        <v>1855028</v>
      </c>
      <c r="D27" s="279">
        <f ca="1">C29</f>
        <v>1.4E-3</v>
      </c>
      <c r="E27" s="280" t="s">
        <v>2374</v>
      </c>
      <c r="F27" s="290">
        <f ca="1">IF(B1="",'数据-取费表'!Q16,INDIRECT("'数据-取费表'!q"&amp;$G$1))</f>
        <v>7.0000000000000007E-2</v>
      </c>
      <c r="G27" s="291" t="s">
        <v>2375</v>
      </c>
    </row>
    <row r="28" spans="1:7" s="258" customFormat="1" ht="13.5" customHeight="1">
      <c r="A28" s="954" t="s">
        <v>791</v>
      </c>
      <c r="B28" s="292" t="s">
        <v>2376</v>
      </c>
      <c r="C28" s="293">
        <f ca="1">ROUND((C5+C19+C20)*F27,0)</f>
        <v>1855028</v>
      </c>
      <c r="D28" s="279"/>
      <c r="E28" s="280"/>
      <c r="F28" s="290"/>
      <c r="G28" s="291"/>
    </row>
    <row r="29" spans="1:7" s="258" customFormat="1" ht="13.5" customHeight="1">
      <c r="A29" s="954" t="s">
        <v>792</v>
      </c>
      <c r="B29" s="292" t="s">
        <v>2377</v>
      </c>
      <c r="C29" s="282">
        <f ca="1">ROUND(C21*F27,4)</f>
        <v>1.4E-3</v>
      </c>
      <c r="D29" s="279"/>
      <c r="E29" s="280"/>
      <c r="F29" s="290"/>
      <c r="G29" s="291"/>
    </row>
    <row r="30" spans="1:7" s="258" customFormat="1" ht="13.5" customHeight="1">
      <c r="A30" s="299" t="s">
        <v>2378</v>
      </c>
      <c r="B30" s="254" t="s">
        <v>2379</v>
      </c>
      <c r="C30" s="279">
        <f>ROUND(F30/(1+'数据-取费表'!C42),4)</f>
        <v>5.3800000000000001E-2</v>
      </c>
      <c r="D30" s="280" t="s">
        <v>2374</v>
      </c>
      <c r="E30" s="285"/>
      <c r="F30" s="281">
        <f>'数据-取费表'!B41</f>
        <v>5.6500000000000002E-2</v>
      </c>
      <c r="G30" s="278" t="s">
        <v>2380</v>
      </c>
    </row>
    <row r="31" spans="1:7" ht="16.5" customHeight="1">
      <c r="A31" s="253">
        <v>1</v>
      </c>
      <c r="B31" s="254" t="s">
        <v>2381</v>
      </c>
      <c r="C31" s="255">
        <f ca="1">ROUND((C5+C19+C20+C22+C27)/(1-C21-D22-D27-C30),0)</f>
        <v>34194958</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213594151</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183712060</v>
      </c>
      <c r="D34" s="261"/>
      <c r="E34" s="264"/>
      <c r="F34" s="301"/>
      <c r="G34" s="263"/>
    </row>
    <row r="35" spans="1:7" ht="13.5" customHeight="1">
      <c r="A35" s="954" t="s">
        <v>796</v>
      </c>
      <c r="B35" s="259" t="s">
        <v>2387</v>
      </c>
      <c r="C35" s="264">
        <f ca="1">ROUND(C34*F35,0)</f>
        <v>5511362</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8146692</v>
      </c>
      <c r="D36" s="264"/>
      <c r="E36" s="264"/>
      <c r="F36" s="303">
        <f>'数据-取费表'!B34</f>
        <v>0.05</v>
      </c>
      <c r="G36" s="304" t="s">
        <v>2390</v>
      </c>
    </row>
    <row r="37" spans="1:7" s="302" customFormat="1" ht="13.5" customHeight="1">
      <c r="A37" s="954" t="s">
        <v>798</v>
      </c>
      <c r="B37" s="259" t="s">
        <v>2391</v>
      </c>
      <c r="C37" s="293">
        <f ca="1">ROUND(E37*D37,0)</f>
        <v>13468356</v>
      </c>
      <c r="D37" s="261">
        <f ca="1">D19</f>
        <v>67341.78</v>
      </c>
      <c r="E37" s="293">
        <f>'数据-取费表'!B35</f>
        <v>200</v>
      </c>
      <c r="F37" s="303"/>
      <c r="G37" s="305"/>
    </row>
    <row r="38" spans="1:7" ht="13.5" customHeight="1">
      <c r="A38" s="954" t="s">
        <v>799</v>
      </c>
      <c r="B38" s="259" t="s">
        <v>2393</v>
      </c>
      <c r="C38" s="264">
        <f ca="1">ROUND(C34*F38,0)</f>
        <v>2755681</v>
      </c>
      <c r="D38" s="264"/>
      <c r="E38" s="264"/>
      <c r="F38" s="303">
        <f>'数据-取费表'!B36</f>
        <v>1.4999999999999999E-2</v>
      </c>
      <c r="G38" s="263" t="s">
        <v>2388</v>
      </c>
    </row>
    <row r="39" spans="1:7" s="258" customFormat="1" ht="13.5" customHeight="1">
      <c r="A39" s="299" t="s">
        <v>2394</v>
      </c>
      <c r="B39" s="254" t="s">
        <v>2395</v>
      </c>
      <c r="C39" s="276">
        <f ca="1">ROUND(C33*F20,0)</f>
        <v>4271883</v>
      </c>
      <c r="D39" s="276"/>
      <c r="E39" s="276"/>
      <c r="F39" s="277"/>
      <c r="G39" s="278" t="s">
        <v>2396</v>
      </c>
    </row>
    <row r="40" spans="1:7" s="258" customFormat="1" ht="13.5" customHeight="1">
      <c r="A40" s="299" t="s">
        <v>2397</v>
      </c>
      <c r="B40" s="254" t="s">
        <v>2398</v>
      </c>
      <c r="C40" s="1730">
        <f>F21</f>
        <v>0.02</v>
      </c>
      <c r="D40" s="280" t="s">
        <v>2399</v>
      </c>
      <c r="E40" s="276"/>
      <c r="F40" s="277"/>
      <c r="G40" s="278" t="s">
        <v>2400</v>
      </c>
    </row>
    <row r="41" spans="1:7" s="258" customFormat="1" ht="13.5" customHeight="1">
      <c r="A41" s="299" t="s">
        <v>2401</v>
      </c>
      <c r="B41" s="254" t="s">
        <v>2402</v>
      </c>
      <c r="C41" s="276">
        <f ca="1">ROUND(SUM(C42:C43),0)</f>
        <v>13011709</v>
      </c>
      <c r="D41" s="279">
        <f ca="1">C44</f>
        <v>1.1999999999999999E-3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ROUND(IF('数据-取费表'!B22&lt;=1,C33*F22*'数据-取费表'!B20/2,C33*(POWER((1+F22),'数据-取费表'!B20/2)-1)),0)</f>
        <v>12756577</v>
      </c>
      <c r="D42" s="282"/>
      <c r="E42" s="282"/>
      <c r="F42" s="283"/>
      <c r="G42" s="3152" t="s">
        <v>2451</v>
      </c>
    </row>
    <row r="43" spans="1:7" ht="13.5" customHeight="1">
      <c r="A43" s="954" t="s">
        <v>792</v>
      </c>
      <c r="B43" s="259" t="s">
        <v>2405</v>
      </c>
      <c r="C43" s="282">
        <f ca="1">ROUND(IF('数据-取费表'!B22&lt;=1,C39*F22*'数据-取费表'!B20/2,C39*(POWER((1+F22),'数据-取费表'!B20/2)-1)),0)</f>
        <v>255132</v>
      </c>
      <c r="D43" s="282"/>
      <c r="E43" s="282"/>
      <c r="F43" s="283"/>
      <c r="G43" s="3153"/>
    </row>
    <row r="44" spans="1:7" ht="13.5" customHeight="1">
      <c r="A44" s="954" t="s">
        <v>793</v>
      </c>
      <c r="B44" s="259" t="s">
        <v>2406</v>
      </c>
      <c r="C44" s="282">
        <f ca="1">ROUND(IF('数据-取费表'!B22&lt;=1,C40*F22*'数据-取费表'!B20/2,C40*(POWER((1+F22),'数据-取费表'!B20/2)-1)),4)</f>
        <v>1.1999999999999999E-3</v>
      </c>
      <c r="D44" s="282"/>
      <c r="E44" s="282"/>
      <c r="F44" s="283"/>
      <c r="G44" s="3154"/>
    </row>
    <row r="45" spans="1:7" s="258" customFormat="1" ht="13.5" customHeight="1">
      <c r="A45" s="299" t="s">
        <v>2407</v>
      </c>
      <c r="B45" s="288" t="s">
        <v>2373</v>
      </c>
      <c r="C45" s="289">
        <f ca="1">C46</f>
        <v>15250622</v>
      </c>
      <c r="D45" s="279">
        <f ca="1">C47</f>
        <v>1.4E-3</v>
      </c>
      <c r="E45" s="280" t="s">
        <v>2399</v>
      </c>
      <c r="F45" s="290"/>
      <c r="G45" s="291" t="s">
        <v>2408</v>
      </c>
    </row>
    <row r="46" spans="1:7" s="258" customFormat="1" ht="13.5" customHeight="1">
      <c r="A46" s="954" t="s">
        <v>791</v>
      </c>
      <c r="B46" s="292" t="s">
        <v>2409</v>
      </c>
      <c r="C46" s="293">
        <f ca="1">ROUND((C33+C39)*F27,0)</f>
        <v>15250622</v>
      </c>
      <c r="D46" s="307"/>
      <c r="E46" s="280"/>
      <c r="F46" s="290"/>
      <c r="G46" s="291"/>
    </row>
    <row r="47" spans="1:7" s="258" customFormat="1" ht="13.5" customHeight="1">
      <c r="A47" s="954" t="s">
        <v>792</v>
      </c>
      <c r="B47" s="292" t="s">
        <v>2410</v>
      </c>
      <c r="C47" s="282">
        <f ca="1">ROUND(C40*F27,4)</f>
        <v>1.4E-3</v>
      </c>
      <c r="D47" s="307"/>
      <c r="E47" s="280"/>
      <c r="F47" s="290"/>
      <c r="G47" s="291"/>
    </row>
    <row r="48" spans="1:7" s="258" customFormat="1" ht="13.5" customHeight="1">
      <c r="A48" s="299" t="s">
        <v>2372</v>
      </c>
      <c r="B48" s="254" t="s">
        <v>2411</v>
      </c>
      <c r="C48" s="306">
        <f>ROUND(F30/(1+'数据-取费表'!C42),4)</f>
        <v>5.3800000000000001E-2</v>
      </c>
      <c r="D48" s="280" t="s">
        <v>2399</v>
      </c>
      <c r="E48" s="276"/>
      <c r="F48" s="281"/>
      <c r="G48" s="278" t="s">
        <v>2412</v>
      </c>
    </row>
    <row r="49" spans="1:7" ht="16.5" customHeight="1">
      <c r="A49" s="299" t="s">
        <v>2378</v>
      </c>
      <c r="B49" s="254" t="s">
        <v>2452</v>
      </c>
      <c r="C49" s="276">
        <f ca="1">ROUND((C33+C39+C41+C45)/(1-C40-D41-D45-C48),0)</f>
        <v>266488052</v>
      </c>
      <c r="D49" s="276"/>
      <c r="E49" s="276"/>
      <c r="F49" s="308"/>
      <c r="G49" s="278" t="s">
        <v>2414</v>
      </c>
    </row>
    <row r="50" spans="1:7" s="302" customFormat="1">
      <c r="A50" s="299" t="s">
        <v>2415</v>
      </c>
      <c r="B50" s="254" t="s">
        <v>2416</v>
      </c>
      <c r="C50" s="276"/>
      <c r="D50" s="276"/>
      <c r="E50" s="276"/>
      <c r="F50" s="308">
        <f>IF('数据-取费表'!B24=0,'数据-取费表'!N16,1)</f>
        <v>1</v>
      </c>
      <c r="G50" s="291"/>
    </row>
    <row r="51" spans="1:7" ht="16.5" customHeight="1">
      <c r="A51" s="299" t="s">
        <v>2418</v>
      </c>
      <c r="B51" s="254" t="s">
        <v>2453</v>
      </c>
      <c r="C51" s="276">
        <f ca="1">ROUND(C49*F50,0)</f>
        <v>266488052</v>
      </c>
      <c r="D51" s="276"/>
      <c r="E51" s="276"/>
      <c r="F51" s="308"/>
      <c r="G51" s="278" t="s">
        <v>2420</v>
      </c>
    </row>
    <row r="52" spans="1:7" s="252" customFormat="1" ht="16.5" thickBot="1">
      <c r="A52" s="309" t="s">
        <v>2421</v>
      </c>
      <c r="B52" s="310"/>
      <c r="C52" s="311">
        <f ca="1">C31+C51</f>
        <v>300683010</v>
      </c>
      <c r="D52" s="310"/>
      <c r="E52" s="310"/>
      <c r="F52" s="310"/>
      <c r="G52" s="312"/>
    </row>
    <row r="55" spans="1:7" ht="15">
      <c r="B55" s="314" t="s">
        <v>2422</v>
      </c>
      <c r="C55" s="315"/>
    </row>
    <row r="56" spans="1:7">
      <c r="B56" s="317" t="s">
        <v>1513</v>
      </c>
      <c r="C56" s="319">
        <f ca="1">1-C57</f>
        <v>0.11399999999999999</v>
      </c>
    </row>
    <row r="57" spans="1:7">
      <c r="B57" s="317" t="s">
        <v>1514</v>
      </c>
      <c r="C57" s="318">
        <f ca="1">ROUND(C51/C52,3)</f>
        <v>0.88600000000000001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8" zoomScale="80" zoomScaleNormal="80" workbookViewId="0">
      <selection activeCell="M26" sqref="M2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f>F66</f>
        <v>91819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f>ROUND(IF(D3="",B2*10000/'数据-汇总表'!E3,B2*10000/D3),0)</f>
        <v>13635</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159" t="s">
        <v>2638</v>
      </c>
      <c r="D4" s="3172"/>
      <c r="E4" s="3173" t="s">
        <v>2639</v>
      </c>
      <c r="F4" s="3174"/>
      <c r="G4" s="3159" t="s">
        <v>2640</v>
      </c>
      <c r="H4" s="3172"/>
      <c r="I4" s="3159" t="s">
        <v>2641</v>
      </c>
      <c r="J4" s="3172"/>
      <c r="K4" s="610" t="s">
        <v>2642</v>
      </c>
      <c r="L4" s="1133"/>
      <c r="M4" s="1134"/>
      <c r="N4" s="1134"/>
      <c r="O4" s="1134"/>
      <c r="P4" s="3175" t="s">
        <v>2643</v>
      </c>
      <c r="Q4" s="3176"/>
      <c r="R4" s="3181" t="s">
        <v>2639</v>
      </c>
      <c r="S4" s="3182"/>
      <c r="T4" s="3181" t="s">
        <v>2640</v>
      </c>
      <c r="U4" s="3182"/>
      <c r="V4" s="3168" t="s">
        <v>2641</v>
      </c>
      <c r="W4" s="3168"/>
      <c r="X4" s="1815"/>
      <c r="Y4" s="3181" t="s">
        <v>2643</v>
      </c>
      <c r="Z4" s="3182"/>
      <c r="AA4" s="3169" t="s">
        <v>2639</v>
      </c>
      <c r="AB4" s="3170" t="s">
        <v>2640</v>
      </c>
      <c r="AC4" s="3169" t="s">
        <v>2641</v>
      </c>
    </row>
    <row r="5" spans="1:30" ht="29.25" customHeight="1">
      <c r="A5" s="404"/>
      <c r="B5" s="405"/>
      <c r="C5" s="3189" t="s">
        <v>3113</v>
      </c>
      <c r="D5" s="3190"/>
      <c r="E5" s="3196" t="s">
        <v>3115</v>
      </c>
      <c r="F5" s="3197"/>
      <c r="G5" s="3189" t="s">
        <v>3117</v>
      </c>
      <c r="H5" s="3190"/>
      <c r="I5" s="3189" t="s">
        <v>3119</v>
      </c>
      <c r="J5" s="3190"/>
      <c r="K5" s="610"/>
      <c r="L5" s="1133"/>
      <c r="M5" s="1134"/>
      <c r="N5" s="1134"/>
      <c r="O5" s="1134"/>
      <c r="P5" s="3177"/>
      <c r="Q5" s="3178"/>
      <c r="R5" s="3183"/>
      <c r="S5" s="3184"/>
      <c r="T5" s="3183"/>
      <c r="U5" s="3184"/>
      <c r="V5" s="3168"/>
      <c r="W5" s="3168"/>
      <c r="X5" s="1815"/>
      <c r="Y5" s="3183"/>
      <c r="Z5" s="3184"/>
      <c r="AA5" s="3170"/>
      <c r="AB5" s="3170"/>
      <c r="AC5" s="3170"/>
    </row>
    <row r="6" spans="1:30" ht="36.75" customHeight="1" thickBot="1">
      <c r="A6" s="406"/>
      <c r="B6" s="407"/>
      <c r="C6" s="3187" t="s">
        <v>3114</v>
      </c>
      <c r="D6" s="3188"/>
      <c r="E6" s="3194" t="s">
        <v>3116</v>
      </c>
      <c r="F6" s="3195"/>
      <c r="G6" s="3187" t="s">
        <v>3118</v>
      </c>
      <c r="H6" s="3188"/>
      <c r="I6" s="3187" t="s">
        <v>3120</v>
      </c>
      <c r="J6" s="3188"/>
      <c r="K6" s="610" t="s">
        <v>2539</v>
      </c>
      <c r="L6" s="1133"/>
      <c r="M6" s="1134"/>
      <c r="N6" s="1134"/>
      <c r="O6" s="1134"/>
      <c r="P6" s="3179"/>
      <c r="Q6" s="3180"/>
      <c r="R6" s="3183"/>
      <c r="S6" s="3184"/>
      <c r="T6" s="3185"/>
      <c r="U6" s="3186"/>
      <c r="V6" s="3168"/>
      <c r="W6" s="3168"/>
      <c r="X6" s="1815"/>
      <c r="Y6" s="3185"/>
      <c r="Z6" s="3186"/>
      <c r="AA6" s="3171"/>
      <c r="AB6" s="3171"/>
      <c r="AC6" s="3171"/>
    </row>
    <row r="7" spans="1:30" s="117" customFormat="1" ht="15.75" thickBot="1">
      <c r="A7" s="408" t="s">
        <v>2540</v>
      </c>
      <c r="B7" s="409"/>
      <c r="C7" s="410">
        <f>'数据-取费表'!B2</f>
        <v>43279</v>
      </c>
      <c r="D7" s="411">
        <v>100</v>
      </c>
      <c r="E7" s="412">
        <v>43005</v>
      </c>
      <c r="F7" s="413">
        <f>SUMIF(70:70,YEAR(E7)&amp;"-"&amp;INT((MONTH(E7)+2)/3),71:71)</f>
        <v>94</v>
      </c>
      <c r="G7" s="2691">
        <v>42963</v>
      </c>
      <c r="H7" s="411">
        <f>SUMIF(70:70,YEAR(G7)&amp;"-"&amp;INT((MONTH(G7)+2)/3),71:71)</f>
        <v>94</v>
      </c>
      <c r="I7" s="2691">
        <v>42865</v>
      </c>
      <c r="J7" s="411">
        <f>SUMIF(70:70,YEAR(I7)&amp;"-"&amp;INT((MONTH(I7)+2)/3),71:71)</f>
        <v>92</v>
      </c>
      <c r="K7" s="611"/>
      <c r="L7" s="1135"/>
      <c r="M7" s="1136"/>
      <c r="N7" s="1136"/>
      <c r="O7" s="1136"/>
      <c r="P7" s="3191" t="s">
        <v>2541</v>
      </c>
      <c r="Q7" s="3193"/>
      <c r="R7" s="770" t="s">
        <v>17</v>
      </c>
      <c r="S7" s="771">
        <f t="shared" ref="S7:S15" si="0">F7</f>
        <v>94</v>
      </c>
      <c r="T7" s="770" t="s">
        <v>17</v>
      </c>
      <c r="U7" s="771">
        <f t="shared" ref="U7:U15" si="1">H7</f>
        <v>94</v>
      </c>
      <c r="V7" s="770" t="s">
        <v>17</v>
      </c>
      <c r="W7" s="771">
        <f t="shared" ref="W7:W15" si="2">J7</f>
        <v>92</v>
      </c>
      <c r="X7" s="772"/>
      <c r="Y7" s="3191" t="s">
        <v>2541</v>
      </c>
      <c r="Z7" s="3192"/>
      <c r="AA7" s="773">
        <f>D7/F7</f>
        <v>1.0638297872340425</v>
      </c>
      <c r="AB7" s="773">
        <f>D7/H7</f>
        <v>1.0638297872340425</v>
      </c>
      <c r="AC7" s="773">
        <f>D7/J7</f>
        <v>1.0869565217391304</v>
      </c>
    </row>
    <row r="8" spans="1:30" s="117" customFormat="1" ht="15.75" thickBot="1">
      <c r="A8" s="408" t="s">
        <v>2542</v>
      </c>
      <c r="B8" s="409"/>
      <c r="C8" s="414" t="s">
        <v>2543</v>
      </c>
      <c r="D8" s="411">
        <v>100</v>
      </c>
      <c r="E8" s="414" t="s">
        <v>2543</v>
      </c>
      <c r="F8" s="413">
        <f>SUMIF(73:73,E8,74:74)-SUMIF(73:73,C8,74:74)+100</f>
        <v>100</v>
      </c>
      <c r="G8" s="414" t="s">
        <v>2543</v>
      </c>
      <c r="H8" s="411">
        <f>SUMIF(73:73,G8,74:74)-SUMIF(73:73,C8,74:74)+100</f>
        <v>100</v>
      </c>
      <c r="I8" s="414" t="s">
        <v>2543</v>
      </c>
      <c r="J8" s="411">
        <f>SUMIF(73:73,I8,74:74)-SUMIF(73:73,C8,74:74)+100</f>
        <v>100</v>
      </c>
      <c r="K8" s="611"/>
      <c r="L8" s="1135"/>
      <c r="M8" s="1136"/>
      <c r="N8" s="1136"/>
      <c r="O8" s="1136"/>
      <c r="P8" s="3191" t="s">
        <v>2544</v>
      </c>
      <c r="Q8" s="3192"/>
      <c r="R8" s="770" t="s">
        <v>17</v>
      </c>
      <c r="S8" s="771">
        <f t="shared" si="0"/>
        <v>100</v>
      </c>
      <c r="T8" s="770" t="s">
        <v>17</v>
      </c>
      <c r="U8" s="771">
        <f t="shared" si="1"/>
        <v>100</v>
      </c>
      <c r="V8" s="770" t="s">
        <v>17</v>
      </c>
      <c r="W8" s="771">
        <f t="shared" si="2"/>
        <v>100</v>
      </c>
      <c r="X8" s="772"/>
      <c r="Y8" s="3191" t="s">
        <v>2544</v>
      </c>
      <c r="Z8" s="3192"/>
      <c r="AA8" s="773">
        <f t="shared" ref="AA8:AA45" si="3">D8/F8</f>
        <v>1</v>
      </c>
      <c r="AB8" s="773">
        <f t="shared" ref="AB8:AB45" si="4">D8/H8</f>
        <v>1</v>
      </c>
      <c r="AC8" s="773">
        <f t="shared" ref="AC8:AC45" si="5">D8/J8</f>
        <v>1</v>
      </c>
    </row>
    <row r="9" spans="1:30" s="117" customFormat="1">
      <c r="A9" s="415" t="s">
        <v>2545</v>
      </c>
      <c r="B9" s="71" t="s">
        <v>2546</v>
      </c>
      <c r="C9" s="2694" t="s">
        <v>3074</v>
      </c>
      <c r="D9" s="135">
        <v>100</v>
      </c>
      <c r="E9" s="2694" t="s">
        <v>3074</v>
      </c>
      <c r="F9" s="135">
        <f>SUMIF(75:75,E9,76:76)-SUMIF(75:75,C9,76:76)+100</f>
        <v>100</v>
      </c>
      <c r="G9" s="2694" t="s">
        <v>3074</v>
      </c>
      <c r="H9" s="135">
        <f>SUMIF(75:75,G9,76:76)-SUMIF(75:75,C9,76:76)+100</f>
        <v>100</v>
      </c>
      <c r="I9" s="2694" t="s">
        <v>3074</v>
      </c>
      <c r="J9" s="135">
        <f>SUMIF(75:75,I9,76:76)-SUMIF(75:75,C9,76:76)+100</f>
        <v>100</v>
      </c>
      <c r="K9" s="611"/>
      <c r="L9" s="1135"/>
      <c r="M9" s="1136"/>
      <c r="N9" s="1136"/>
      <c r="O9" s="1137"/>
      <c r="P9" s="3162" t="s">
        <v>2547</v>
      </c>
      <c r="Q9" s="1797"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30" s="427" customFormat="1" ht="27">
      <c r="A10" s="421"/>
      <c r="B10" s="422" t="s">
        <v>2549</v>
      </c>
      <c r="C10" s="432" t="s">
        <v>3122</v>
      </c>
      <c r="D10" s="136">
        <v>100</v>
      </c>
      <c r="E10" s="465" t="s">
        <v>3123</v>
      </c>
      <c r="F10" s="136">
        <f>ROUND(100/'数据-取费表'!G16,0)</f>
        <v>100</v>
      </c>
      <c r="G10" s="465" t="s">
        <v>3123</v>
      </c>
      <c r="H10" s="136">
        <f>ROUND(100/'数据-取费表'!G16,0)</f>
        <v>100</v>
      </c>
      <c r="I10" s="465" t="s">
        <v>3123</v>
      </c>
      <c r="J10" s="136">
        <f>ROUND(100/'数据-取费表'!G16,0)</f>
        <v>100</v>
      </c>
      <c r="K10" s="672"/>
      <c r="L10" s="1138"/>
      <c r="M10" s="1139"/>
      <c r="N10" s="1139"/>
      <c r="O10" s="1140"/>
      <c r="P10" s="3162"/>
      <c r="Q10" s="179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30" ht="15.75" thickBot="1">
      <c r="A11" s="428"/>
      <c r="B11" s="422" t="s">
        <v>2550</v>
      </c>
      <c r="C11" s="429">
        <v>2.4500000000000002</v>
      </c>
      <c r="D11" s="136">
        <v>100</v>
      </c>
      <c r="E11" s="429">
        <v>2</v>
      </c>
      <c r="F11" s="136">
        <f>LOOKUP(E11,80:80,81:81)-LOOKUP(C11,80:80,81:81)+100</f>
        <v>100</v>
      </c>
      <c r="G11" s="430">
        <v>2</v>
      </c>
      <c r="H11" s="136">
        <f>LOOKUP(G11,80:80,81:81)-LOOKUP(C11,80:80,81:81)+100</f>
        <v>100</v>
      </c>
      <c r="I11" s="429">
        <v>1.5</v>
      </c>
      <c r="J11" s="136">
        <f>LOOKUP(I11,80:80,81:81)-LOOKUP(C11,80:80,81:81)+100</f>
        <v>102</v>
      </c>
      <c r="K11" s="673">
        <v>2</v>
      </c>
      <c r="L11" s="1141"/>
      <c r="M11" s="1134"/>
      <c r="N11" s="1134"/>
      <c r="O11" s="1142"/>
      <c r="P11" s="3162"/>
      <c r="Q11" s="1797" t="str">
        <f t="shared" si="6"/>
        <v>容积率</v>
      </c>
      <c r="R11" s="770" t="s">
        <v>17</v>
      </c>
      <c r="S11" s="771">
        <f t="shared" si="0"/>
        <v>100</v>
      </c>
      <c r="T11" s="770" t="s">
        <v>17</v>
      </c>
      <c r="U11" s="771">
        <f t="shared" si="1"/>
        <v>100</v>
      </c>
      <c r="V11" s="770" t="s">
        <v>17</v>
      </c>
      <c r="W11" s="771">
        <f t="shared" si="2"/>
        <v>102</v>
      </c>
      <c r="X11" s="772"/>
      <c r="Y11" s="3010"/>
      <c r="Z11" s="55" t="str">
        <f t="shared" si="7"/>
        <v>容积率</v>
      </c>
      <c r="AA11" s="773">
        <f t="shared" si="3"/>
        <v>1</v>
      </c>
      <c r="AB11" s="773">
        <f t="shared" si="4"/>
        <v>1</v>
      </c>
      <c r="AC11" s="773">
        <f t="shared" si="5"/>
        <v>0.98039215686274506</v>
      </c>
    </row>
    <row r="12" spans="1:30" s="117" customFormat="1" ht="15" hidden="1">
      <c r="A12" s="431"/>
      <c r="B12" s="2595" t="s">
        <v>2739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2"/>
      <c r="Q12" s="1797" t="str">
        <f t="shared" si="6"/>
        <v>配建</v>
      </c>
      <c r="R12" s="770" t="s">
        <v>17</v>
      </c>
      <c r="S12" s="771">
        <f t="shared" si="0"/>
        <v>100</v>
      </c>
      <c r="T12" s="770" t="s">
        <v>17</v>
      </c>
      <c r="U12" s="771">
        <f t="shared" si="1"/>
        <v>100</v>
      </c>
      <c r="V12" s="770" t="s">
        <v>17</v>
      </c>
      <c r="W12" s="771">
        <f t="shared" si="2"/>
        <v>100</v>
      </c>
      <c r="X12" s="772"/>
      <c r="Y12" s="3010"/>
      <c r="Z12" s="55" t="str">
        <f t="shared" si="7"/>
        <v>配建</v>
      </c>
      <c r="AA12" s="773">
        <f>D12/F12</f>
        <v>1</v>
      </c>
      <c r="AB12" s="773">
        <f>D12/H12</f>
        <v>1</v>
      </c>
      <c r="AC12" s="773">
        <f>D12/J12</f>
        <v>1</v>
      </c>
    </row>
    <row r="13" spans="1:30" ht="15" hidden="1">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10"/>
      <c r="Z13" s="55">
        <f t="shared" si="7"/>
        <v>111</v>
      </c>
      <c r="AA13" s="773">
        <f>D13/F13</f>
        <v>1</v>
      </c>
      <c r="AB13" s="773">
        <f>D13/H13</f>
        <v>1</v>
      </c>
      <c r="AC13" s="773">
        <f>D13/J13</f>
        <v>1</v>
      </c>
    </row>
    <row r="14" spans="1:30" ht="15.75" hidden="1"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2"/>
      <c r="Q14" s="1797">
        <f t="shared" si="6"/>
        <v>111</v>
      </c>
      <c r="R14" s="770" t="s">
        <v>17</v>
      </c>
      <c r="S14" s="771">
        <f t="shared" si="0"/>
        <v>100</v>
      </c>
      <c r="T14" s="770" t="s">
        <v>17</v>
      </c>
      <c r="U14" s="771">
        <f t="shared" si="1"/>
        <v>100</v>
      </c>
      <c r="V14" s="770" t="s">
        <v>17</v>
      </c>
      <c r="W14" s="771">
        <f t="shared" si="2"/>
        <v>100</v>
      </c>
      <c r="X14" s="772"/>
      <c r="Y14" s="3010"/>
      <c r="Z14" s="55">
        <f t="shared" si="7"/>
        <v>111</v>
      </c>
      <c r="AA14" s="773">
        <f>D14/F14</f>
        <v>1</v>
      </c>
      <c r="AB14" s="773">
        <f>D14/H14</f>
        <v>1</v>
      </c>
      <c r="AC14" s="773">
        <f>D14/J14</f>
        <v>1</v>
      </c>
    </row>
    <row r="15" spans="1:30" ht="142.5">
      <c r="A15" s="440" t="s">
        <v>2551</v>
      </c>
      <c r="B15" s="69" t="s">
        <v>2082</v>
      </c>
      <c r="C15" s="2598" t="str">
        <f>估价对象房地状况!C15</f>
        <v>估价对象周边居住用地比例较大、居住小区规模较大和社区发展完善程度较好，有远景庄园、碧桂园海昌天澜等住宅项目，综合评价居住社区成熟度较好。</v>
      </c>
      <c r="D15" s="441">
        <v>100</v>
      </c>
      <c r="E15" s="2952" t="s">
        <v>3133</v>
      </c>
      <c r="F15" s="441">
        <f>SUMIF(88:88,E16,89:89)-SUMIF(88:88,C16,89:89)+100</f>
        <v>101.5</v>
      </c>
      <c r="G15" s="2952" t="s">
        <v>3134</v>
      </c>
      <c r="H15" s="441">
        <f>SUMIF(88:88,G16,89:89)-SUMIF(88:88,C16,89:89)+100</f>
        <v>101.5</v>
      </c>
      <c r="I15" s="2953" t="s">
        <v>3135</v>
      </c>
      <c r="J15" s="441">
        <f>SUMIF(88:88,I16,89:89)-SUMIF(88:88,C16,89:89)+100</f>
        <v>100</v>
      </c>
      <c r="K15" s="673">
        <v>1.5</v>
      </c>
      <c r="L15" s="1143"/>
      <c r="M15" s="1134"/>
      <c r="N15" s="1134"/>
      <c r="O15" s="1142"/>
      <c r="P15" s="3164" t="s">
        <v>2552</v>
      </c>
      <c r="Q15" s="1812" t="str">
        <f t="shared" si="6"/>
        <v>居住社区成熟度</v>
      </c>
      <c r="R15" s="774" t="s">
        <v>17</v>
      </c>
      <c r="S15" s="775">
        <f t="shared" si="0"/>
        <v>101.5</v>
      </c>
      <c r="T15" s="774" t="s">
        <v>17</v>
      </c>
      <c r="U15" s="775">
        <f t="shared" si="1"/>
        <v>101.5</v>
      </c>
      <c r="V15" s="774" t="s">
        <v>17</v>
      </c>
      <c r="W15" s="775">
        <f t="shared" si="2"/>
        <v>100</v>
      </c>
      <c r="X15" s="1815"/>
      <c r="Y15" s="3164" t="s">
        <v>2552</v>
      </c>
      <c r="Z15" s="1816" t="str">
        <f t="shared" si="7"/>
        <v>居住社区成熟度</v>
      </c>
      <c r="AA15" s="1813">
        <f t="shared" si="3"/>
        <v>0.98522167487684731</v>
      </c>
      <c r="AB15" s="1813">
        <f t="shared" si="4"/>
        <v>0.98522167487684731</v>
      </c>
      <c r="AC15" s="1813">
        <f t="shared" si="5"/>
        <v>1</v>
      </c>
    </row>
    <row r="16" spans="1:30" ht="15">
      <c r="A16" s="428"/>
      <c r="B16" s="446"/>
      <c r="C16" s="447" t="s">
        <v>3136</v>
      </c>
      <c r="D16" s="448"/>
      <c r="E16" s="2600" t="s">
        <v>3137</v>
      </c>
      <c r="F16" s="448"/>
      <c r="G16" s="2600" t="s">
        <v>3137</v>
      </c>
      <c r="H16" s="450"/>
      <c r="I16" s="2599" t="s">
        <v>3136</v>
      </c>
      <c r="J16" s="448"/>
      <c r="K16" s="672"/>
      <c r="L16" s="1143"/>
      <c r="M16" s="1134"/>
      <c r="N16" s="1134"/>
      <c r="O16" s="1142"/>
      <c r="P16" s="3165"/>
      <c r="Q16" s="1812"/>
      <c r="R16" s="774"/>
      <c r="S16" s="775"/>
      <c r="T16" s="774"/>
      <c r="U16" s="775"/>
      <c r="V16" s="774"/>
      <c r="W16" s="775"/>
      <c r="X16" s="1815"/>
      <c r="Y16" s="3165"/>
      <c r="Z16" s="1816"/>
      <c r="AA16" s="1813">
        <v>1</v>
      </c>
      <c r="AB16" s="1813">
        <v>1</v>
      </c>
      <c r="AC16" s="1813">
        <v>1</v>
      </c>
    </row>
    <row r="17" spans="1:29" ht="108">
      <c r="A17" s="428"/>
      <c r="B17" s="451" t="s">
        <v>2645</v>
      </c>
      <c r="C17" s="2659" t="str">
        <f>估价对象房地状况!C16</f>
        <v>估价对象位于天津市滨海新区响螺湾地区，周边商业氛围成熟度一般，人流量一般，商业繁华度一般。</v>
      </c>
      <c r="D17" s="450">
        <v>100</v>
      </c>
      <c r="E17" s="2954" t="s">
        <v>3138</v>
      </c>
      <c r="F17" s="450">
        <f>SUMIF(90:90,E18,91:91)-SUMIF(90:90,C18,91:91)+100</f>
        <v>101</v>
      </c>
      <c r="G17" s="2954" t="s">
        <v>3139</v>
      </c>
      <c r="H17" s="455">
        <f>SUMIF(90:90,G18,91:91)-SUMIF(90:90,C18,91:91)+100</f>
        <v>100</v>
      </c>
      <c r="I17" s="2955" t="s">
        <v>3140</v>
      </c>
      <c r="J17" s="455">
        <f>SUMIF(90:90,I18,91:91)-SUMIF(90:90,C18,91:91)+100</f>
        <v>100</v>
      </c>
      <c r="K17" s="673">
        <v>1</v>
      </c>
      <c r="L17" s="1143"/>
      <c r="M17" s="1134"/>
      <c r="N17" s="1134"/>
      <c r="O17" s="1142"/>
      <c r="P17" s="3165"/>
      <c r="Q17" s="1812" t="str">
        <f>B17</f>
        <v>商业繁华度</v>
      </c>
      <c r="R17" s="774" t="s">
        <v>17</v>
      </c>
      <c r="S17" s="775">
        <f>F17</f>
        <v>101</v>
      </c>
      <c r="T17" s="774" t="s">
        <v>17</v>
      </c>
      <c r="U17" s="775">
        <f>H17</f>
        <v>100</v>
      </c>
      <c r="V17" s="774" t="s">
        <v>17</v>
      </c>
      <c r="W17" s="775">
        <f>J17</f>
        <v>100</v>
      </c>
      <c r="X17" s="1815"/>
      <c r="Y17" s="3165"/>
      <c r="Z17" s="1816" t="str">
        <f>Q17</f>
        <v>商业繁华度</v>
      </c>
      <c r="AA17" s="1813">
        <f t="shared" si="3"/>
        <v>0.99009900990099009</v>
      </c>
      <c r="AB17" s="1813">
        <f t="shared" si="4"/>
        <v>1</v>
      </c>
      <c r="AC17" s="1813">
        <f t="shared" si="5"/>
        <v>1</v>
      </c>
    </row>
    <row r="18" spans="1:29" ht="15">
      <c r="A18" s="428"/>
      <c r="B18" s="456"/>
      <c r="C18" s="2603" t="s">
        <v>3141</v>
      </c>
      <c r="D18" s="450"/>
      <c r="E18" s="2605" t="s">
        <v>3136</v>
      </c>
      <c r="F18" s="450"/>
      <c r="G18" s="2605" t="s">
        <v>3141</v>
      </c>
      <c r="H18" s="448"/>
      <c r="I18" s="2604" t="s">
        <v>3141</v>
      </c>
      <c r="J18" s="448"/>
      <c r="K18" s="672"/>
      <c r="L18" s="1143"/>
      <c r="M18" s="1134"/>
      <c r="N18" s="1134"/>
      <c r="O18" s="1142"/>
      <c r="P18" s="3165"/>
      <c r="Q18" s="1812"/>
      <c r="R18" s="774"/>
      <c r="S18" s="775"/>
      <c r="T18" s="774"/>
      <c r="U18" s="775"/>
      <c r="V18" s="774"/>
      <c r="W18" s="775"/>
      <c r="X18" s="1815"/>
      <c r="Y18" s="3165"/>
      <c r="Z18" s="1816"/>
      <c r="AA18" s="1813">
        <v>1</v>
      </c>
      <c r="AB18" s="1813">
        <v>1</v>
      </c>
      <c r="AC18" s="1813">
        <v>1</v>
      </c>
    </row>
    <row r="19" spans="1:29" ht="15" hidden="1">
      <c r="A19" s="428"/>
      <c r="B19" s="451" t="s">
        <v>2679</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5"/>
      <c r="Q19" s="1812" t="str">
        <f>B19</f>
        <v>办公集聚程度</v>
      </c>
      <c r="R19" s="774" t="s">
        <v>17</v>
      </c>
      <c r="S19" s="775">
        <f>F19</f>
        <v>100</v>
      </c>
      <c r="T19" s="774" t="s">
        <v>17</v>
      </c>
      <c r="U19" s="775">
        <f>H19</f>
        <v>100</v>
      </c>
      <c r="V19" s="774" t="s">
        <v>17</v>
      </c>
      <c r="W19" s="775">
        <f>J19</f>
        <v>100</v>
      </c>
      <c r="X19" s="1815"/>
      <c r="Y19" s="3165"/>
      <c r="Z19" s="1816" t="str">
        <f>Q19</f>
        <v>办公集聚程度</v>
      </c>
      <c r="AA19" s="1813">
        <f t="shared" si="3"/>
        <v>1</v>
      </c>
      <c r="AB19" s="1813">
        <f t="shared" si="4"/>
        <v>1</v>
      </c>
      <c r="AC19" s="1813">
        <f t="shared" si="5"/>
        <v>1</v>
      </c>
    </row>
    <row r="20" spans="1:29" ht="15" hidden="1">
      <c r="A20" s="428"/>
      <c r="B20" s="456"/>
      <c r="C20" s="447"/>
      <c r="D20" s="448"/>
      <c r="E20" s="2600"/>
      <c r="F20" s="448"/>
      <c r="G20" s="2600"/>
      <c r="H20" s="448"/>
      <c r="I20" s="2599"/>
      <c r="J20" s="448"/>
      <c r="K20" s="672"/>
      <c r="L20" s="1143"/>
      <c r="M20" s="1134"/>
      <c r="N20" s="1134"/>
      <c r="O20" s="1142"/>
      <c r="P20" s="3165"/>
      <c r="Q20" s="1812"/>
      <c r="R20" s="774"/>
      <c r="S20" s="775"/>
      <c r="T20" s="774"/>
      <c r="U20" s="775"/>
      <c r="V20" s="774"/>
      <c r="W20" s="775"/>
      <c r="X20" s="1815"/>
      <c r="Y20" s="3165"/>
      <c r="Z20" s="1816"/>
      <c r="AA20" s="1813">
        <v>1</v>
      </c>
      <c r="AB20" s="1813">
        <v>1</v>
      </c>
      <c r="AC20" s="1813">
        <v>1</v>
      </c>
    </row>
    <row r="21" spans="1:29" ht="156.75">
      <c r="A21" s="428"/>
      <c r="B21" s="451" t="s">
        <v>2701</v>
      </c>
      <c r="C21" s="2602" t="str">
        <f>估价对象房地状况!C18</f>
        <v>估价对象紧邻城市支路——大新路、安阳道，周边路网密集程度一般、公共交通通达情况一般，有821、529路等公共交通，停车便捷程度一般，综合评价交通便捷度一般。</v>
      </c>
      <c r="D21" s="450">
        <v>100</v>
      </c>
      <c r="E21" s="452" t="s">
        <v>3142</v>
      </c>
      <c r="F21" s="455">
        <f>SUMIF(94:94,E22,95:95)-SUMIF(94:94,C22,95:95)+100</f>
        <v>101.5</v>
      </c>
      <c r="G21" s="452" t="s">
        <v>3143</v>
      </c>
      <c r="H21" s="450">
        <f>SUMIF(94:94,G22,95:95)-SUMIF(94:94,C22,95:95)+100</f>
        <v>101.5</v>
      </c>
      <c r="I21" s="454" t="s">
        <v>3144</v>
      </c>
      <c r="J21" s="450">
        <f>SUMIF(94:94,I22,95:95)-SUMIF(94:94,C22,95:95)+100</f>
        <v>100</v>
      </c>
      <c r="K21" s="673">
        <v>1.5</v>
      </c>
      <c r="L21" s="1143"/>
      <c r="M21" s="1134"/>
      <c r="N21" s="1134"/>
      <c r="O21" s="1142"/>
      <c r="P21" s="3165"/>
      <c r="Q21" s="1812" t="str">
        <f>B21</f>
        <v>交通便捷度</v>
      </c>
      <c r="R21" s="774" t="s">
        <v>17</v>
      </c>
      <c r="S21" s="775">
        <f>F21</f>
        <v>101.5</v>
      </c>
      <c r="T21" s="774" t="s">
        <v>17</v>
      </c>
      <c r="U21" s="775">
        <f>H21</f>
        <v>101.5</v>
      </c>
      <c r="V21" s="774" t="s">
        <v>17</v>
      </c>
      <c r="W21" s="775">
        <f>J21</f>
        <v>100</v>
      </c>
      <c r="X21" s="1815"/>
      <c r="Y21" s="3165"/>
      <c r="Z21" s="1816" t="str">
        <f>Q21</f>
        <v>交通便捷度</v>
      </c>
      <c r="AA21" s="1813">
        <f t="shared" si="3"/>
        <v>0.98522167487684731</v>
      </c>
      <c r="AB21" s="1813">
        <f t="shared" si="4"/>
        <v>0.98522167487684731</v>
      </c>
      <c r="AC21" s="1813">
        <f t="shared" si="5"/>
        <v>1</v>
      </c>
    </row>
    <row r="22" spans="1:29" ht="15">
      <c r="A22" s="428"/>
      <c r="B22" s="1387"/>
      <c r="C22" s="447" t="s">
        <v>3141</v>
      </c>
      <c r="D22" s="450"/>
      <c r="E22" s="2600" t="s">
        <v>3136</v>
      </c>
      <c r="F22" s="448"/>
      <c r="G22" s="2600" t="s">
        <v>3136</v>
      </c>
      <c r="H22" s="448"/>
      <c r="I22" s="2599" t="s">
        <v>3141</v>
      </c>
      <c r="J22" s="448"/>
      <c r="K22" s="672"/>
      <c r="L22" s="1143"/>
      <c r="M22" s="1134"/>
      <c r="N22" s="1134"/>
      <c r="O22" s="1142"/>
      <c r="P22" s="3165"/>
      <c r="Q22" s="1812"/>
      <c r="R22" s="774"/>
      <c r="S22" s="775"/>
      <c r="T22" s="774"/>
      <c r="U22" s="775"/>
      <c r="V22" s="774"/>
      <c r="W22" s="775"/>
      <c r="X22" s="1815"/>
      <c r="Y22" s="3165"/>
      <c r="Z22" s="1816"/>
      <c r="AA22" s="1813">
        <v>1</v>
      </c>
      <c r="AB22" s="1813">
        <v>1</v>
      </c>
      <c r="AC22" s="1813">
        <v>1</v>
      </c>
    </row>
    <row r="23" spans="1:29" ht="42.75">
      <c r="A23" s="404"/>
      <c r="B23" s="451" t="s">
        <v>2740</v>
      </c>
      <c r="C23" s="1392" t="str">
        <f>估价对象房地状况!C19</f>
        <v>区域内多为住宅用地，土地利用方向较为一致。</v>
      </c>
      <c r="D23" s="455">
        <v>100</v>
      </c>
      <c r="E23" s="2954" t="s">
        <v>3145</v>
      </c>
      <c r="F23" s="455">
        <f>SUMIF(96:96,E24,97:97)-SUMIF(96:96,C24,97:97)+100</f>
        <v>100</v>
      </c>
      <c r="G23" s="2955" t="s">
        <v>3145</v>
      </c>
      <c r="H23" s="455">
        <f>SUMIF(96:96,G24,97:97)-SUMIF(96:96,C24,97:97)+100</f>
        <v>100</v>
      </c>
      <c r="I23" s="2955" t="s">
        <v>3145</v>
      </c>
      <c r="J23" s="455">
        <f>SUMIF(96:96,I24,97:97)-SUMIF(96:96,C24,97:97)+100</f>
        <v>100</v>
      </c>
      <c r="K23" s="673"/>
      <c r="L23" s="1143"/>
      <c r="M23" s="1134"/>
      <c r="N23" s="1134"/>
      <c r="O23" s="1142"/>
      <c r="P23" s="3165"/>
      <c r="Q23" s="1812" t="str">
        <f t="shared" ref="Q23:Q37" si="8">B23</f>
        <v>区域土地利用方向</v>
      </c>
      <c r="R23" s="774" t="s">
        <v>17</v>
      </c>
      <c r="S23" s="775">
        <f>F23</f>
        <v>100</v>
      </c>
      <c r="T23" s="774" t="s">
        <v>17</v>
      </c>
      <c r="U23" s="775">
        <f>H23</f>
        <v>100</v>
      </c>
      <c r="V23" s="774" t="s">
        <v>17</v>
      </c>
      <c r="W23" s="775">
        <f>J23</f>
        <v>100</v>
      </c>
      <c r="X23" s="1815"/>
      <c r="Y23" s="3165"/>
      <c r="Z23" s="1816" t="str">
        <f>Q23</f>
        <v>区域土地利用方向</v>
      </c>
      <c r="AA23" s="1813">
        <f t="shared" si="3"/>
        <v>1</v>
      </c>
      <c r="AB23" s="1813">
        <f t="shared" si="4"/>
        <v>1</v>
      </c>
      <c r="AC23" s="1813">
        <f t="shared" si="5"/>
        <v>1</v>
      </c>
    </row>
    <row r="24" spans="1:29" ht="15">
      <c r="A24" s="404"/>
      <c r="B24" s="456"/>
      <c r="C24" s="616" t="s">
        <v>3136</v>
      </c>
      <c r="D24" s="448"/>
      <c r="E24" s="616" t="s">
        <v>3136</v>
      </c>
      <c r="F24" s="448"/>
      <c r="G24" s="616" t="s">
        <v>3136</v>
      </c>
      <c r="H24" s="448"/>
      <c r="I24" s="616" t="s">
        <v>3136</v>
      </c>
      <c r="J24" s="448"/>
      <c r="K24" s="812"/>
      <c r="L24" s="1143"/>
      <c r="M24" s="1134"/>
      <c r="N24" s="1134"/>
      <c r="O24" s="1142"/>
      <c r="P24" s="3165"/>
      <c r="Q24" s="1812"/>
      <c r="R24" s="774"/>
      <c r="S24" s="775"/>
      <c r="T24" s="774"/>
      <c r="U24" s="775"/>
      <c r="V24" s="774"/>
      <c r="W24" s="775"/>
      <c r="X24" s="1815"/>
      <c r="Y24" s="3165"/>
      <c r="Z24" s="1816"/>
      <c r="AA24" s="1813"/>
      <c r="AB24" s="1813"/>
      <c r="AC24" s="1813"/>
    </row>
    <row r="25" spans="1:29" ht="94.5">
      <c r="A25" s="404"/>
      <c r="B25" s="1387" t="s">
        <v>2741</v>
      </c>
      <c r="C25" s="2659" t="str">
        <f>估价对象房地状况!C20</f>
        <v>区域自然环境：彩带公园；人文环境：无博物馆、展览馆等人文景观；综合评价环境状况一般。</v>
      </c>
      <c r="D25" s="450">
        <v>100</v>
      </c>
      <c r="E25" s="2954" t="s">
        <v>3146</v>
      </c>
      <c r="F25" s="450">
        <f>SUMIF(98:98,E26,99:99)-SUMIF(98:98,C26,99:99)+100</f>
        <v>101</v>
      </c>
      <c r="G25" s="2954" t="s">
        <v>3147</v>
      </c>
      <c r="H25" s="450">
        <f>SUMIF(98:98,G26,99:99)-SUMIF(98:98,C26,99:99)+100</f>
        <v>100</v>
      </c>
      <c r="I25" s="2955" t="s">
        <v>3148</v>
      </c>
      <c r="J25" s="450">
        <f>SUMIF(98:98,I26,99:99)-SUMIF(98:98,C26,99:99)+100</f>
        <v>101</v>
      </c>
      <c r="K25" s="673">
        <v>1</v>
      </c>
      <c r="L25" s="1143"/>
      <c r="M25" s="1134"/>
      <c r="N25" s="1134"/>
      <c r="O25" s="1142"/>
      <c r="P25" s="3165"/>
      <c r="Q25" s="1812" t="str">
        <f t="shared" si="8"/>
        <v>自然及人文环境状况</v>
      </c>
      <c r="R25" s="774" t="s">
        <v>17</v>
      </c>
      <c r="S25" s="775">
        <f>F25</f>
        <v>101</v>
      </c>
      <c r="T25" s="774" t="s">
        <v>17</v>
      </c>
      <c r="U25" s="775">
        <f>H25</f>
        <v>100</v>
      </c>
      <c r="V25" s="774" t="s">
        <v>17</v>
      </c>
      <c r="W25" s="775">
        <f>J25</f>
        <v>101</v>
      </c>
      <c r="X25" s="1815"/>
      <c r="Y25" s="3165"/>
      <c r="Z25" s="1816" t="str">
        <f>Q25</f>
        <v>自然及人文环境状况</v>
      </c>
      <c r="AA25" s="1813">
        <f t="shared" si="3"/>
        <v>0.99009900990099009</v>
      </c>
      <c r="AB25" s="1813">
        <f t="shared" si="4"/>
        <v>1</v>
      </c>
      <c r="AC25" s="1813">
        <f t="shared" si="5"/>
        <v>0.99009900990099009</v>
      </c>
    </row>
    <row r="26" spans="1:29" ht="15">
      <c r="A26" s="404"/>
      <c r="B26" s="456"/>
      <c r="C26" s="447" t="s">
        <v>3141</v>
      </c>
      <c r="D26" s="448"/>
      <c r="E26" s="2606" t="s">
        <v>3136</v>
      </c>
      <c r="F26" s="448"/>
      <c r="G26" s="2606" t="s">
        <v>3141</v>
      </c>
      <c r="H26" s="448"/>
      <c r="I26" s="447" t="s">
        <v>3136</v>
      </c>
      <c r="J26" s="448"/>
      <c r="K26" s="672"/>
      <c r="L26" s="1143"/>
      <c r="M26" s="1134"/>
      <c r="N26" s="1134"/>
      <c r="O26" s="1142"/>
      <c r="P26" s="3165"/>
      <c r="Q26" s="1812"/>
      <c r="R26" s="774"/>
      <c r="S26" s="775"/>
      <c r="T26" s="774"/>
      <c r="U26" s="775"/>
      <c r="V26" s="774"/>
      <c r="W26" s="775"/>
      <c r="X26" s="1815"/>
      <c r="Y26" s="3165"/>
      <c r="Z26" s="1816"/>
      <c r="AA26" s="1813">
        <v>1</v>
      </c>
      <c r="AB26" s="1813">
        <v>1</v>
      </c>
      <c r="AC26" s="1813">
        <v>1</v>
      </c>
    </row>
    <row r="27" spans="1:29" s="117" customFormat="1" ht="213.75">
      <c r="A27" s="649"/>
      <c r="B27" s="1387" t="s">
        <v>2646</v>
      </c>
      <c r="C27" s="2602"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D27" s="450">
        <v>100</v>
      </c>
      <c r="E27" s="452" t="s">
        <v>3149</v>
      </c>
      <c r="F27" s="450">
        <f>SUMIF(100:100,E28,101:101)-SUMIF(100:100,C28,101:101)+100</f>
        <v>100</v>
      </c>
      <c r="G27" s="452" t="s">
        <v>3150</v>
      </c>
      <c r="H27" s="450">
        <f>SUMIF(100:100,G28,101:101)-SUMIF(100:100,C28,101:101)+100</f>
        <v>100</v>
      </c>
      <c r="I27" s="454" t="s">
        <v>3151</v>
      </c>
      <c r="J27" s="450">
        <f>SUMIF(100:100,I28,101:101)-SUMIF(100:100,C28,101:101)+100</f>
        <v>100</v>
      </c>
      <c r="K27" s="673"/>
      <c r="L27" s="1135"/>
      <c r="M27" s="1136"/>
      <c r="N27" s="1136"/>
      <c r="O27" s="1137"/>
      <c r="P27" s="3165"/>
      <c r="Q27" s="1797" t="str">
        <f t="shared" si="8"/>
        <v>公共配套设施</v>
      </c>
      <c r="R27" s="770" t="s">
        <v>17</v>
      </c>
      <c r="S27" s="771">
        <f>F27</f>
        <v>100</v>
      </c>
      <c r="T27" s="770" t="s">
        <v>17</v>
      </c>
      <c r="U27" s="771">
        <f>H27</f>
        <v>100</v>
      </c>
      <c r="V27" s="770" t="s">
        <v>17</v>
      </c>
      <c r="W27" s="771">
        <f>J27</f>
        <v>100</v>
      </c>
      <c r="X27" s="772"/>
      <c r="Y27" s="3165"/>
      <c r="Z27" s="55" t="str">
        <f>Q27</f>
        <v>公共配套设施</v>
      </c>
      <c r="AA27" s="1813">
        <f>D27/F27</f>
        <v>1</v>
      </c>
      <c r="AB27" s="1813">
        <f>D27/H27</f>
        <v>1</v>
      </c>
      <c r="AC27" s="1813">
        <f>D27/J27</f>
        <v>1</v>
      </c>
    </row>
    <row r="28" spans="1:29" s="117" customFormat="1" ht="15">
      <c r="A28" s="649"/>
      <c r="B28" s="456"/>
      <c r="C28" s="2695" t="s">
        <v>3136</v>
      </c>
      <c r="D28" s="448"/>
      <c r="E28" s="2695" t="s">
        <v>3136</v>
      </c>
      <c r="F28" s="448"/>
      <c r="G28" s="2695" t="s">
        <v>3136</v>
      </c>
      <c r="H28" s="448"/>
      <c r="I28" s="2695" t="s">
        <v>3136</v>
      </c>
      <c r="J28" s="448"/>
      <c r="K28" s="672"/>
      <c r="L28" s="1135"/>
      <c r="M28" s="1136"/>
      <c r="N28" s="1136"/>
      <c r="O28" s="1137"/>
      <c r="P28" s="3165"/>
      <c r="Q28" s="1797"/>
      <c r="R28" s="770"/>
      <c r="S28" s="771"/>
      <c r="T28" s="770"/>
      <c r="U28" s="771"/>
      <c r="V28" s="770"/>
      <c r="W28" s="771"/>
      <c r="X28" s="772"/>
      <c r="Y28" s="3165"/>
      <c r="Z28" s="55"/>
      <c r="AA28" s="1813">
        <v>1</v>
      </c>
      <c r="AB28" s="1813">
        <v>1</v>
      </c>
      <c r="AC28" s="1813">
        <v>1</v>
      </c>
    </row>
    <row r="29" spans="1:29" s="117" customFormat="1" ht="42.75">
      <c r="A29" s="649"/>
      <c r="B29" s="1387" t="s">
        <v>2647</v>
      </c>
      <c r="C29" s="2602" t="str">
        <f>估价对象房地状况!C22</f>
        <v>估价对象所在区域基础设施水平达到“七通”。</v>
      </c>
      <c r="D29" s="450">
        <v>100</v>
      </c>
      <c r="E29" s="452" t="s">
        <v>3153</v>
      </c>
      <c r="F29" s="450">
        <f>SUMIF(102:102,E30,103:103)-SUMIF(102:102,C30,103:103)+100</f>
        <v>100</v>
      </c>
      <c r="G29" s="452" t="s">
        <v>3153</v>
      </c>
      <c r="H29" s="450">
        <f>SUMIF(102:102,G30,103:103)-SUMIF(102:102,C30,103:103)+100</f>
        <v>100</v>
      </c>
      <c r="I29" s="454" t="s">
        <v>3154</v>
      </c>
      <c r="J29" s="450">
        <f>SUMIF(102:102,I30,103:103)-SUMIF(102:102,C30,103:103)+100</f>
        <v>100</v>
      </c>
      <c r="K29" s="673"/>
      <c r="L29" s="1135"/>
      <c r="M29" s="1136"/>
      <c r="N29" s="1136"/>
      <c r="O29" s="1137"/>
      <c r="P29" s="3165"/>
      <c r="Q29" s="1797" t="str">
        <f t="shared" ref="Q29" si="9">B29</f>
        <v>基础设施水平</v>
      </c>
      <c r="R29" s="770" t="s">
        <v>17</v>
      </c>
      <c r="S29" s="771">
        <f>F29</f>
        <v>100</v>
      </c>
      <c r="T29" s="770" t="s">
        <v>17</v>
      </c>
      <c r="U29" s="771">
        <f>H29</f>
        <v>100</v>
      </c>
      <c r="V29" s="770" t="s">
        <v>17</v>
      </c>
      <c r="W29" s="771">
        <f>J29</f>
        <v>100</v>
      </c>
      <c r="X29" s="772"/>
      <c r="Y29" s="3165"/>
      <c r="Z29" s="55" t="str">
        <f>Q29</f>
        <v>基础设施水平</v>
      </c>
      <c r="AA29" s="1813">
        <f>D29/F29</f>
        <v>1</v>
      </c>
      <c r="AB29" s="1813">
        <f>D29/H29</f>
        <v>1</v>
      </c>
      <c r="AC29" s="1813">
        <f>D29/J29</f>
        <v>1</v>
      </c>
    </row>
    <row r="30" spans="1:29" s="117" customFormat="1" ht="15">
      <c r="A30" s="649"/>
      <c r="B30" s="456"/>
      <c r="C30" s="2695" t="s">
        <v>3152</v>
      </c>
      <c r="D30" s="448"/>
      <c r="E30" s="2695" t="s">
        <v>3152</v>
      </c>
      <c r="F30" s="448"/>
      <c r="G30" s="2695" t="s">
        <v>3152</v>
      </c>
      <c r="H30" s="448"/>
      <c r="I30" s="2695" t="s">
        <v>3152</v>
      </c>
      <c r="J30" s="448"/>
      <c r="K30" s="672"/>
      <c r="L30" s="1135"/>
      <c r="M30" s="1136"/>
      <c r="N30" s="1136"/>
      <c r="O30" s="1137"/>
      <c r="P30" s="3165"/>
      <c r="Q30" s="1797"/>
      <c r="R30" s="770"/>
      <c r="S30" s="771"/>
      <c r="T30" s="770"/>
      <c r="U30" s="771"/>
      <c r="V30" s="770"/>
      <c r="W30" s="771"/>
      <c r="X30" s="772"/>
      <c r="Y30" s="3165"/>
      <c r="Z30" s="55"/>
      <c r="AA30" s="1813">
        <v>1</v>
      </c>
      <c r="AB30" s="1813">
        <v>1</v>
      </c>
      <c r="AC30" s="1813">
        <v>1</v>
      </c>
    </row>
    <row r="31" spans="1:29" ht="15">
      <c r="A31" s="428"/>
      <c r="B31" s="456" t="s">
        <v>2648</v>
      </c>
      <c r="C31" s="616" t="s">
        <v>3132</v>
      </c>
      <c r="D31" s="435">
        <v>100</v>
      </c>
      <c r="E31" s="634" t="s">
        <v>3155</v>
      </c>
      <c r="F31" s="435">
        <f>SUMIF(104:104,E31,105:105)-SUMIF(104:104,C31,105:105)+100</f>
        <v>98</v>
      </c>
      <c r="G31" s="634" t="s">
        <v>3156</v>
      </c>
      <c r="H31" s="435">
        <f>SUMIF(104:104,G31,105:105)-SUMIF(104:104,C31,105:105)+100</f>
        <v>96</v>
      </c>
      <c r="I31" s="634" t="s">
        <v>3132</v>
      </c>
      <c r="J31" s="435">
        <f>SUMIF(104:104,I31,105:105)-SUMIF(104:104,C31,105:105)+100</f>
        <v>100</v>
      </c>
      <c r="K31" s="673">
        <v>2</v>
      </c>
      <c r="L31" s="1143"/>
      <c r="M31" s="1134"/>
      <c r="N31" s="1134"/>
      <c r="O31" s="1142"/>
      <c r="P31" s="3165"/>
      <c r="Q31" s="1812" t="str">
        <f t="shared" si="8"/>
        <v>临街状况</v>
      </c>
      <c r="R31" s="774" t="s">
        <v>17</v>
      </c>
      <c r="S31" s="775">
        <f t="shared" ref="S31:S45" si="10">F31</f>
        <v>98</v>
      </c>
      <c r="T31" s="774" t="s">
        <v>17</v>
      </c>
      <c r="U31" s="775">
        <f t="shared" ref="U31:U45" si="11">H31</f>
        <v>96</v>
      </c>
      <c r="V31" s="774" t="s">
        <v>17</v>
      </c>
      <c r="W31" s="775">
        <f t="shared" ref="W31:W45" si="12">J31</f>
        <v>100</v>
      </c>
      <c r="X31" s="1815"/>
      <c r="Y31" s="3165"/>
      <c r="Z31" s="1816" t="str">
        <f t="shared" ref="Z31:Z45" si="13">Q31</f>
        <v>临街状况</v>
      </c>
      <c r="AA31" s="1813">
        <f t="shared" si="3"/>
        <v>1.0204081632653061</v>
      </c>
      <c r="AB31" s="1813">
        <f t="shared" si="4"/>
        <v>1.0416666666666667</v>
      </c>
      <c r="AC31" s="1813">
        <f t="shared" si="5"/>
        <v>1</v>
      </c>
    </row>
    <row r="32" spans="1:29" ht="27.75">
      <c r="A32" s="428"/>
      <c r="B32" s="1387" t="s">
        <v>2683</v>
      </c>
      <c r="C32" s="454" t="s">
        <v>3157</v>
      </c>
      <c r="D32" s="450">
        <v>100</v>
      </c>
      <c r="E32" s="452" t="s">
        <v>3164</v>
      </c>
      <c r="F32" s="450">
        <f>SUMIF(106:106,E33,107:107)-SUMIF(106:106,C33,107:107)+100</f>
        <v>104</v>
      </c>
      <c r="G32" s="452" t="s">
        <v>3166</v>
      </c>
      <c r="H32" s="450">
        <f>SUMIF(106:106,G33,107:107)-SUMIF(106:106,C33,107:107)+100</f>
        <v>104</v>
      </c>
      <c r="I32" s="454" t="s">
        <v>3167</v>
      </c>
      <c r="J32" s="450">
        <f>SUMIF(106:106,I33,107:107)-SUMIF(106:106,C33,107:107)+100</f>
        <v>100</v>
      </c>
      <c r="K32" s="673">
        <v>1</v>
      </c>
      <c r="L32" s="1143"/>
      <c r="M32" s="1134"/>
      <c r="N32" s="1134"/>
      <c r="O32" s="1142"/>
      <c r="P32" s="3165"/>
      <c r="Q32" s="1812" t="str">
        <f t="shared" si="8"/>
        <v>毗邻道路的类型与等级</v>
      </c>
      <c r="R32" s="774" t="s">
        <v>17</v>
      </c>
      <c r="S32" s="775">
        <f t="shared" si="10"/>
        <v>104</v>
      </c>
      <c r="T32" s="774" t="s">
        <v>17</v>
      </c>
      <c r="U32" s="775">
        <f t="shared" si="11"/>
        <v>104</v>
      </c>
      <c r="V32" s="774" t="s">
        <v>17</v>
      </c>
      <c r="W32" s="775">
        <f t="shared" si="12"/>
        <v>100</v>
      </c>
      <c r="X32" s="1815"/>
      <c r="Y32" s="3165"/>
      <c r="Z32" s="1816" t="str">
        <f t="shared" si="13"/>
        <v>毗邻道路的类型与等级</v>
      </c>
      <c r="AA32" s="1813">
        <f t="shared" si="3"/>
        <v>0.96153846153846156</v>
      </c>
      <c r="AB32" s="1813">
        <f t="shared" si="4"/>
        <v>0.96153846153846156</v>
      </c>
      <c r="AC32" s="1813">
        <f t="shared" si="5"/>
        <v>1</v>
      </c>
    </row>
    <row r="33" spans="1:29" ht="15">
      <c r="A33" s="428"/>
      <c r="B33" s="456"/>
      <c r="C33" s="447" t="s">
        <v>3163</v>
      </c>
      <c r="D33" s="448"/>
      <c r="E33" s="2606" t="s">
        <v>3165</v>
      </c>
      <c r="F33" s="448"/>
      <c r="G33" s="2606" t="s">
        <v>3165</v>
      </c>
      <c r="H33" s="448"/>
      <c r="I33" s="447" t="s">
        <v>3163</v>
      </c>
      <c r="J33" s="448"/>
      <c r="K33" s="613"/>
      <c r="L33" s="1143"/>
      <c r="M33" s="1134"/>
      <c r="N33" s="1134"/>
      <c r="O33" s="1142"/>
      <c r="P33" s="3165"/>
      <c r="Q33" s="1812"/>
      <c r="R33" s="774"/>
      <c r="S33" s="775"/>
      <c r="T33" s="774"/>
      <c r="U33" s="775"/>
      <c r="V33" s="774"/>
      <c r="W33" s="775"/>
      <c r="X33" s="1815"/>
      <c r="Y33" s="3165"/>
      <c r="Z33" s="1816"/>
      <c r="AA33" s="1813">
        <v>1</v>
      </c>
      <c r="AB33" s="1813">
        <v>1</v>
      </c>
      <c r="AC33" s="1813">
        <v>1</v>
      </c>
    </row>
    <row r="34" spans="1:29" ht="15.75" thickBot="1">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5"/>
      <c r="Q34" s="1812" t="str">
        <f t="shared" si="8"/>
        <v>土地级别</v>
      </c>
      <c r="R34" s="774" t="s">
        <v>17</v>
      </c>
      <c r="S34" s="775">
        <f t="shared" si="10"/>
        <v>100</v>
      </c>
      <c r="T34" s="774" t="s">
        <v>17</v>
      </c>
      <c r="U34" s="775">
        <f t="shared" si="11"/>
        <v>100</v>
      </c>
      <c r="V34" s="774" t="s">
        <v>17</v>
      </c>
      <c r="W34" s="775">
        <f t="shared" si="12"/>
        <v>100</v>
      </c>
      <c r="X34" s="1815"/>
      <c r="Y34" s="3165"/>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5"/>
      <c r="Q35" s="1812">
        <f t="shared" si="8"/>
        <v>111</v>
      </c>
      <c r="R35" s="774" t="s">
        <v>17</v>
      </c>
      <c r="S35" s="775">
        <f t="shared" si="10"/>
        <v>100</v>
      </c>
      <c r="T35" s="774" t="s">
        <v>17</v>
      </c>
      <c r="U35" s="775">
        <f t="shared" si="11"/>
        <v>100</v>
      </c>
      <c r="V35" s="774" t="s">
        <v>17</v>
      </c>
      <c r="W35" s="775">
        <f t="shared" si="12"/>
        <v>100</v>
      </c>
      <c r="X35" s="1815"/>
      <c r="Y35" s="3165"/>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6" t="s">
        <v>2557</v>
      </c>
      <c r="Q36" s="1812">
        <f t="shared" si="8"/>
        <v>111</v>
      </c>
      <c r="R36" s="774" t="s">
        <v>17</v>
      </c>
      <c r="S36" s="775">
        <f t="shared" si="10"/>
        <v>100</v>
      </c>
      <c r="T36" s="774" t="s">
        <v>17</v>
      </c>
      <c r="U36" s="775">
        <f t="shared" si="11"/>
        <v>100</v>
      </c>
      <c r="V36" s="774" t="s">
        <v>17</v>
      </c>
      <c r="W36" s="775">
        <f t="shared" si="12"/>
        <v>100</v>
      </c>
      <c r="X36" s="1815"/>
      <c r="Y36" s="3167" t="s">
        <v>2557</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7"/>
      <c r="Q37" s="1812">
        <f t="shared" si="8"/>
        <v>111</v>
      </c>
      <c r="R37" s="777" t="s">
        <v>17</v>
      </c>
      <c r="S37" s="778">
        <f t="shared" si="10"/>
        <v>100</v>
      </c>
      <c r="T37" s="777" t="s">
        <v>17</v>
      </c>
      <c r="U37" s="778">
        <f t="shared" si="11"/>
        <v>100</v>
      </c>
      <c r="V37" s="777" t="s">
        <v>17</v>
      </c>
      <c r="W37" s="778">
        <f t="shared" si="12"/>
        <v>100</v>
      </c>
      <c r="X37" s="779"/>
      <c r="Y37" s="3167"/>
      <c r="Z37" s="780">
        <f t="shared" si="13"/>
        <v>111</v>
      </c>
      <c r="AA37" s="1813">
        <f t="shared" si="3"/>
        <v>1</v>
      </c>
      <c r="AB37" s="1813">
        <f t="shared" si="4"/>
        <v>1</v>
      </c>
      <c r="AC37" s="1813">
        <f t="shared" si="5"/>
        <v>1</v>
      </c>
    </row>
    <row r="38" spans="1:29" ht="15">
      <c r="A38" s="472" t="s">
        <v>2555</v>
      </c>
      <c r="B38" s="456" t="s">
        <v>2743</v>
      </c>
      <c r="C38" s="679">
        <v>106984.7</v>
      </c>
      <c r="D38" s="467">
        <v>100</v>
      </c>
      <c r="E38" s="679">
        <v>57199.7</v>
      </c>
      <c r="F38" s="467">
        <f>LOOKUP(E38,117:117,118:118)-LOOKUP(C38,117:117,118:118)+100</f>
        <v>99</v>
      </c>
      <c r="G38" s="679">
        <v>35189.5</v>
      </c>
      <c r="H38" s="467">
        <f>LOOKUP(G38,117:117,118:118)-LOOKUP(C38,117:117,118:118)+100</f>
        <v>98</v>
      </c>
      <c r="I38" s="530">
        <v>149245.1</v>
      </c>
      <c r="J38" s="467">
        <f>LOOKUP(I38,117:117,118:118)-LOOKUP(C38,117:117,118:118)+100</f>
        <v>100</v>
      </c>
      <c r="K38" s="613"/>
      <c r="L38" s="1143"/>
      <c r="M38" s="1134"/>
      <c r="N38" s="1134"/>
      <c r="O38" s="1142"/>
      <c r="P38" s="3167"/>
      <c r="Q38" s="1812" t="str">
        <f>B38</f>
        <v>宗地面积</v>
      </c>
      <c r="R38" s="774" t="s">
        <v>17</v>
      </c>
      <c r="S38" s="775">
        <f t="shared" si="10"/>
        <v>99</v>
      </c>
      <c r="T38" s="774" t="s">
        <v>17</v>
      </c>
      <c r="U38" s="775">
        <f t="shared" si="11"/>
        <v>98</v>
      </c>
      <c r="V38" s="774" t="s">
        <v>17</v>
      </c>
      <c r="W38" s="775">
        <f t="shared" si="12"/>
        <v>100</v>
      </c>
      <c r="X38" s="1815"/>
      <c r="Y38" s="3167"/>
      <c r="Z38" s="1816" t="str">
        <f t="shared" si="13"/>
        <v>宗地面积</v>
      </c>
      <c r="AA38" s="1813">
        <f t="shared" si="3"/>
        <v>1.0101010101010102</v>
      </c>
      <c r="AB38" s="1813">
        <f t="shared" si="4"/>
        <v>1.0204081632653061</v>
      </c>
      <c r="AC38" s="1813">
        <f t="shared" si="5"/>
        <v>1</v>
      </c>
    </row>
    <row r="39" spans="1:29" ht="15">
      <c r="A39" s="472"/>
      <c r="B39" s="422" t="s">
        <v>2744</v>
      </c>
      <c r="C39" s="2608" t="s">
        <v>3178</v>
      </c>
      <c r="D39" s="435">
        <v>100</v>
      </c>
      <c r="E39" s="2608" t="s">
        <v>3178</v>
      </c>
      <c r="F39" s="435">
        <f>SUMIF(119:119,E39,120:120)-SUMIF(119:119,C39,120:120)+100</f>
        <v>100</v>
      </c>
      <c r="G39" s="2608" t="s">
        <v>3178</v>
      </c>
      <c r="H39" s="435">
        <f>SUMIF(119:119,G39,120:120)-SUMIF(119:119,C39,120:120)+100</f>
        <v>100</v>
      </c>
      <c r="I39" s="2608" t="s">
        <v>3178</v>
      </c>
      <c r="J39" s="435">
        <f>SUMIF(119:119,I39,120:120)-SUMIF(119:119,C39,120:120)+100</f>
        <v>100</v>
      </c>
      <c r="K39" s="612"/>
      <c r="L39" s="1143"/>
      <c r="M39" s="1134"/>
      <c r="N39" s="1134"/>
      <c r="O39" s="1142"/>
      <c r="P39" s="3167"/>
      <c r="Q39" s="1812" t="str">
        <f t="shared" ref="Q39:Q45" si="14">B39</f>
        <v>宗地形状</v>
      </c>
      <c r="R39" s="774" t="s">
        <v>17</v>
      </c>
      <c r="S39" s="775">
        <f t="shared" si="10"/>
        <v>100</v>
      </c>
      <c r="T39" s="774" t="s">
        <v>17</v>
      </c>
      <c r="U39" s="775">
        <f t="shared" si="11"/>
        <v>100</v>
      </c>
      <c r="V39" s="774" t="s">
        <v>17</v>
      </c>
      <c r="W39" s="775">
        <f t="shared" si="12"/>
        <v>100</v>
      </c>
      <c r="X39" s="1815"/>
      <c r="Y39" s="3167"/>
      <c r="Z39" s="1816" t="str">
        <f t="shared" si="13"/>
        <v>宗地形状</v>
      </c>
      <c r="AA39" s="1813">
        <f t="shared" si="3"/>
        <v>1</v>
      </c>
      <c r="AB39" s="1813">
        <f t="shared" si="4"/>
        <v>1</v>
      </c>
      <c r="AC39" s="1813">
        <f t="shared" si="5"/>
        <v>1</v>
      </c>
    </row>
    <row r="40" spans="1:29" ht="15">
      <c r="A40" s="472"/>
      <c r="B40" s="422" t="s">
        <v>2745</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43"/>
      <c r="M40" s="1134"/>
      <c r="N40" s="1134"/>
      <c r="O40" s="1142"/>
      <c r="P40" s="3167"/>
      <c r="Q40" s="1812" t="str">
        <f t="shared" si="14"/>
        <v>临街宽度及深度</v>
      </c>
      <c r="R40" s="774" t="s">
        <v>17</v>
      </c>
      <c r="S40" s="775">
        <f t="shared" si="10"/>
        <v>100</v>
      </c>
      <c r="T40" s="774" t="s">
        <v>17</v>
      </c>
      <c r="U40" s="775">
        <f t="shared" si="11"/>
        <v>100</v>
      </c>
      <c r="V40" s="774" t="s">
        <v>17</v>
      </c>
      <c r="W40" s="775">
        <f t="shared" si="12"/>
        <v>100</v>
      </c>
      <c r="X40" s="1815"/>
      <c r="Y40" s="3167"/>
      <c r="Z40" s="1816" t="str">
        <f t="shared" si="13"/>
        <v>临街宽度及深度</v>
      </c>
      <c r="AA40" s="1813">
        <f t="shared" si="3"/>
        <v>1</v>
      </c>
      <c r="AB40" s="1813">
        <f t="shared" si="4"/>
        <v>1</v>
      </c>
      <c r="AC40" s="1813">
        <f t="shared" si="5"/>
        <v>1</v>
      </c>
    </row>
    <row r="41" spans="1:29" s="117" customFormat="1" ht="15">
      <c r="A41" s="473"/>
      <c r="B41" s="422" t="s">
        <v>2746</v>
      </c>
      <c r="C41" s="2697" t="s">
        <v>3177</v>
      </c>
      <c r="D41" s="136">
        <v>100</v>
      </c>
      <c r="E41" s="2697" t="s">
        <v>3177</v>
      </c>
      <c r="F41" s="435">
        <f>SUMIF(123:123,E41,124:124)-SUMIF(123:123,C41,124:124)+100</f>
        <v>100</v>
      </c>
      <c r="G41" s="2697" t="s">
        <v>3177</v>
      </c>
      <c r="H41" s="435">
        <f>SUMIF(123:123,G41,124:124)-SUMIF(123:123,C41,124:124)+100</f>
        <v>100</v>
      </c>
      <c r="I41" s="2697" t="s">
        <v>3177</v>
      </c>
      <c r="J41" s="435">
        <f>SUMIF(123:123,I41,124:124)-SUMIF(123:123,C41,124:124)+100</f>
        <v>100</v>
      </c>
      <c r="K41" s="612"/>
      <c r="L41" s="1135"/>
      <c r="M41" s="1136"/>
      <c r="N41" s="1136"/>
      <c r="O41" s="1137"/>
      <c r="P41" s="3167"/>
      <c r="Q41" s="1812" t="str">
        <f t="shared" si="14"/>
        <v>宗地开发程度</v>
      </c>
      <c r="R41" s="770" t="s">
        <v>17</v>
      </c>
      <c r="S41" s="771">
        <f t="shared" si="10"/>
        <v>100</v>
      </c>
      <c r="T41" s="770" t="s">
        <v>17</v>
      </c>
      <c r="U41" s="771">
        <f t="shared" si="11"/>
        <v>100</v>
      </c>
      <c r="V41" s="770" t="s">
        <v>17</v>
      </c>
      <c r="W41" s="771">
        <f t="shared" si="12"/>
        <v>100</v>
      </c>
      <c r="X41" s="772"/>
      <c r="Y41" s="3167"/>
      <c r="Z41" s="55" t="str">
        <f t="shared" si="13"/>
        <v>宗地开发程度</v>
      </c>
      <c r="AA41" s="773">
        <f t="shared" si="3"/>
        <v>1</v>
      </c>
      <c r="AB41" s="773">
        <f t="shared" si="4"/>
        <v>1</v>
      </c>
      <c r="AC41" s="773">
        <f t="shared" si="5"/>
        <v>1</v>
      </c>
    </row>
    <row r="42" spans="1:29" ht="15.75" thickBot="1">
      <c r="A42" s="472"/>
      <c r="B42" s="422" t="s">
        <v>2747</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43"/>
      <c r="M42" s="1134"/>
      <c r="N42" s="1134"/>
      <c r="O42" s="1142"/>
      <c r="P42" s="3167" t="s">
        <v>2557</v>
      </c>
      <c r="Q42" s="1812" t="str">
        <f t="shared" si="14"/>
        <v>工程地质条件</v>
      </c>
      <c r="R42" s="774" t="s">
        <v>17</v>
      </c>
      <c r="S42" s="775">
        <f t="shared" si="10"/>
        <v>100</v>
      </c>
      <c r="T42" s="774" t="s">
        <v>17</v>
      </c>
      <c r="U42" s="775">
        <f t="shared" si="11"/>
        <v>100</v>
      </c>
      <c r="V42" s="774" t="s">
        <v>17</v>
      </c>
      <c r="W42" s="775">
        <f t="shared" si="12"/>
        <v>100</v>
      </c>
      <c r="X42" s="1815"/>
      <c r="Y42" s="3167" t="s">
        <v>2557</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7"/>
      <c r="Q43" s="1812">
        <f t="shared" si="14"/>
        <v>111</v>
      </c>
      <c r="R43" s="774" t="s">
        <v>17</v>
      </c>
      <c r="S43" s="775">
        <f t="shared" si="10"/>
        <v>100</v>
      </c>
      <c r="T43" s="774" t="s">
        <v>17</v>
      </c>
      <c r="U43" s="775">
        <f t="shared" si="11"/>
        <v>100</v>
      </c>
      <c r="V43" s="774" t="s">
        <v>17</v>
      </c>
      <c r="W43" s="775">
        <f t="shared" si="12"/>
        <v>100</v>
      </c>
      <c r="X43" s="1815"/>
      <c r="Y43" s="3167"/>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7"/>
      <c r="Q44" s="1812">
        <f t="shared" si="14"/>
        <v>111</v>
      </c>
      <c r="R44" s="774" t="s">
        <v>17</v>
      </c>
      <c r="S44" s="775">
        <f t="shared" si="10"/>
        <v>100</v>
      </c>
      <c r="T44" s="774" t="s">
        <v>17</v>
      </c>
      <c r="U44" s="775">
        <f t="shared" si="11"/>
        <v>100</v>
      </c>
      <c r="V44" s="774" t="s">
        <v>17</v>
      </c>
      <c r="W44" s="775">
        <f t="shared" si="12"/>
        <v>100</v>
      </c>
      <c r="X44" s="1815"/>
      <c r="Y44" s="3167"/>
      <c r="Z44" s="1816">
        <f t="shared" si="13"/>
        <v>111</v>
      </c>
      <c r="AA44" s="1813">
        <f t="shared" si="3"/>
        <v>1</v>
      </c>
      <c r="AB44" s="1813">
        <f t="shared" si="4"/>
        <v>1</v>
      </c>
      <c r="AC44" s="1813">
        <f t="shared" si="5"/>
        <v>1</v>
      </c>
    </row>
    <row r="45" spans="1:29" s="471" customFormat="1" ht="15.75" hidden="1" thickBot="1">
      <c r="A45" s="468"/>
      <c r="B45" s="1390">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7"/>
      <c r="Q45" s="1812">
        <f t="shared" si="14"/>
        <v>111</v>
      </c>
      <c r="R45" s="777" t="s">
        <v>17</v>
      </c>
      <c r="S45" s="778">
        <f t="shared" si="10"/>
        <v>100</v>
      </c>
      <c r="T45" s="777" t="s">
        <v>17</v>
      </c>
      <c r="U45" s="778">
        <f t="shared" si="11"/>
        <v>100</v>
      </c>
      <c r="V45" s="777" t="s">
        <v>17</v>
      </c>
      <c r="W45" s="778">
        <f t="shared" si="12"/>
        <v>100</v>
      </c>
      <c r="X45" s="779"/>
      <c r="Y45" s="3167"/>
      <c r="Z45" s="780">
        <f t="shared" si="13"/>
        <v>111</v>
      </c>
      <c r="AA45" s="1813">
        <f t="shared" si="3"/>
        <v>1</v>
      </c>
      <c r="AB45" s="1813">
        <f t="shared" si="4"/>
        <v>1</v>
      </c>
      <c r="AC45" s="1813">
        <f t="shared" si="5"/>
        <v>1</v>
      </c>
    </row>
    <row r="46" spans="1:29" ht="15">
      <c r="A46" s="479" t="s">
        <v>2712</v>
      </c>
      <c r="B46" s="2699" t="s">
        <v>2748</v>
      </c>
      <c r="C46" s="682" t="s">
        <v>1</v>
      </c>
      <c r="D46" s="481"/>
      <c r="E46" s="482">
        <v>18641</v>
      </c>
      <c r="F46" s="483"/>
      <c r="G46" s="484">
        <v>15543</v>
      </c>
      <c r="H46" s="485"/>
      <c r="I46" s="482">
        <v>14797</v>
      </c>
      <c r="J46" s="485"/>
      <c r="K46" s="783"/>
      <c r="L46" s="1146"/>
      <c r="M46" s="1147"/>
      <c r="N46" s="1134"/>
      <c r="O46" s="1147"/>
      <c r="P46" s="3162" t="str">
        <f>A46</f>
        <v>成交单价</v>
      </c>
      <c r="Q46" s="3162"/>
      <c r="R46" s="3168">
        <f>E46</f>
        <v>18641</v>
      </c>
      <c r="S46" s="3168"/>
      <c r="T46" s="3168">
        <f>G46</f>
        <v>15543</v>
      </c>
      <c r="U46" s="3168"/>
      <c r="V46" s="3168">
        <f>I46</f>
        <v>14797</v>
      </c>
      <c r="W46" s="3168"/>
      <c r="X46" s="759"/>
      <c r="Y46" s="781"/>
      <c r="Z46" s="759"/>
      <c r="AA46" s="759"/>
      <c r="AB46" s="759"/>
      <c r="AC46" s="759"/>
    </row>
    <row r="47" spans="1:29" ht="15.75" thickBot="1">
      <c r="A47" s="486" t="s">
        <v>2661</v>
      </c>
      <c r="B47" s="683"/>
      <c r="C47" s="490">
        <f>R48</f>
        <v>16906</v>
      </c>
      <c r="D47" s="489"/>
      <c r="E47" s="490">
        <f>R47</f>
        <v>18701</v>
      </c>
      <c r="F47" s="491"/>
      <c r="G47" s="488">
        <f>T47</f>
        <v>16404</v>
      </c>
      <c r="H47" s="489"/>
      <c r="I47" s="490">
        <f>V47</f>
        <v>15612</v>
      </c>
      <c r="J47" s="489"/>
      <c r="K47" s="784"/>
      <c r="L47" s="1146"/>
      <c r="M47" s="1147"/>
      <c r="N47" s="1147"/>
      <c r="O47" s="1147"/>
      <c r="P47" s="3162" t="str">
        <f>A47</f>
        <v>比较价值（元/平方米）</v>
      </c>
      <c r="Q47" s="3162"/>
      <c r="R47" s="3155">
        <f>ROUND(PRODUCT(R46,AA7:AA45),0)</f>
        <v>18701</v>
      </c>
      <c r="S47" s="3155"/>
      <c r="T47" s="3155">
        <f>ROUND(PRODUCT(T46,AB7:AB45),0)</f>
        <v>16404</v>
      </c>
      <c r="U47" s="3155"/>
      <c r="V47" s="3155">
        <f>ROUND(PRODUCT(V46,AC7:AC45),0)</f>
        <v>15612</v>
      </c>
      <c r="W47" s="3155"/>
      <c r="X47" s="759"/>
      <c r="Y47" s="759"/>
      <c r="Z47" s="759"/>
      <c r="AA47" s="759"/>
      <c r="AB47" s="759"/>
      <c r="AC47" s="759"/>
    </row>
    <row r="48" spans="1:29" ht="15.75" thickBot="1">
      <c r="A48" s="492" t="s">
        <v>2749</v>
      </c>
      <c r="B48" s="493"/>
      <c r="C48" s="494">
        <f>R48</f>
        <v>16906</v>
      </c>
      <c r="D48" s="494"/>
      <c r="E48" s="494"/>
      <c r="F48" s="494"/>
      <c r="G48" s="494"/>
      <c r="H48" s="494"/>
      <c r="I48" s="494"/>
      <c r="J48" s="494"/>
      <c r="K48" s="785"/>
      <c r="L48" s="1146"/>
      <c r="M48" s="1147"/>
      <c r="N48" s="1147"/>
      <c r="O48" s="1147"/>
      <c r="P48" s="3156" t="str">
        <f>A48</f>
        <v>估价对象XX用房的比较价值（楼面单价，元/平方米）</v>
      </c>
      <c r="Q48" s="3157"/>
      <c r="R48" s="3158">
        <f>ROUND(AVERAGE(R47:V47),0)</f>
        <v>16906</v>
      </c>
      <c r="S48" s="3158"/>
      <c r="T48" s="3158"/>
      <c r="U48" s="3158"/>
      <c r="V48" s="3158"/>
      <c r="W48" s="315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f>IF(E46&lt;E47,E47/E46-1,E46/E47-1)</f>
        <v>3.2187114425192842E-3</v>
      </c>
      <c r="F51" s="500" t="str">
        <f>IF(OR(E51&gt;=0.3,E51&lt;=-0.3),"超过30%","")</f>
        <v/>
      </c>
      <c r="G51" s="499">
        <f>IF(G46&lt;G47,G47/G46-1,G46/G47-1)</f>
        <v>5.5394711445666767E-2</v>
      </c>
      <c r="H51" s="500" t="str">
        <f>IF(OR(G51&gt;=0.3,G51&lt;=-0.3),"超过30%","")</f>
        <v/>
      </c>
      <c r="I51" s="499">
        <f>IF(I46&lt;I47,I47/I46-1,I46/I47-1)</f>
        <v>5.5078732175440903E-2</v>
      </c>
      <c r="J51" s="500" t="str">
        <f>IF(OR(I51&gt;=0.3,I51&lt;=-0.3),"超过30%","")</f>
        <v/>
      </c>
      <c r="K51" s="1108"/>
      <c r="L51" s="1109"/>
      <c r="M51" s="1147"/>
      <c r="N51" s="1147"/>
      <c r="O51" s="1147"/>
    </row>
    <row r="52" spans="1:15" ht="13.5" customHeight="1">
      <c r="A52" s="1147"/>
      <c r="B52" s="1147"/>
      <c r="C52" s="497" t="s">
        <v>2664</v>
      </c>
      <c r="D52" s="501"/>
      <c r="E52" s="499">
        <f>IF(E47&lt;G47,G47/E47-1,E47/G47-1)</f>
        <v>0.14002682272616429</v>
      </c>
      <c r="F52" s="500" t="str">
        <f>IF(OR(E52&gt;=0.2,E52&lt;=-0.2),"超过20%","")</f>
        <v/>
      </c>
      <c r="G52" s="499">
        <f>IF(G47&lt;I47,I47/G47-1,G47/I47-1)</f>
        <v>5.0730207532667215E-2</v>
      </c>
      <c r="H52" s="500" t="str">
        <f>IF(OR(G52&gt;=0.2,G52&lt;=-0.2),"超过20%","")</f>
        <v/>
      </c>
      <c r="I52" s="499">
        <f>IF(I47&lt;E47,E47/I47-1,I47/E47-1)</f>
        <v>0.19786062003586991</v>
      </c>
      <c r="J52" s="500" t="str">
        <f>IF(OR(I52&gt;=0.2,I52&lt;=-0.2),"超过20%","")</f>
        <v/>
      </c>
      <c r="K52" s="1108"/>
      <c r="L52" s="1109"/>
      <c r="M52" s="1147"/>
      <c r="N52" s="1147"/>
      <c r="O52" s="1147"/>
    </row>
    <row r="53" spans="1:15" s="502" customFormat="1" ht="13.5" customHeight="1">
      <c r="A53" s="1148"/>
      <c r="B53" s="1148"/>
      <c r="C53" s="497" t="s">
        <v>2665</v>
      </c>
      <c r="D53" s="501"/>
      <c r="E53" s="499">
        <f>IF(E46&lt;G46,G46/E46-1,E46/G46-1)</f>
        <v>0.19931802097407192</v>
      </c>
      <c r="F53" s="500" t="str">
        <f>IF(OR(E53&gt;=0.3,E53&lt;=-0.3),"超过30%","")</f>
        <v/>
      </c>
      <c r="G53" s="499">
        <f>IF(G46&lt;I46,I46/G46-1,G46/I46-1)</f>
        <v>5.0415624788808566E-2</v>
      </c>
      <c r="H53" s="500" t="str">
        <f>IF(OR(G53&gt;=0.3,G53&lt;=-0.3),"超过30%","")</f>
        <v/>
      </c>
      <c r="I53" s="499">
        <f>IF(I46&lt;E46,E46/I46-1,I46/E46-1)</f>
        <v>0.25978238832195721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2750</v>
      </c>
      <c r="B55" s="685" t="s">
        <v>2751</v>
      </c>
      <c r="C55" s="2700" t="s">
        <v>2752</v>
      </c>
      <c r="D55" s="2701" t="s">
        <v>2753</v>
      </c>
      <c r="E55" s="686" t="s">
        <v>2754</v>
      </c>
      <c r="F55" s="1110" t="s">
        <v>2755</v>
      </c>
      <c r="G55" s="3159" t="s">
        <v>2756</v>
      </c>
      <c r="H55" s="3160"/>
      <c r="I55" s="144" t="s">
        <v>2757</v>
      </c>
      <c r="J55" s="2702" t="e">
        <f>项目基本情况!F35</f>
        <v>#REF!</v>
      </c>
      <c r="K55" s="2703" t="s">
        <v>2758</v>
      </c>
      <c r="L55" s="1109"/>
      <c r="M55" s="1147"/>
      <c r="N55" s="1147"/>
      <c r="O55" s="1147"/>
    </row>
    <row r="56" spans="1:15" s="692" customFormat="1">
      <c r="A56" s="688" t="s">
        <v>2759</v>
      </c>
      <c r="B56" s="689">
        <f>C48</f>
        <v>16906</v>
      </c>
      <c r="C56" s="690">
        <v>1</v>
      </c>
      <c r="D56" s="1166">
        <v>1</v>
      </c>
      <c r="E56" s="690">
        <f>'数据-汇总表'!E8+'数据-汇总表'!E9</f>
        <v>54311.28</v>
      </c>
      <c r="F56" s="1106">
        <f t="shared" ref="F56:F65" si="15">ROUND(B56*E56/10000,0)</f>
        <v>91819</v>
      </c>
      <c r="G56" s="3161"/>
      <c r="H56" s="3162"/>
      <c r="I56" s="1111">
        <v>1</v>
      </c>
      <c r="J56" s="1114">
        <v>1</v>
      </c>
      <c r="K56" s="1148"/>
      <c r="L56" s="944"/>
      <c r="M56" s="944"/>
      <c r="N56" s="944"/>
      <c r="O56" s="944"/>
    </row>
    <row r="57" spans="1:15" s="692" customFormat="1">
      <c r="A57" s="693" t="s">
        <v>2760</v>
      </c>
      <c r="B57" s="262">
        <f>ROUND($C$48*C57*D57,0)</f>
        <v>0</v>
      </c>
      <c r="C57" s="200">
        <f t="shared" ref="C57:C65" si="16">IF($C$55="北京市系数",I57,J57)</f>
        <v>0</v>
      </c>
      <c r="D57" s="1167">
        <v>0.25</v>
      </c>
      <c r="E57" s="694"/>
      <c r="F57" s="1106">
        <f t="shared" si="15"/>
        <v>0</v>
      </c>
      <c r="G57" s="3163" t="s">
        <v>2761</v>
      </c>
      <c r="H57" s="1107">
        <f>项目基本情况!B37</f>
        <v>0</v>
      </c>
      <c r="I57" s="1111">
        <f>SUMIF(修正!A45:A56,H57,修正!B45:B56)</f>
        <v>0</v>
      </c>
      <c r="J57" s="1115"/>
      <c r="K57" s="1147"/>
      <c r="L57" s="944"/>
      <c r="M57" s="944"/>
      <c r="N57" s="944"/>
      <c r="O57" s="944"/>
    </row>
    <row r="58" spans="1:15" s="692" customFormat="1">
      <c r="A58" s="693" t="s">
        <v>2762</v>
      </c>
      <c r="B58" s="262">
        <f t="shared" ref="B58:B65" si="17">ROUND($C$48*C58*D58,0)</f>
        <v>0</v>
      </c>
      <c r="C58" s="200">
        <f t="shared" si="16"/>
        <v>0</v>
      </c>
      <c r="D58" s="1167">
        <v>0.25</v>
      </c>
      <c r="E58" s="694"/>
      <c r="F58" s="1106">
        <f t="shared" si="15"/>
        <v>0</v>
      </c>
      <c r="G58" s="3163"/>
      <c r="H58" s="1107">
        <f>项目基本情况!B37</f>
        <v>0</v>
      </c>
      <c r="I58" s="1111">
        <f>SUMIF(修正!A45:A56,H58,修正!C45:C56)</f>
        <v>0</v>
      </c>
      <c r="J58" s="1115"/>
      <c r="K58" s="1148"/>
      <c r="L58" s="944"/>
      <c r="M58" s="944"/>
      <c r="N58" s="944"/>
      <c r="O58" s="944"/>
    </row>
    <row r="59" spans="1:15" s="692" customFormat="1">
      <c r="A59" s="693" t="s">
        <v>2763</v>
      </c>
      <c r="B59" s="262">
        <f t="shared" si="17"/>
        <v>0</v>
      </c>
      <c r="C59" s="200">
        <f t="shared" si="16"/>
        <v>0</v>
      </c>
      <c r="D59" s="1167">
        <v>0.25</v>
      </c>
      <c r="E59" s="694"/>
      <c r="F59" s="1106">
        <f t="shared" si="15"/>
        <v>0</v>
      </c>
      <c r="G59" s="3163"/>
      <c r="H59" s="1107">
        <f>项目基本情况!B37</f>
        <v>0</v>
      </c>
      <c r="I59" s="1111">
        <f>SUMIF(修正!A45:A56,H59,修正!D45:D56)</f>
        <v>0</v>
      </c>
      <c r="J59" s="1115"/>
      <c r="K59" s="1147"/>
      <c r="L59" s="944"/>
      <c r="M59" s="944"/>
      <c r="N59" s="944"/>
      <c r="O59" s="944"/>
    </row>
    <row r="60" spans="1:15" s="692" customFormat="1">
      <c r="A60" s="693" t="s">
        <v>2764</v>
      </c>
      <c r="B60" s="262">
        <f t="shared" si="17"/>
        <v>0</v>
      </c>
      <c r="C60" s="200">
        <f t="shared" si="16"/>
        <v>0</v>
      </c>
      <c r="D60" s="1167">
        <v>0.25</v>
      </c>
      <c r="E60" s="694"/>
      <c r="F60" s="1106">
        <f t="shared" si="15"/>
        <v>0</v>
      </c>
      <c r="G60" s="3163"/>
      <c r="H60" s="1107">
        <f>项目基本情况!B37</f>
        <v>0</v>
      </c>
      <c r="I60" s="1111">
        <f>SUMIF(修正!A45:A56,H60,修正!E45:E56)</f>
        <v>0</v>
      </c>
      <c r="J60" s="1115"/>
      <c r="K60" s="1148"/>
      <c r="L60" s="944"/>
      <c r="M60" s="944"/>
      <c r="N60" s="944"/>
      <c r="O60" s="944"/>
    </row>
    <row r="61" spans="1:15" s="692" customFormat="1">
      <c r="A61" s="693" t="s">
        <v>2765</v>
      </c>
      <c r="B61" s="262">
        <f t="shared" si="17"/>
        <v>0</v>
      </c>
      <c r="C61" s="200">
        <f t="shared" si="16"/>
        <v>0</v>
      </c>
      <c r="D61" s="1167">
        <v>0.25</v>
      </c>
      <c r="E61" s="261">
        <f>'数据-汇总表'!E11</f>
        <v>0</v>
      </c>
      <c r="F61" s="1106">
        <f t="shared" si="15"/>
        <v>0</v>
      </c>
      <c r="G61" s="2704" t="s">
        <v>2766</v>
      </c>
      <c r="H61" s="1107">
        <f>项目基本情况!C37</f>
        <v>0</v>
      </c>
      <c r="I61" s="1111">
        <f>SUMIF(修正!A45:A56,H61,修正!F45:F56)</f>
        <v>0</v>
      </c>
      <c r="J61" s="1115"/>
      <c r="K61" s="1147"/>
      <c r="L61" s="944"/>
      <c r="M61" s="944"/>
      <c r="N61" s="944"/>
      <c r="O61" s="944"/>
    </row>
    <row r="62" spans="1:15" s="692" customFormat="1">
      <c r="A62" s="693" t="s">
        <v>2767</v>
      </c>
      <c r="B62" s="262">
        <f t="shared" si="17"/>
        <v>0</v>
      </c>
      <c r="C62" s="200">
        <f t="shared" si="16"/>
        <v>0</v>
      </c>
      <c r="D62" s="1167">
        <v>0.25</v>
      </c>
      <c r="E62" s="261">
        <f>'数据-汇总表'!E12</f>
        <v>0</v>
      </c>
      <c r="F62" s="1106">
        <f t="shared" si="15"/>
        <v>0</v>
      </c>
      <c r="G62" s="1112" t="s">
        <v>2768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2769</v>
      </c>
      <c r="B63" s="262">
        <f t="shared" si="17"/>
        <v>0</v>
      </c>
      <c r="C63" s="200">
        <f t="shared" si="16"/>
        <v>0</v>
      </c>
      <c r="D63" s="1167">
        <v>0.25</v>
      </c>
      <c r="E63" s="261">
        <f>'数据-汇总表'!E13</f>
        <v>8387.2000000000007</v>
      </c>
      <c r="F63" s="1106">
        <f t="shared" si="15"/>
        <v>0</v>
      </c>
      <c r="G63" s="1112" t="s">
        <v>2770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2771</v>
      </c>
      <c r="B64" s="262">
        <f t="shared" si="17"/>
        <v>0</v>
      </c>
      <c r="C64" s="200">
        <f t="shared" si="16"/>
        <v>0</v>
      </c>
      <c r="D64" s="1167">
        <v>0.25</v>
      </c>
      <c r="E64" s="261">
        <f>'数据-汇总表'!E14</f>
        <v>0</v>
      </c>
      <c r="F64" s="1106">
        <f t="shared" si="15"/>
        <v>0</v>
      </c>
      <c r="G64" s="2704" t="s">
        <v>2761</v>
      </c>
      <c r="H64" s="1107">
        <f>项目基本情况!B37</f>
        <v>0</v>
      </c>
      <c r="I64" s="1111">
        <f>SUMIF(修正!A45:A56,H64,修正!H45:H56)</f>
        <v>0</v>
      </c>
      <c r="J64" s="1115"/>
      <c r="K64" s="1148"/>
      <c r="L64" s="944"/>
      <c r="M64" s="944"/>
      <c r="N64" s="944"/>
      <c r="O64" s="944"/>
    </row>
    <row r="65" spans="1:17" s="692" customFormat="1" ht="15" thickBot="1">
      <c r="A65" s="693" t="s">
        <v>2772</v>
      </c>
      <c r="B65" s="262">
        <f t="shared" si="17"/>
        <v>0</v>
      </c>
      <c r="C65" s="200">
        <f t="shared" si="16"/>
        <v>0</v>
      </c>
      <c r="D65" s="1167">
        <v>0.25</v>
      </c>
      <c r="E65" s="261">
        <f>'数据-汇总表'!E15</f>
        <v>0</v>
      </c>
      <c r="F65" s="1106">
        <f t="shared" si="15"/>
        <v>0</v>
      </c>
      <c r="G65" s="2705" t="s">
        <v>2766</v>
      </c>
      <c r="H65" s="1117">
        <f>项目基本情况!C37</f>
        <v>0</v>
      </c>
      <c r="I65" s="1113">
        <f>SUMIF(修正!A45:A56,H65,修正!H45:H56)</f>
        <v>0</v>
      </c>
      <c r="J65" s="1116"/>
      <c r="K65" s="1147"/>
      <c r="L65" s="944"/>
      <c r="M65" s="944"/>
      <c r="N65" s="944"/>
      <c r="O65" s="944"/>
    </row>
    <row r="66" spans="1:17" s="692" customFormat="1" ht="13.5" thickBot="1">
      <c r="A66" s="695" t="s">
        <v>2773</v>
      </c>
      <c r="B66" s="696" t="s">
        <v>28</v>
      </c>
      <c r="C66" s="696" t="s">
        <v>29</v>
      </c>
      <c r="D66" s="696" t="s">
        <v>1029</v>
      </c>
      <c r="E66" s="696">
        <f>IF(B46="楼面地价",SUM(E56:E65),'数据-汇总表'!D3)</f>
        <v>62698.479999999996</v>
      </c>
      <c r="F66" s="697">
        <f>IF(B46="楼面地价",SUM(F56:F65),ROUND(C48*E66/10000,0))</f>
        <v>91819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06" t="s">
        <v>2774</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07" t="s">
        <v>2775</v>
      </c>
      <c r="B71" s="332" t="str">
        <f>"北京市平均增长率"&amp;TEXT(SUMIF(基准地价修正!N21:N25,A71,基准地价修正!P21:P25),"0.00%")</f>
        <v>北京市平均增长率2.50%</v>
      </c>
      <c r="C71" s="603">
        <v>100</v>
      </c>
      <c r="D71" s="595">
        <v>98</v>
      </c>
      <c r="E71" s="595">
        <v>96</v>
      </c>
      <c r="F71" s="595">
        <v>94</v>
      </c>
      <c r="G71" s="595">
        <v>92</v>
      </c>
      <c r="H71" s="595">
        <v>90</v>
      </c>
      <c r="I71" s="595">
        <v>88</v>
      </c>
      <c r="J71" s="595">
        <v>86</v>
      </c>
      <c r="K71" s="595">
        <v>84</v>
      </c>
      <c r="L71" s="595">
        <v>82</v>
      </c>
      <c r="M71" s="595">
        <v>80</v>
      </c>
      <c r="N71" s="595">
        <v>78</v>
      </c>
      <c r="O71" s="595">
        <v>76</v>
      </c>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2947" t="s">
        <v>3121</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0">
        <v>9</v>
      </c>
      <c r="M80" s="552">
        <v>10</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98.5</v>
      </c>
      <c r="E89" s="544">
        <f>D89-$K15</f>
        <v>97</v>
      </c>
      <c r="F89" s="544">
        <f>E89-$K15</f>
        <v>95.5</v>
      </c>
      <c r="G89" s="544">
        <f>F89-$K15</f>
        <v>94</v>
      </c>
      <c r="H89" s="544"/>
      <c r="I89" s="544"/>
      <c r="J89" s="544"/>
      <c r="K89" s="544"/>
      <c r="L89" s="544"/>
      <c r="M89" s="545"/>
      <c r="N89" s="1156"/>
      <c r="O89" s="1156"/>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98.5</v>
      </c>
      <c r="E95" s="544">
        <f>D95-$K21</f>
        <v>97</v>
      </c>
      <c r="F95" s="544">
        <f>E95-$K21</f>
        <v>95.5</v>
      </c>
      <c r="G95" s="544">
        <f>F95-$K21</f>
        <v>94</v>
      </c>
      <c r="H95" s="544"/>
      <c r="I95" s="544"/>
      <c r="J95" s="544"/>
      <c r="K95" s="544"/>
      <c r="L95" s="544"/>
      <c r="M95" s="545"/>
      <c r="N95" s="1156"/>
      <c r="O95" s="1156"/>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2683</v>
      </c>
      <c r="C106" s="2956" t="s">
        <v>3158</v>
      </c>
      <c r="D106" s="2957" t="s">
        <v>3159</v>
      </c>
      <c r="E106" s="2957" t="s">
        <v>3160</v>
      </c>
      <c r="F106" s="2957" t="s">
        <v>3161</v>
      </c>
      <c r="G106" s="2957" t="s">
        <v>3162</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2742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2555</v>
      </c>
      <c r="B116" s="528" t="s">
        <v>2783</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2784</v>
      </c>
      <c r="C119" s="2958" t="s">
        <v>3168</v>
      </c>
      <c r="D119" s="2958" t="s">
        <v>3169</v>
      </c>
      <c r="E119" s="2958" t="s">
        <v>3170</v>
      </c>
      <c r="F119" s="2958" t="s">
        <v>3171</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2786</v>
      </c>
      <c r="C123" s="2959" t="s">
        <v>3172</v>
      </c>
      <c r="D123" s="2959" t="s">
        <v>3173</v>
      </c>
      <c r="E123" s="2959" t="s">
        <v>3174</v>
      </c>
      <c r="F123" s="2959" t="s">
        <v>3175</v>
      </c>
      <c r="G123" s="2959" t="s">
        <v>3176</v>
      </c>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C7" workbookViewId="0">
      <selection activeCell="H37" sqref="H37"/>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3"/>
      <c r="C1" s="1584"/>
      <c r="D1" s="1582"/>
      <c r="E1" s="320"/>
      <c r="F1" s="320"/>
      <c r="G1" s="1583"/>
      <c r="H1" s="320"/>
      <c r="I1" s="320"/>
      <c r="J1" s="320"/>
      <c r="K1" s="320">
        <f>MATCH(C1,'数据-取费表'!A6:A16,0)+5</f>
        <v>9</v>
      </c>
    </row>
    <row r="2" spans="1:33" ht="18" customHeight="1">
      <c r="A2" s="245" t="s">
        <v>2322</v>
      </c>
      <c r="B2" s="248">
        <f ca="1">C32</f>
        <v>117296</v>
      </c>
      <c r="C2" s="320" t="s">
        <v>2455</v>
      </c>
      <c r="D2" s="320"/>
      <c r="E2" s="320"/>
      <c r="F2" s="320"/>
      <c r="G2" s="320"/>
      <c r="H2" s="320"/>
      <c r="I2" s="320"/>
      <c r="J2" s="320"/>
      <c r="K2" s="320"/>
    </row>
    <row r="3" spans="1:33" ht="18" customHeight="1" thickBot="1">
      <c r="A3" s="247" t="s">
        <v>2324</v>
      </c>
      <c r="B3" s="248">
        <f ca="1">ROUND(B2*10000/IF(C1="",'数据-汇总表'!E3,INDIRECT("'数据-取费表'!K"&amp;$K$1)),0)</f>
        <v>17418</v>
      </c>
      <c r="C3" s="320" t="s">
        <v>2456</v>
      </c>
      <c r="D3" s="320"/>
      <c r="E3" s="320"/>
      <c r="F3" s="320"/>
      <c r="G3" s="320"/>
      <c r="H3" s="320"/>
      <c r="I3" s="320"/>
      <c r="J3" s="320"/>
      <c r="K3" s="320"/>
    </row>
    <row r="4" spans="1:33" s="959" customFormat="1" ht="16.5" customHeight="1">
      <c r="A4" s="956" t="s">
        <v>2457</v>
      </c>
      <c r="B4" s="957"/>
      <c r="C4" s="999">
        <f ca="1">SUM(C8:K8)</f>
        <v>164643</v>
      </c>
      <c r="D4" s="957"/>
      <c r="E4" s="957"/>
      <c r="F4" s="957"/>
      <c r="G4" s="957"/>
      <c r="H4" s="957"/>
      <c r="I4" s="957"/>
      <c r="J4" s="957"/>
      <c r="K4" s="958"/>
    </row>
    <row r="5" spans="1:33" s="963" customFormat="1" ht="15">
      <c r="A5" s="960" t="s">
        <v>2458</v>
      </c>
      <c r="B5" s="961" t="s">
        <v>2459</v>
      </c>
      <c r="C5" s="2550" t="s">
        <v>3101</v>
      </c>
      <c r="D5" s="2550" t="s">
        <v>3076</v>
      </c>
      <c r="E5" s="2550" t="s">
        <v>48</v>
      </c>
      <c r="F5" s="2550"/>
      <c r="G5" s="2550"/>
      <c r="H5" s="2550"/>
      <c r="I5" s="2550"/>
      <c r="J5" s="2550"/>
      <c r="K5" s="255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f>'比较法-住宅'!B3</f>
        <v>29004</v>
      </c>
      <c r="D6" s="965">
        <f>C6*1.2</f>
        <v>34804.799999999996</v>
      </c>
      <c r="E6" s="965">
        <f ca="1">收益法!B3</f>
        <v>4507</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48557.02</v>
      </c>
      <c r="D7" s="321">
        <f>SUMIF('数据-汇总表'!$C19:$C33,假设开发法!D5,'数据-汇总表'!$E19:$E33)</f>
        <v>5754.26</v>
      </c>
      <c r="E7" s="321">
        <f>SUMIF('数据-汇总表'!$C19:$C33,假设开发法!E5,'数据-汇总表'!$E19:$E33)</f>
        <v>8387.2000000000007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1" t="s">
        <v>2463</v>
      </c>
      <c r="B8" s="177" t="s">
        <v>2464</v>
      </c>
      <c r="C8" s="2962">
        <f>ROUND('比较法-住宅'!B2,0)</f>
        <v>140835</v>
      </c>
      <c r="D8" s="2962">
        <f>ROUND(D6*D7/10000,0)</f>
        <v>20028</v>
      </c>
      <c r="E8" s="1000">
        <f ca="1">收益法!B2</f>
        <v>3780</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1334</v>
      </c>
      <c r="B11" s="975" t="s">
        <v>2472</v>
      </c>
      <c r="C11" s="323">
        <f ca="1">IF(C1="",'数据-取费表'!P16,INDIRECT("'数据-取费表'!p"&amp;$K$1)+INDIRECT("'数据-取费表'!ar"&amp;$K$1))</f>
        <v>12258</v>
      </c>
      <c r="D11" s="976"/>
      <c r="E11" s="375"/>
      <c r="F11" s="977">
        <f ca="1">1-IF('数据-取费表'!B24=0,1,IF(C1="",'数据-取费表'!N16,INDIRECT("'数据-取费表'!n"&amp;$K$1)))</f>
        <v>0.66700000000000004</v>
      </c>
      <c r="G11" s="8"/>
      <c r="H11" s="971"/>
      <c r="I11" s="971"/>
      <c r="J11" s="971"/>
      <c r="K11" s="972"/>
    </row>
    <row r="12" spans="1:33" s="978" customFormat="1" ht="13.5" customHeight="1">
      <c r="A12" s="974" t="s">
        <v>1335</v>
      </c>
      <c r="B12" s="975" t="s">
        <v>2473</v>
      </c>
      <c r="C12" s="24">
        <f ca="1">ROUND(C11*F12,0)</f>
        <v>368</v>
      </c>
      <c r="D12" s="976"/>
      <c r="E12" s="375"/>
      <c r="F12" s="979">
        <f>'数据-取费表'!B33</f>
        <v>0.03</v>
      </c>
      <c r="G12" s="8" t="s">
        <v>2474</v>
      </c>
      <c r="H12" s="971"/>
      <c r="I12" s="971"/>
      <c r="J12" s="971"/>
      <c r="K12" s="972"/>
    </row>
    <row r="13" spans="1:33" s="978" customFormat="1" ht="13.5" customHeight="1">
      <c r="A13" s="974" t="s">
        <v>1336</v>
      </c>
      <c r="B13" s="975" t="s">
        <v>2475</v>
      </c>
      <c r="C13" s="24">
        <f ca="1">ROUND(IF(C1="",SUMIF('数据-取费表'!C:C,"住宅",'数据-取费表'!P:P)*F13,IF(INDIRECT("'数据-取费表'!c"&amp;$K$1)="住宅",INDIRECT("'数据-取费表'!P"&amp;$K$1)*F13,0)),0)</f>
        <v>553</v>
      </c>
      <c r="D13" s="1036"/>
      <c r="E13" s="375"/>
      <c r="F13" s="979">
        <f>'数据-取费表'!B34</f>
        <v>0.05</v>
      </c>
      <c r="G13" s="8" t="s">
        <v>2476</v>
      </c>
      <c r="H13" s="971"/>
      <c r="I13" s="971"/>
      <c r="J13" s="971"/>
      <c r="K13" s="972"/>
    </row>
    <row r="14" spans="1:33" s="980" customFormat="1" ht="13.5" customHeight="1">
      <c r="A14" s="974" t="s">
        <v>1337</v>
      </c>
      <c r="B14" s="975" t="s">
        <v>2477</v>
      </c>
      <c r="C14" s="24">
        <f ca="1">ROUND(D14*E14*F11/10000,0)</f>
        <v>898</v>
      </c>
      <c r="D14" s="1036">
        <f ca="1">IF(C1="",'数据-汇总表'!E3,INDIRECT("'数据-取费表'!K"&amp;$K$1)+INDIRECT("'数据-取费表'!S"&amp;$K$1))</f>
        <v>67341.78</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2479</v>
      </c>
      <c r="C15" s="986">
        <f ca="1">ROUND(C11*F15,0)</f>
        <v>184</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14261</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741</v>
      </c>
      <c r="D17" s="1036">
        <f ca="1">D14</f>
        <v>67341.78</v>
      </c>
      <c r="E17" s="24">
        <f>'数据-取费表'!B32</f>
        <v>110</v>
      </c>
      <c r="F17" s="981"/>
      <c r="G17" s="140" t="s">
        <v>2483</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2484</v>
      </c>
      <c r="C18" s="24">
        <f ca="1">C19+C20-IF(C1="",'数据-取费表'!B29,IF(G18="已全部缴纳",C19+C20,H18))</f>
        <v>0</v>
      </c>
      <c r="D18" s="1036"/>
      <c r="E18" s="24"/>
      <c r="F18" s="979"/>
      <c r="G18" s="2552" t="s">
        <v>3208</v>
      </c>
      <c r="H18" s="1579"/>
      <c r="I18" s="2553" t="s">
        <v>2485</v>
      </c>
      <c r="J18" s="982"/>
      <c r="K18" s="983"/>
    </row>
    <row r="19" spans="1:33" s="978" customFormat="1" ht="13.5" customHeight="1">
      <c r="A19" s="974" t="s">
        <v>805</v>
      </c>
      <c r="B19" s="975" t="s">
        <v>2486</v>
      </c>
      <c r="C19" s="24">
        <f ca="1">ROUND(D19*E19/10000,0)</f>
        <v>1575</v>
      </c>
      <c r="D19" s="1036">
        <f ca="1">IF(C1="",'数据-汇总表'!E5,IF(INDIRECT("'数据-取费表'!c"&amp;$K$1)="住宅",INDIRECT("'数据-取费表'!k"&amp;$K$1),0))</f>
        <v>54311.28</v>
      </c>
      <c r="E19" s="24">
        <f>'数据-取费表'!B27</f>
        <v>290</v>
      </c>
      <c r="F19" s="979"/>
      <c r="G19" s="15"/>
      <c r="H19" s="1581"/>
      <c r="I19" s="984"/>
      <c r="J19" s="984"/>
      <c r="K19" s="985"/>
    </row>
    <row r="20" spans="1:33" s="978" customFormat="1" ht="13.5" customHeight="1">
      <c r="A20" s="974" t="s">
        <v>806</v>
      </c>
      <c r="B20" s="975" t="s">
        <v>2487</v>
      </c>
      <c r="C20" s="24">
        <f ca="1">ROUND(D20*E20/10000,0)</f>
        <v>417</v>
      </c>
      <c r="D20" s="1036">
        <f ca="1">IF(C1="",'数据-汇总表'!E6,IF(INDIRECT("'数据-取费表'!c"&amp;$K$1)="住宅",INDIRECT("'数据-取费表'!s"&amp;$K$1),INDIRECT("'数据-取费表'!k"&amp;$K$1)+INDIRECT("'数据-取费表'!s"&amp;$K$1)))</f>
        <v>13030.5</v>
      </c>
      <c r="E20" s="24">
        <f>'数据-取费表'!B28</f>
        <v>320</v>
      </c>
      <c r="F20" s="979"/>
      <c r="G20" s="15"/>
      <c r="H20" s="984"/>
      <c r="I20" s="984"/>
      <c r="J20" s="984"/>
      <c r="K20" s="985"/>
    </row>
    <row r="21" spans="1:33" s="978" customFormat="1" ht="13.5" customHeight="1">
      <c r="A21" s="964" t="s">
        <v>802</v>
      </c>
      <c r="B21" s="988" t="s">
        <v>2488</v>
      </c>
      <c r="C21" s="989">
        <f ca="1">C16+C17+C18</f>
        <v>15002</v>
      </c>
      <c r="D21" s="990"/>
      <c r="E21" s="325"/>
      <c r="F21" s="325"/>
      <c r="G21" s="140" t="s">
        <v>2489</v>
      </c>
      <c r="H21" s="982"/>
      <c r="I21" s="982"/>
      <c r="J21" s="982"/>
      <c r="K21" s="983"/>
    </row>
    <row r="22" spans="1:33" s="978" customFormat="1" ht="13.5" customHeight="1">
      <c r="A22" s="964" t="s">
        <v>2461</v>
      </c>
      <c r="B22" s="988" t="s">
        <v>2490</v>
      </c>
      <c r="C22" s="989">
        <f ca="1">ROUND(C21*F22,0)</f>
        <v>300</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2196</v>
      </c>
      <c r="D23" s="325"/>
      <c r="E23" s="325"/>
      <c r="F23" s="991">
        <f>'数据-取费表'!B38</f>
        <v>0.02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704</v>
      </c>
      <c r="D25" s="324">
        <f ca="1">C26</f>
        <v>8.4500000000000006E-2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8.4500000000000006E-2</v>
      </c>
      <c r="D26" s="328"/>
      <c r="E26" s="329"/>
      <c r="F26" s="330"/>
      <c r="G26" s="255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704</v>
      </c>
      <c r="D27" s="328"/>
      <c r="E27" s="329"/>
      <c r="F27" s="330"/>
      <c r="G27" s="2554" t="str">
        <f>IF('数据-取费表'!B22&lt;=1,"（1）-（3）项×年利率×建设期÷2","（1）-（3）项×((1+年利率)^(建设期÷2)-1)")</f>
        <v>（1）-（3）项×((1+年利率)^(建设期÷2)-1)</v>
      </c>
      <c r="H27" s="982"/>
      <c r="I27" s="982"/>
      <c r="J27" s="982"/>
      <c r="K27" s="983"/>
    </row>
    <row r="28" spans="1:33" s="333" customFormat="1" ht="13.5" customHeight="1">
      <c r="A28" s="964" t="s">
        <v>2501</v>
      </c>
      <c r="B28" s="2555" t="s">
        <v>2502</v>
      </c>
      <c r="C28" s="331">
        <f ca="1">C30</f>
        <v>1225</v>
      </c>
      <c r="D28" s="324">
        <f ca="1">C29</f>
        <v>4.9000000000000002E-2</v>
      </c>
      <c r="E28" s="326" t="s">
        <v>15</v>
      </c>
      <c r="F28" s="332">
        <f ca="1">IF(C1="",'数据-取费表'!Q16,INDIRECT("'数据-取费表'!q"&amp;$K$1))</f>
        <v>7.0000000000000007E-2</v>
      </c>
      <c r="G28" s="992"/>
      <c r="H28" s="993"/>
      <c r="I28" s="993"/>
      <c r="J28" s="993"/>
      <c r="K28" s="994"/>
    </row>
    <row r="29" spans="1:33" s="335" customFormat="1" ht="13.5" customHeight="1">
      <c r="A29" s="974" t="s">
        <v>803</v>
      </c>
      <c r="B29" s="997" t="s">
        <v>2503</v>
      </c>
      <c r="C29" s="328">
        <f ca="1">ROUND((1+C24)*F28*'数据-取费表'!B24/'数据-取费表'!B20,4)</f>
        <v>4.9000000000000002E-2</v>
      </c>
      <c r="D29" s="328"/>
      <c r="E29" s="329"/>
      <c r="F29" s="334"/>
      <c r="G29" s="140" t="s">
        <v>2504</v>
      </c>
      <c r="H29" s="982"/>
      <c r="I29" s="982"/>
      <c r="J29" s="982"/>
      <c r="K29" s="983"/>
    </row>
    <row r="30" spans="1:33" s="335" customFormat="1" ht="13.5" customHeight="1">
      <c r="A30" s="974" t="s">
        <v>804</v>
      </c>
      <c r="B30" s="997" t="s">
        <v>2505</v>
      </c>
      <c r="C30" s="336">
        <f ca="1">ROUND((C21+C22+C23)*F28,0)</f>
        <v>1225</v>
      </c>
      <c r="D30" s="328"/>
      <c r="E30" s="329"/>
      <c r="F30" s="334"/>
      <c r="G30" s="140"/>
      <c r="H30" s="982"/>
      <c r="I30" s="982"/>
      <c r="J30" s="982"/>
      <c r="K30" s="983"/>
    </row>
    <row r="31" spans="1:33" s="978" customFormat="1" ht="13.5" customHeight="1" thickBot="1">
      <c r="A31" s="2556" t="s">
        <v>2506</v>
      </c>
      <c r="B31" s="1008" t="s">
        <v>2507</v>
      </c>
      <c r="C31" s="1009">
        <f ca="1">ROUND(C4*F31/(1+'数据-取费表'!C42),0)</f>
        <v>8859</v>
      </c>
      <c r="D31" s="1010"/>
      <c r="E31" s="1011"/>
      <c r="F31" s="1012">
        <f>'数据-取费表'!B41</f>
        <v>5.6500000000000002E-2</v>
      </c>
      <c r="G31" s="1013" t="s">
        <v>2508</v>
      </c>
      <c r="H31" s="1014"/>
      <c r="I31" s="1014"/>
      <c r="J31" s="1014"/>
      <c r="K31" s="1015"/>
    </row>
    <row r="32" spans="1:33" s="973" customFormat="1" ht="13.5" customHeight="1" thickBot="1">
      <c r="A32" s="1003" t="s">
        <v>2509</v>
      </c>
      <c r="B32" s="1004"/>
      <c r="C32" s="1005">
        <f ca="1">ROUND((C4-C21-C22-C23-C25-C28-C31)/(1+C24+D25+D28),0)</f>
        <v>117296</v>
      </c>
      <c r="D32" s="1004"/>
      <c r="E32" s="1004"/>
      <c r="F32" s="1004"/>
      <c r="G32" s="1006" t="s">
        <v>2510</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80" zoomScaleNormal="80" workbookViewId="0">
      <selection activeCell="K43" sqref="K4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78" t="s">
        <v>2521</v>
      </c>
      <c r="C1" s="1636" t="s">
        <v>2522</v>
      </c>
      <c r="D1" s="1623" t="s">
        <v>3101</v>
      </c>
      <c r="E1" s="2579"/>
      <c r="F1" s="2580" t="s">
        <v>2523</v>
      </c>
      <c r="G1" s="1633" t="s">
        <v>2524</v>
      </c>
      <c r="H1" s="1632"/>
      <c r="I1" s="1632"/>
      <c r="J1" s="1632"/>
      <c r="K1" s="1634"/>
      <c r="L1" s="1635"/>
      <c r="M1" s="1636"/>
      <c r="N1" s="1636"/>
      <c r="O1" s="1636"/>
      <c r="P1" s="2581"/>
      <c r="Q1" s="1622"/>
      <c r="R1" s="1622"/>
      <c r="S1" s="1622"/>
      <c r="T1" s="1622"/>
      <c r="U1" s="1622"/>
      <c r="V1" s="1622"/>
      <c r="W1" s="1622"/>
      <c r="X1" s="1622"/>
      <c r="Y1" s="1622"/>
      <c r="Z1" s="1622"/>
      <c r="AA1" s="1622"/>
      <c r="AB1" s="1622"/>
      <c r="AC1" s="1630"/>
    </row>
    <row r="2" spans="1:29" s="393" customFormat="1" ht="28.5" customHeight="1" thickTop="1">
      <c r="A2" s="1619" t="s">
        <v>1394</v>
      </c>
      <c r="B2" s="1421">
        <f>IF(C2="——",ROUND(C49*D3/10000,0),ROUND(C49*D3/10000,0)-D2)</f>
        <v>140835</v>
      </c>
      <c r="C2" s="2582" t="s">
        <v>70</v>
      </c>
      <c r="D2" s="1368" t="e">
        <f ca="1">SUMIF(INDIRECT("'"&amp;F2&amp;"'"&amp;"!A:A"),"承租人权益价值",INDIRECT("'"&amp;F2&amp;"'"&amp;"!c:c"))</f>
        <v>#REF!</v>
      </c>
      <c r="E2" s="2583" t="s">
        <v>2525</v>
      </c>
      <c r="F2" s="2584"/>
      <c r="G2" s="1127"/>
      <c r="H2" s="1127"/>
      <c r="I2" s="1127"/>
      <c r="J2" s="1127"/>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f>IF(C2="——",C49,ROUND(B2*10000/D3,0))</f>
        <v>29004</v>
      </c>
      <c r="C3" s="400" t="s">
        <v>2526</v>
      </c>
      <c r="D3" s="399">
        <f>IF(D1="",'数据-汇总表'!E3,SUMIF('数据-汇总表'!$C19:$C33,D1,'数据-汇总表'!$E19:$E33))</f>
        <v>48557.02</v>
      </c>
      <c r="E3" s="1127"/>
      <c r="F3" s="2591"/>
      <c r="G3" s="1127"/>
      <c r="H3" s="1127"/>
      <c r="I3" s="1127"/>
      <c r="J3" s="1127"/>
      <c r="K3" s="2585"/>
      <c r="L3" s="2586"/>
      <c r="M3" s="2587"/>
      <c r="N3" s="2587"/>
      <c r="O3" s="2587"/>
      <c r="P3" s="2588"/>
      <c r="Q3" s="2589"/>
      <c r="R3" s="2589"/>
      <c r="S3" s="2589"/>
      <c r="T3" s="2589"/>
      <c r="U3" s="2589"/>
      <c r="V3" s="2589"/>
      <c r="W3" s="2589"/>
      <c r="X3" s="2589"/>
      <c r="Y3" s="2589"/>
      <c r="Z3" s="2589"/>
      <c r="AA3" s="2589"/>
      <c r="AB3" s="2589"/>
      <c r="AC3" s="1285"/>
    </row>
    <row r="4" spans="1:29" ht="15">
      <c r="A4" s="401" t="s">
        <v>2527</v>
      </c>
      <c r="B4" s="402"/>
      <c r="C4" s="3159" t="s">
        <v>2528</v>
      </c>
      <c r="D4" s="3172"/>
      <c r="E4" s="3173" t="s">
        <v>2529</v>
      </c>
      <c r="F4" s="3174"/>
      <c r="G4" s="3159" t="s">
        <v>2530</v>
      </c>
      <c r="H4" s="3172"/>
      <c r="I4" s="3159" t="s">
        <v>2531</v>
      </c>
      <c r="J4" s="3172"/>
      <c r="K4" s="2592" t="s">
        <v>2532</v>
      </c>
      <c r="L4" s="1133"/>
      <c r="M4" s="1134"/>
      <c r="N4" s="1134"/>
      <c r="O4" s="1134"/>
      <c r="P4" s="3175" t="s">
        <v>2533</v>
      </c>
      <c r="Q4" s="3176"/>
      <c r="R4" s="3181" t="s">
        <v>2529</v>
      </c>
      <c r="S4" s="3182"/>
      <c r="T4" s="3181" t="s">
        <v>2530</v>
      </c>
      <c r="U4" s="3182"/>
      <c r="V4" s="3168" t="s">
        <v>2531</v>
      </c>
      <c r="W4" s="3168"/>
      <c r="X4" s="1815"/>
      <c r="Y4" s="3181" t="s">
        <v>2533</v>
      </c>
      <c r="Z4" s="3182"/>
      <c r="AA4" s="3169" t="s">
        <v>2529</v>
      </c>
      <c r="AB4" s="3169" t="s">
        <v>2530</v>
      </c>
      <c r="AC4" s="3169" t="s">
        <v>2531</v>
      </c>
    </row>
    <row r="5" spans="1:29" ht="15">
      <c r="A5" s="404"/>
      <c r="B5" s="405"/>
      <c r="C5" s="3189" t="s">
        <v>3113</v>
      </c>
      <c r="D5" s="3190"/>
      <c r="E5" s="3196" t="s">
        <v>3179</v>
      </c>
      <c r="F5" s="3197"/>
      <c r="G5" s="3189" t="s">
        <v>3181</v>
      </c>
      <c r="H5" s="3190"/>
      <c r="I5" s="3189" t="s">
        <v>3183</v>
      </c>
      <c r="J5" s="3190"/>
      <c r="K5" s="2593"/>
      <c r="L5" s="1133"/>
      <c r="M5" s="1134"/>
      <c r="N5" s="1134"/>
      <c r="O5" s="1134"/>
      <c r="P5" s="3177"/>
      <c r="Q5" s="3178"/>
      <c r="R5" s="3183"/>
      <c r="S5" s="3184"/>
      <c r="T5" s="3183"/>
      <c r="U5" s="3184"/>
      <c r="V5" s="3168"/>
      <c r="W5" s="3168"/>
      <c r="X5" s="1815"/>
      <c r="Y5" s="3183"/>
      <c r="Z5" s="3184"/>
      <c r="AA5" s="3170"/>
      <c r="AB5" s="3170"/>
      <c r="AC5" s="3170"/>
    </row>
    <row r="6" spans="1:29" ht="39.75" customHeight="1" thickBot="1">
      <c r="A6" s="406"/>
      <c r="B6" s="407"/>
      <c r="C6" s="3206" t="s">
        <v>2538</v>
      </c>
      <c r="D6" s="3188"/>
      <c r="E6" s="3194" t="s">
        <v>3180</v>
      </c>
      <c r="F6" s="3195"/>
      <c r="G6" s="3187" t="s">
        <v>3182</v>
      </c>
      <c r="H6" s="3188"/>
      <c r="I6" s="3187" t="s">
        <v>3184</v>
      </c>
      <c r="J6" s="3188"/>
      <c r="K6" s="2593" t="s">
        <v>2539</v>
      </c>
      <c r="L6" s="1133"/>
      <c r="M6" s="1134"/>
      <c r="N6" s="1134"/>
      <c r="O6" s="1134"/>
      <c r="P6" s="3179"/>
      <c r="Q6" s="3180"/>
      <c r="R6" s="3183"/>
      <c r="S6" s="3184"/>
      <c r="T6" s="3185"/>
      <c r="U6" s="3186"/>
      <c r="V6" s="3168"/>
      <c r="W6" s="3168"/>
      <c r="X6" s="1815"/>
      <c r="Y6" s="3185"/>
      <c r="Z6" s="3186"/>
      <c r="AA6" s="3171"/>
      <c r="AB6" s="3171"/>
      <c r="AC6" s="3171"/>
    </row>
    <row r="7" spans="1:29" s="117" customFormat="1" ht="15.75" thickBot="1">
      <c r="A7" s="408" t="s">
        <v>2540</v>
      </c>
      <c r="B7" s="409"/>
      <c r="C7" s="410">
        <f>'数据-取费表'!B2</f>
        <v>43279</v>
      </c>
      <c r="D7" s="411">
        <v>100</v>
      </c>
      <c r="E7" s="412">
        <v>43252</v>
      </c>
      <c r="F7" s="413">
        <f>SUMIF(58:58,YEAR(E7)&amp;"-"&amp;MONTH(E7),59:59)</f>
        <v>100</v>
      </c>
      <c r="G7" s="412">
        <v>43252</v>
      </c>
      <c r="H7" s="411">
        <f>SUMIF(58:58,YEAR(G7)&amp;"-"&amp;MONTH(G7),59:59)</f>
        <v>100</v>
      </c>
      <c r="I7" s="412">
        <v>43252</v>
      </c>
      <c r="J7" s="411">
        <f>SUMIF(58:58,YEAR(I7)&amp;"-"&amp;MONTH(I7),59:59)</f>
        <v>100</v>
      </c>
      <c r="K7" s="2594"/>
      <c r="L7" s="1135"/>
      <c r="M7" s="1136"/>
      <c r="N7" s="1136"/>
      <c r="O7" s="1136"/>
      <c r="P7" s="3191" t="s">
        <v>2541</v>
      </c>
      <c r="Q7" s="3193"/>
      <c r="R7" s="770" t="s">
        <v>23</v>
      </c>
      <c r="S7" s="771">
        <f t="shared" ref="S7:S15" si="0">F7</f>
        <v>100</v>
      </c>
      <c r="T7" s="770" t="s">
        <v>23</v>
      </c>
      <c r="U7" s="771">
        <f t="shared" ref="U7:U15" si="1">H7</f>
        <v>100</v>
      </c>
      <c r="V7" s="770" t="s">
        <v>23</v>
      </c>
      <c r="W7" s="771">
        <f t="shared" ref="W7:W15" si="2">J7</f>
        <v>100</v>
      </c>
      <c r="X7" s="772"/>
      <c r="Y7" s="3191" t="s">
        <v>2541</v>
      </c>
      <c r="Z7" s="3192"/>
      <c r="AA7" s="773">
        <f>D7/F7</f>
        <v>1</v>
      </c>
      <c r="AB7" s="773">
        <f>D7/H7</f>
        <v>1</v>
      </c>
      <c r="AC7" s="773">
        <f>D7/J7</f>
        <v>1</v>
      </c>
    </row>
    <row r="8" spans="1:29" s="117" customFormat="1" ht="15.75" thickBot="1">
      <c r="A8" s="408" t="s">
        <v>2542</v>
      </c>
      <c r="B8" s="409"/>
      <c r="C8" s="414" t="s">
        <v>2543</v>
      </c>
      <c r="D8" s="411">
        <v>100</v>
      </c>
      <c r="E8" s="414" t="s">
        <v>2543</v>
      </c>
      <c r="F8" s="413">
        <f>SUMIF(61:61,E8,62:62)-SUMIF(61:61,C8,62:62)+100</f>
        <v>100</v>
      </c>
      <c r="G8" s="414" t="s">
        <v>2543</v>
      </c>
      <c r="H8" s="411">
        <f>SUMIF(61:61,G8,62:62)-SUMIF(61:61,C8,62:62)+100</f>
        <v>100</v>
      </c>
      <c r="I8" s="414" t="s">
        <v>2543</v>
      </c>
      <c r="J8" s="411">
        <f>SUMIF(61:61,I8,62:62)-SUMIF(61:61,C8,62:62)+100</f>
        <v>100</v>
      </c>
      <c r="K8" s="2594"/>
      <c r="L8" s="1135"/>
      <c r="M8" s="1136"/>
      <c r="N8" s="1136"/>
      <c r="O8" s="1136"/>
      <c r="P8" s="3191" t="s">
        <v>2544</v>
      </c>
      <c r="Q8" s="3192"/>
      <c r="R8" s="770" t="s">
        <v>23</v>
      </c>
      <c r="S8" s="771">
        <f t="shared" si="0"/>
        <v>100</v>
      </c>
      <c r="T8" s="770" t="s">
        <v>23</v>
      </c>
      <c r="U8" s="771">
        <f t="shared" si="1"/>
        <v>100</v>
      </c>
      <c r="V8" s="770" t="s">
        <v>23</v>
      </c>
      <c r="W8" s="771">
        <f t="shared" si="2"/>
        <v>100</v>
      </c>
      <c r="X8" s="772"/>
      <c r="Y8" s="3191" t="s">
        <v>2544</v>
      </c>
      <c r="Z8" s="3192"/>
      <c r="AA8" s="773">
        <f t="shared" ref="AA8:AA19" si="3">D8/F8</f>
        <v>1</v>
      </c>
      <c r="AB8" s="773">
        <f t="shared" ref="AB8:AB19" si="4">D8/H8</f>
        <v>1</v>
      </c>
      <c r="AC8" s="773">
        <f t="shared" ref="AC8:AC19" si="5">D8/J8</f>
        <v>1</v>
      </c>
    </row>
    <row r="9" spans="1:29" s="117" customFormat="1">
      <c r="A9" s="415" t="s">
        <v>2545</v>
      </c>
      <c r="B9" s="71" t="s">
        <v>2546</v>
      </c>
      <c r="C9" s="2960" t="s">
        <v>3185</v>
      </c>
      <c r="D9" s="135">
        <v>100</v>
      </c>
      <c r="E9" s="417" t="s">
        <v>3074</v>
      </c>
      <c r="F9" s="418">
        <f>SUMIF(63:63,E9,64:64)-SUMIF(63:63,C9,64:64)+100</f>
        <v>100</v>
      </c>
      <c r="G9" s="417" t="s">
        <v>3074</v>
      </c>
      <c r="H9" s="135">
        <f>SUMIF(63:63,G9,64:64)-SUMIF(63:63,C9,64:64)+100</f>
        <v>100</v>
      </c>
      <c r="I9" s="417" t="s">
        <v>3074</v>
      </c>
      <c r="J9" s="135">
        <f>SUMIF(63:63,I9,64:64)-SUMIF(63:63,C9,64:64)+100</f>
        <v>100</v>
      </c>
      <c r="K9" s="2594"/>
      <c r="L9" s="1135"/>
      <c r="M9" s="1136"/>
      <c r="N9" s="1136"/>
      <c r="O9" s="1136"/>
      <c r="P9" s="3161" t="s">
        <v>2547</v>
      </c>
      <c r="Q9" s="1797"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23" t="s">
        <v>3186</v>
      </c>
      <c r="D10" s="136">
        <v>100</v>
      </c>
      <c r="E10" s="423" t="s">
        <v>3186</v>
      </c>
      <c r="F10" s="425">
        <f>SUMIF(65:65,E10,66:66)-SUMIF(65:65,C10,66:66)+100</f>
        <v>100</v>
      </c>
      <c r="G10" s="423" t="s">
        <v>3186</v>
      </c>
      <c r="H10" s="136">
        <f>SUMIF(65:65,G10,66:66)-SUMIF(65:65,C10,66:66)+100</f>
        <v>100</v>
      </c>
      <c r="I10" s="423" t="s">
        <v>3186</v>
      </c>
      <c r="J10" s="136">
        <f>SUMIF(65:65,I10,66:66)-SUMIF(65:65,C10,66:66)+100</f>
        <v>100</v>
      </c>
      <c r="K10" s="426"/>
      <c r="L10" s="1138"/>
      <c r="M10" s="1139"/>
      <c r="N10" s="1139"/>
      <c r="O10" s="1139"/>
      <c r="P10" s="3161"/>
      <c r="Q10" s="179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75" thickBot="1">
      <c r="A11" s="428"/>
      <c r="B11" s="422" t="s">
        <v>2550</v>
      </c>
      <c r="C11" s="429">
        <v>2.4500000000000002</v>
      </c>
      <c r="D11" s="136">
        <v>100</v>
      </c>
      <c r="E11" s="430">
        <v>3</v>
      </c>
      <c r="F11" s="425">
        <f>LOOKUP(E11,68:68,69:69)-LOOKUP(C11,68:68,69:69)+100</f>
        <v>97</v>
      </c>
      <c r="G11" s="429">
        <v>3.15</v>
      </c>
      <c r="H11" s="136">
        <f>LOOKUP(G11,68:68,69:69)-LOOKUP(C11,68:68,69:69)+100</f>
        <v>97</v>
      </c>
      <c r="I11" s="429">
        <v>1.8</v>
      </c>
      <c r="J11" s="136">
        <f>LOOKUP(I11,68:68,69:69)-LOOKUP(C11,68:68,69:69)+100</f>
        <v>103</v>
      </c>
      <c r="K11" s="426">
        <v>3</v>
      </c>
      <c r="L11" s="1141"/>
      <c r="M11" s="1134"/>
      <c r="N11" s="1134"/>
      <c r="O11" s="1134"/>
      <c r="P11" s="3161"/>
      <c r="Q11" s="1797" t="str">
        <f t="shared" si="6"/>
        <v>容积率</v>
      </c>
      <c r="R11" s="770" t="s">
        <v>21</v>
      </c>
      <c r="S11" s="771">
        <f t="shared" si="0"/>
        <v>97</v>
      </c>
      <c r="T11" s="770" t="s">
        <v>21</v>
      </c>
      <c r="U11" s="771">
        <f t="shared" si="1"/>
        <v>97</v>
      </c>
      <c r="V11" s="770" t="s">
        <v>21</v>
      </c>
      <c r="W11" s="771">
        <f t="shared" si="2"/>
        <v>103</v>
      </c>
      <c r="X11" s="772"/>
      <c r="Y11" s="3010"/>
      <c r="Z11" s="55" t="str">
        <f t="shared" si="7"/>
        <v>容积率</v>
      </c>
      <c r="AA11" s="773">
        <f t="shared" si="3"/>
        <v>1.0309278350515463</v>
      </c>
      <c r="AB11" s="773">
        <f t="shared" si="4"/>
        <v>1.0309278350515463</v>
      </c>
      <c r="AC11" s="773">
        <f t="shared" si="5"/>
        <v>0.970873786407767</v>
      </c>
    </row>
    <row r="12" spans="1:29" s="117" customFormat="1" ht="15" hidden="1">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5"/>
      <c r="M12" s="1136"/>
      <c r="N12" s="1136"/>
      <c r="O12" s="1136"/>
      <c r="P12" s="3161"/>
      <c r="Q12" s="1797">
        <f t="shared" si="6"/>
        <v>111</v>
      </c>
      <c r="R12" s="770" t="s">
        <v>21</v>
      </c>
      <c r="S12" s="771">
        <f t="shared" si="0"/>
        <v>100</v>
      </c>
      <c r="T12" s="770" t="s">
        <v>21</v>
      </c>
      <c r="U12" s="771">
        <f t="shared" si="1"/>
        <v>100</v>
      </c>
      <c r="V12" s="770" t="s">
        <v>21</v>
      </c>
      <c r="W12" s="771">
        <f t="shared" si="2"/>
        <v>100</v>
      </c>
      <c r="X12" s="772"/>
      <c r="Y12" s="3010"/>
      <c r="Z12" s="55">
        <f t="shared" si="7"/>
        <v>111</v>
      </c>
      <c r="AA12" s="773">
        <f>D12/F12</f>
        <v>1</v>
      </c>
      <c r="AB12" s="773">
        <f>D12/H12</f>
        <v>1</v>
      </c>
      <c r="AC12" s="773">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3"/>
      <c r="M13" s="1134"/>
      <c r="N13" s="1134"/>
      <c r="O13" s="1134"/>
      <c r="P13" s="3161"/>
      <c r="Q13" s="1797">
        <f t="shared" si="6"/>
        <v>111</v>
      </c>
      <c r="R13" s="770" t="s">
        <v>21</v>
      </c>
      <c r="S13" s="771">
        <f t="shared" si="0"/>
        <v>100</v>
      </c>
      <c r="T13" s="770" t="s">
        <v>21</v>
      </c>
      <c r="U13" s="771">
        <f t="shared" si="1"/>
        <v>100</v>
      </c>
      <c r="V13" s="770" t="s">
        <v>21</v>
      </c>
      <c r="W13" s="771">
        <f t="shared" si="2"/>
        <v>100</v>
      </c>
      <c r="X13" s="772"/>
      <c r="Y13" s="3010"/>
      <c r="Z13" s="55">
        <f t="shared" si="7"/>
        <v>111</v>
      </c>
      <c r="AA13" s="773">
        <f t="shared" si="3"/>
        <v>1</v>
      </c>
      <c r="AB13" s="773">
        <f t="shared" si="4"/>
        <v>1</v>
      </c>
      <c r="AC13" s="773">
        <f t="shared" si="5"/>
        <v>1</v>
      </c>
    </row>
    <row r="14" spans="1:29" ht="15.75" hidden="1"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3"/>
      <c r="M14" s="1134"/>
      <c r="N14" s="1134"/>
      <c r="O14" s="1134"/>
      <c r="P14" s="3161"/>
      <c r="Q14" s="1797">
        <f t="shared" si="6"/>
        <v>111</v>
      </c>
      <c r="R14" s="770" t="s">
        <v>21</v>
      </c>
      <c r="S14" s="771">
        <f t="shared" si="0"/>
        <v>100</v>
      </c>
      <c r="T14" s="770" t="s">
        <v>21</v>
      </c>
      <c r="U14" s="771">
        <f t="shared" si="1"/>
        <v>100</v>
      </c>
      <c r="V14" s="770" t="s">
        <v>21</v>
      </c>
      <c r="W14" s="771">
        <f t="shared" si="2"/>
        <v>100</v>
      </c>
      <c r="X14" s="772"/>
      <c r="Y14" s="3010"/>
      <c r="Z14" s="55">
        <f t="shared" si="7"/>
        <v>111</v>
      </c>
      <c r="AA14" s="773">
        <f t="shared" si="3"/>
        <v>1</v>
      </c>
      <c r="AB14" s="773">
        <f t="shared" si="4"/>
        <v>1</v>
      </c>
      <c r="AC14" s="773">
        <f t="shared" si="5"/>
        <v>1</v>
      </c>
    </row>
    <row r="15" spans="1:29" ht="142.5">
      <c r="A15" s="440" t="s">
        <v>2551</v>
      </c>
      <c r="B15" s="69" t="s">
        <v>2082</v>
      </c>
      <c r="C15" s="2598" t="str">
        <f>估价对象房地状况!C3</f>
        <v>估价对象周边居住用地比例较大、居住小区规模较大和社区发展完善程度较好，有远景庄园、碧桂园海昌天澜等住宅项目，综合评价居住社区成熟度较好。</v>
      </c>
      <c r="D15" s="441">
        <v>100</v>
      </c>
      <c r="E15" s="2953" t="s">
        <v>3187</v>
      </c>
      <c r="F15" s="441">
        <f>SUMIF(76:76,E16,77:77)-SUMIF(76:76,C16,77:77)+100</f>
        <v>100</v>
      </c>
      <c r="G15" s="2952" t="s">
        <v>3188</v>
      </c>
      <c r="H15" s="441">
        <f>SUMIF(76:76,G16,77:77)-SUMIF(76:76,C16,77:77)+100</f>
        <v>100</v>
      </c>
      <c r="I15" s="2952" t="s">
        <v>3189</v>
      </c>
      <c r="J15" s="441">
        <f>SUMIF(76:76,I16,77:77)-SUMIF(76:76,C16,77:77)+100</f>
        <v>100</v>
      </c>
      <c r="K15" s="445"/>
      <c r="L15" s="1143"/>
      <c r="M15" s="1134"/>
      <c r="N15" s="1134"/>
      <c r="O15" s="1134"/>
      <c r="P15" s="3204" t="s">
        <v>2552</v>
      </c>
      <c r="Q15" s="1812" t="str">
        <f t="shared" si="6"/>
        <v>居住社区成熟度</v>
      </c>
      <c r="R15" s="774" t="s">
        <v>21</v>
      </c>
      <c r="S15" s="775">
        <f t="shared" si="0"/>
        <v>100</v>
      </c>
      <c r="T15" s="774" t="s">
        <v>21</v>
      </c>
      <c r="U15" s="775">
        <f t="shared" si="1"/>
        <v>100</v>
      </c>
      <c r="V15" s="774" t="s">
        <v>21</v>
      </c>
      <c r="W15" s="775">
        <f t="shared" si="2"/>
        <v>100</v>
      </c>
      <c r="X15" s="1815"/>
      <c r="Y15" s="3164" t="s">
        <v>2552</v>
      </c>
      <c r="Z15" s="1816" t="str">
        <f t="shared" si="7"/>
        <v>居住社区成熟度</v>
      </c>
      <c r="AA15" s="1813">
        <f t="shared" si="3"/>
        <v>1</v>
      </c>
      <c r="AB15" s="1813">
        <f t="shared" si="4"/>
        <v>1</v>
      </c>
      <c r="AC15" s="1813">
        <f t="shared" si="5"/>
        <v>1</v>
      </c>
    </row>
    <row r="16" spans="1:29" ht="15">
      <c r="A16" s="428"/>
      <c r="B16" s="446"/>
      <c r="C16" s="447" t="s">
        <v>3136</v>
      </c>
      <c r="D16" s="448"/>
      <c r="E16" s="447" t="s">
        <v>3136</v>
      </c>
      <c r="F16" s="448"/>
      <c r="G16" s="447" t="s">
        <v>3136</v>
      </c>
      <c r="H16" s="450"/>
      <c r="I16" s="447" t="s">
        <v>3136</v>
      </c>
      <c r="J16" s="448"/>
      <c r="K16" s="2601"/>
      <c r="L16" s="1143"/>
      <c r="M16" s="1134"/>
      <c r="N16" s="1134"/>
      <c r="O16" s="1134"/>
      <c r="P16" s="3205"/>
      <c r="Q16" s="1812"/>
      <c r="R16" s="774"/>
      <c r="S16" s="775"/>
      <c r="T16" s="774"/>
      <c r="U16" s="775"/>
      <c r="V16" s="774"/>
      <c r="W16" s="775"/>
      <c r="X16" s="1815"/>
      <c r="Y16" s="3165"/>
      <c r="Z16" s="1816"/>
      <c r="AA16" s="1813">
        <v>1</v>
      </c>
      <c r="AB16" s="1813">
        <v>1</v>
      </c>
      <c r="AC16" s="1813">
        <v>1</v>
      </c>
    </row>
    <row r="17" spans="1:29" ht="156.75">
      <c r="A17" s="428"/>
      <c r="B17" s="451" t="s">
        <v>2091</v>
      </c>
      <c r="C17" s="2602" t="str">
        <f>估价对象房地状况!C6</f>
        <v>估价对象紧邻城市支路——大新路、安阳道，周边路网密集程度一般、公共交通通达情况一般，有821、529路等公共交通，停车便捷程度一般，综合评价交通便捷度一般。</v>
      </c>
      <c r="D17" s="450">
        <v>100</v>
      </c>
      <c r="E17" s="454" t="s">
        <v>3190</v>
      </c>
      <c r="F17" s="450">
        <f>SUMIF(78:78,E18,79:79)-SUMIF(78:78,C18,79:79)+100</f>
        <v>102</v>
      </c>
      <c r="G17" s="452" t="s">
        <v>3190</v>
      </c>
      <c r="H17" s="455">
        <f>SUMIF(78:78,G18,79:79)-SUMIF(78:78,C18,79:79)+100</f>
        <v>102</v>
      </c>
      <c r="I17" s="452" t="s">
        <v>3191</v>
      </c>
      <c r="J17" s="455">
        <f>SUMIF(78:78,I18,79:79)-SUMIF(78:78,C18,79:79)+100</f>
        <v>100</v>
      </c>
      <c r="K17" s="445">
        <v>2</v>
      </c>
      <c r="L17" s="1143"/>
      <c r="M17" s="1134"/>
      <c r="N17" s="1134"/>
      <c r="O17" s="1134"/>
      <c r="P17" s="3205"/>
      <c r="Q17" s="1812" t="str">
        <f>B17</f>
        <v>交通便捷度</v>
      </c>
      <c r="R17" s="774" t="s">
        <v>21</v>
      </c>
      <c r="S17" s="775">
        <f>F17</f>
        <v>102</v>
      </c>
      <c r="T17" s="774" t="s">
        <v>21</v>
      </c>
      <c r="U17" s="775">
        <f>H17</f>
        <v>102</v>
      </c>
      <c r="V17" s="774" t="s">
        <v>21</v>
      </c>
      <c r="W17" s="775">
        <f>J17</f>
        <v>100</v>
      </c>
      <c r="X17" s="1815"/>
      <c r="Y17" s="3165"/>
      <c r="Z17" s="1816" t="str">
        <f>Q17</f>
        <v>交通便捷度</v>
      </c>
      <c r="AA17" s="1813">
        <f t="shared" si="3"/>
        <v>0.98039215686274506</v>
      </c>
      <c r="AB17" s="1813">
        <f t="shared" si="4"/>
        <v>0.98039215686274506</v>
      </c>
      <c r="AC17" s="1813">
        <f t="shared" si="5"/>
        <v>1</v>
      </c>
    </row>
    <row r="18" spans="1:29" ht="15">
      <c r="A18" s="428"/>
      <c r="B18" s="456"/>
      <c r="C18" s="2603" t="s">
        <v>3141</v>
      </c>
      <c r="D18" s="450"/>
      <c r="E18" s="2604" t="s">
        <v>3136</v>
      </c>
      <c r="F18" s="450"/>
      <c r="G18" s="2605" t="s">
        <v>3136</v>
      </c>
      <c r="H18" s="448"/>
      <c r="I18" s="2605" t="s">
        <v>3141</v>
      </c>
      <c r="J18" s="448"/>
      <c r="K18" s="2601"/>
      <c r="L18" s="1143"/>
      <c r="M18" s="1134"/>
      <c r="N18" s="1134"/>
      <c r="O18" s="1134"/>
      <c r="P18" s="3205"/>
      <c r="Q18" s="1812"/>
      <c r="R18" s="774"/>
      <c r="S18" s="775"/>
      <c r="T18" s="774"/>
      <c r="U18" s="775"/>
      <c r="V18" s="774"/>
      <c r="W18" s="775"/>
      <c r="X18" s="1815"/>
      <c r="Y18" s="3165"/>
      <c r="Z18" s="1816"/>
      <c r="AA18" s="1813">
        <v>1</v>
      </c>
      <c r="AB18" s="1813">
        <v>1</v>
      </c>
      <c r="AC18" s="1813">
        <v>1</v>
      </c>
    </row>
    <row r="19" spans="1:29" ht="213.75">
      <c r="A19" s="428"/>
      <c r="B19" s="451" t="s">
        <v>2089</v>
      </c>
      <c r="C19" s="2602"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455">
        <v>100</v>
      </c>
      <c r="E19" s="459" t="s">
        <v>3192</v>
      </c>
      <c r="F19" s="455">
        <f>SUMIF(80:80,E20,81:81)-SUMIF(80:80,C20,81:81)+100</f>
        <v>100</v>
      </c>
      <c r="G19" s="457" t="s">
        <v>3192</v>
      </c>
      <c r="H19" s="450">
        <f>SUMIF(80:80,G20,81:81)-SUMIF(80:80,C20,81:81)+100</f>
        <v>100</v>
      </c>
      <c r="I19" s="457" t="s">
        <v>3193</v>
      </c>
      <c r="J19" s="450">
        <f>SUMIF(80:80,I20,81:81)-SUMIF(80:80,C20,81:81)+100</f>
        <v>98</v>
      </c>
      <c r="K19" s="445">
        <v>2</v>
      </c>
      <c r="L19" s="1143"/>
      <c r="M19" s="1134"/>
      <c r="N19" s="1134"/>
      <c r="O19" s="1134"/>
      <c r="P19" s="3205"/>
      <c r="Q19" s="1812" t="str">
        <f>B19</f>
        <v>公共配套设施</v>
      </c>
      <c r="R19" s="774" t="s">
        <v>21</v>
      </c>
      <c r="S19" s="775">
        <f>F19</f>
        <v>100</v>
      </c>
      <c r="T19" s="774" t="s">
        <v>21</v>
      </c>
      <c r="U19" s="775">
        <f>H19</f>
        <v>100</v>
      </c>
      <c r="V19" s="774" t="s">
        <v>21</v>
      </c>
      <c r="W19" s="775">
        <f>J19</f>
        <v>98</v>
      </c>
      <c r="X19" s="1815"/>
      <c r="Y19" s="3165"/>
      <c r="Z19" s="1816" t="str">
        <f>Q19</f>
        <v>公共配套设施</v>
      </c>
      <c r="AA19" s="1813">
        <f t="shared" si="3"/>
        <v>1</v>
      </c>
      <c r="AB19" s="1813">
        <f t="shared" si="4"/>
        <v>1</v>
      </c>
      <c r="AC19" s="1813">
        <f t="shared" si="5"/>
        <v>1.0204081632653061</v>
      </c>
    </row>
    <row r="20" spans="1:29" ht="15">
      <c r="A20" s="428"/>
      <c r="B20" s="456"/>
      <c r="C20" s="447" t="s">
        <v>3136</v>
      </c>
      <c r="D20" s="448"/>
      <c r="E20" s="447" t="s">
        <v>3136</v>
      </c>
      <c r="F20" s="448"/>
      <c r="G20" s="2600" t="s">
        <v>3136</v>
      </c>
      <c r="H20" s="448"/>
      <c r="I20" s="2600" t="s">
        <v>3141</v>
      </c>
      <c r="J20" s="448"/>
      <c r="K20" s="2601"/>
      <c r="L20" s="1143"/>
      <c r="M20" s="1134"/>
      <c r="N20" s="1134"/>
      <c r="O20" s="1134"/>
      <c r="P20" s="3205"/>
      <c r="Q20" s="1812"/>
      <c r="R20" s="774"/>
      <c r="S20" s="775"/>
      <c r="T20" s="774"/>
      <c r="U20" s="775"/>
      <c r="V20" s="774"/>
      <c r="W20" s="775"/>
      <c r="X20" s="1815"/>
      <c r="Y20" s="3165"/>
      <c r="Z20" s="1816"/>
      <c r="AA20" s="1813">
        <v>1</v>
      </c>
      <c r="AB20" s="1813">
        <v>1</v>
      </c>
      <c r="AC20" s="1813">
        <v>1</v>
      </c>
    </row>
    <row r="21" spans="1:29" ht="42.75">
      <c r="A21" s="428"/>
      <c r="B21" s="1387" t="s">
        <v>2092</v>
      </c>
      <c r="C21" s="2602" t="str">
        <f>估价对象房地状况!C8</f>
        <v>估价对象所在区域基础设施水平达到“七通”。</v>
      </c>
      <c r="D21" s="450">
        <v>100</v>
      </c>
      <c r="E21" s="459" t="s">
        <v>3194</v>
      </c>
      <c r="F21" s="455">
        <f>SUMIF(82:82,E22,83:83)-SUMIF(82:82,C22,83:83)+100</f>
        <v>100</v>
      </c>
      <c r="G21" s="457" t="s">
        <v>3194</v>
      </c>
      <c r="H21" s="450">
        <f>SUMIF(82:82,G22,83:83)-SUMIF(82:82,C22,83:83)+100</f>
        <v>100</v>
      </c>
      <c r="I21" s="457" t="s">
        <v>3195</v>
      </c>
      <c r="J21" s="450">
        <f>SUMIF(82:82,I22,83:83)-SUMIF(82:82,C22,83:83)+100</f>
        <v>100</v>
      </c>
      <c r="K21" s="445"/>
      <c r="L21" s="1143"/>
      <c r="M21" s="1134"/>
      <c r="N21" s="1134"/>
      <c r="O21" s="1134"/>
      <c r="P21" s="3205"/>
      <c r="Q21" s="1812" t="str">
        <f>B21</f>
        <v>基础设施水平</v>
      </c>
      <c r="R21" s="774" t="s">
        <v>17</v>
      </c>
      <c r="S21" s="775">
        <f>F21</f>
        <v>100</v>
      </c>
      <c r="T21" s="774" t="s">
        <v>17</v>
      </c>
      <c r="U21" s="775">
        <f>H21</f>
        <v>100</v>
      </c>
      <c r="V21" s="774" t="s">
        <v>17</v>
      </c>
      <c r="W21" s="775">
        <f>J21</f>
        <v>100</v>
      </c>
      <c r="X21" s="1815"/>
      <c r="Y21" s="3165"/>
      <c r="Z21" s="1816" t="str">
        <f>Q21</f>
        <v>基础设施水平</v>
      </c>
      <c r="AA21" s="1813">
        <f t="shared" ref="AA21" si="8">D21/F21</f>
        <v>1</v>
      </c>
      <c r="AB21" s="1813">
        <f t="shared" ref="AB21" si="9">D21/H21</f>
        <v>1</v>
      </c>
      <c r="AC21" s="1813">
        <f t="shared" ref="AC21" si="10">D21/J21</f>
        <v>1</v>
      </c>
    </row>
    <row r="22" spans="1:29" ht="15">
      <c r="A22" s="428"/>
      <c r="B22" s="1387"/>
      <c r="C22" s="2603" t="s">
        <v>3152</v>
      </c>
      <c r="D22" s="448"/>
      <c r="E22" s="2603" t="s">
        <v>3152</v>
      </c>
      <c r="F22" s="448"/>
      <c r="G22" s="2603" t="s">
        <v>3152</v>
      </c>
      <c r="H22" s="448"/>
      <c r="I22" s="2603" t="s">
        <v>3152</v>
      </c>
      <c r="J22" s="448"/>
      <c r="K22" s="2607"/>
      <c r="L22" s="1143"/>
      <c r="M22" s="1134"/>
      <c r="N22" s="1134"/>
      <c r="O22" s="1134"/>
      <c r="P22" s="3205"/>
      <c r="Q22" s="1812"/>
      <c r="R22" s="774"/>
      <c r="S22" s="775"/>
      <c r="T22" s="774"/>
      <c r="U22" s="775"/>
      <c r="V22" s="774"/>
      <c r="W22" s="775"/>
      <c r="X22" s="1815"/>
      <c r="Y22" s="3165"/>
      <c r="Z22" s="1816"/>
      <c r="AA22" s="1813">
        <v>1</v>
      </c>
      <c r="AB22" s="1813">
        <v>1</v>
      </c>
      <c r="AC22" s="1813">
        <v>1</v>
      </c>
    </row>
    <row r="23" spans="1:29" ht="85.5">
      <c r="A23" s="428"/>
      <c r="B23" s="451" t="s">
        <v>2096</v>
      </c>
      <c r="C23" s="2602" t="str">
        <f>估价对象房地状况!C9</f>
        <v>区域自然环境：彩带公园；人文环境：无博物馆、展览馆等人文景观；综合评价环境状况一般。</v>
      </c>
      <c r="D23" s="450">
        <v>100</v>
      </c>
      <c r="E23" s="2955" t="s">
        <v>3196</v>
      </c>
      <c r="F23" s="450">
        <f>SUMIF(84:84,E24,85:85)-SUMIF(84:84,C24,85:85)+100</f>
        <v>100</v>
      </c>
      <c r="G23" s="2954" t="s">
        <v>3197</v>
      </c>
      <c r="H23" s="450">
        <f>SUMIF(84:84,G24,85:85)-SUMIF(84:84,C24,85:85)+100</f>
        <v>100</v>
      </c>
      <c r="I23" s="2954" t="s">
        <v>3198</v>
      </c>
      <c r="J23" s="450">
        <f>SUMIF(84:84,I24,85:85)-SUMIF(84:84,C24,85:85)+100</f>
        <v>100</v>
      </c>
      <c r="K23" s="445"/>
      <c r="L23" s="1143"/>
      <c r="M23" s="1134"/>
      <c r="N23" s="1134"/>
      <c r="O23" s="1134"/>
      <c r="P23" s="3205"/>
      <c r="Q23" s="1812" t="str">
        <f>B23</f>
        <v>自然及人文环境</v>
      </c>
      <c r="R23" s="774" t="s">
        <v>21</v>
      </c>
      <c r="S23" s="775">
        <f>F23</f>
        <v>100</v>
      </c>
      <c r="T23" s="774" t="s">
        <v>21</v>
      </c>
      <c r="U23" s="775">
        <f>H23</f>
        <v>100</v>
      </c>
      <c r="V23" s="774" t="s">
        <v>21</v>
      </c>
      <c r="W23" s="775">
        <f>J23</f>
        <v>100</v>
      </c>
      <c r="X23" s="1815"/>
      <c r="Y23" s="3165"/>
      <c r="Z23" s="1816" t="str">
        <f>Q23</f>
        <v>自然及人文环境</v>
      </c>
      <c r="AA23" s="1813">
        <f>D23/F23</f>
        <v>1</v>
      </c>
      <c r="AB23" s="1813">
        <f>D23/H23</f>
        <v>1</v>
      </c>
      <c r="AC23" s="1813">
        <f>D23/J23</f>
        <v>1</v>
      </c>
    </row>
    <row r="24" spans="1:29" ht="15">
      <c r="A24" s="428"/>
      <c r="B24" s="456"/>
      <c r="C24" s="447" t="s">
        <v>3141</v>
      </c>
      <c r="D24" s="448"/>
      <c r="E24" s="2599" t="s">
        <v>3141</v>
      </c>
      <c r="F24" s="448"/>
      <c r="G24" s="2600" t="s">
        <v>3141</v>
      </c>
      <c r="H24" s="448"/>
      <c r="I24" s="2600" t="s">
        <v>3141</v>
      </c>
      <c r="J24" s="448"/>
      <c r="K24" s="2601"/>
      <c r="L24" s="1143"/>
      <c r="M24" s="1134"/>
      <c r="N24" s="1134"/>
      <c r="O24" s="1134"/>
      <c r="P24" s="3205"/>
      <c r="Q24" s="1812"/>
      <c r="R24" s="774"/>
      <c r="S24" s="775"/>
      <c r="T24" s="774"/>
      <c r="U24" s="775"/>
      <c r="V24" s="774"/>
      <c r="W24" s="775"/>
      <c r="X24" s="1815"/>
      <c r="Y24" s="3165"/>
      <c r="Z24" s="1816"/>
      <c r="AA24" s="1813">
        <v>1</v>
      </c>
      <c r="AB24" s="1813">
        <v>1</v>
      </c>
      <c r="AC24" s="1813">
        <v>1</v>
      </c>
    </row>
    <row r="25" spans="1:29" ht="15">
      <c r="A25" s="428"/>
      <c r="B25" s="422" t="s">
        <v>2553</v>
      </c>
      <c r="C25" s="460"/>
      <c r="D25" s="435">
        <v>100</v>
      </c>
      <c r="E25" s="2608"/>
      <c r="F25" s="435">
        <f>SUMIF(86:86,E25,87:87)-SUMIF(86:86,C25,87:87)+100</f>
        <v>100</v>
      </c>
      <c r="G25" s="2609"/>
      <c r="H25" s="435">
        <f>SUMIF(86:86,G25,87:87)-SUMIF(86:86,C25,87:87)+100</f>
        <v>100</v>
      </c>
      <c r="I25" s="2609"/>
      <c r="J25" s="435">
        <f>SUMIF(86:86,I25,87:87)-SUMIF(86:86,C25,87:87)+100</f>
        <v>100</v>
      </c>
      <c r="K25" s="426"/>
      <c r="L25" s="1143"/>
      <c r="M25" s="1134"/>
      <c r="N25" s="1134"/>
      <c r="O25" s="1134"/>
      <c r="P25" s="3205"/>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65"/>
      <c r="Z25" s="1816" t="str">
        <f>Q25</f>
        <v>楼层-1</v>
      </c>
      <c r="AA25" s="1813">
        <f t="shared" ref="AA25:AA46" si="15">D25/F25</f>
        <v>1</v>
      </c>
      <c r="AB25" s="1813">
        <f t="shared" ref="AB25:AB46" si="16">D25/H25</f>
        <v>1</v>
      </c>
      <c r="AC25" s="1813">
        <f t="shared" ref="AC25:AC46" si="17">D25/J25</f>
        <v>1</v>
      </c>
    </row>
    <row r="26" spans="1:29" ht="15.75" thickBot="1">
      <c r="A26" s="428"/>
      <c r="B26" s="422" t="s">
        <v>2554</v>
      </c>
      <c r="C26" s="460"/>
      <c r="D26" s="435">
        <v>100</v>
      </c>
      <c r="E26" s="2608"/>
      <c r="F26" s="435">
        <f>SUMIF(88:88,E26,89:89)-SUMIF(88:88,C26,89:89)+100</f>
        <v>100</v>
      </c>
      <c r="G26" s="2609"/>
      <c r="H26" s="435">
        <f>SUMIF(88:88,G26,89:89)-SUMIF(88:88,C26,89:89)+100</f>
        <v>100</v>
      </c>
      <c r="I26" s="2609"/>
      <c r="J26" s="435">
        <f>SUMIF(88:88,I26,89:89)-SUMIF(88:88,C26,89:89)+100</f>
        <v>100</v>
      </c>
      <c r="K26" s="426"/>
      <c r="L26" s="1143"/>
      <c r="M26" s="1134"/>
      <c r="N26" s="1134"/>
      <c r="O26" s="1134"/>
      <c r="P26" s="3205"/>
      <c r="Q26" s="1812" t="str">
        <f t="shared" si="11"/>
        <v>朝向</v>
      </c>
      <c r="R26" s="774" t="s">
        <v>21</v>
      </c>
      <c r="S26" s="775">
        <f t="shared" si="12"/>
        <v>100</v>
      </c>
      <c r="T26" s="774" t="s">
        <v>21</v>
      </c>
      <c r="U26" s="775">
        <f t="shared" si="13"/>
        <v>100</v>
      </c>
      <c r="V26" s="774" t="s">
        <v>21</v>
      </c>
      <c r="W26" s="775">
        <f t="shared" si="14"/>
        <v>100</v>
      </c>
      <c r="X26" s="1815"/>
      <c r="Y26" s="3165"/>
      <c r="Z26" s="1816" t="str">
        <f>Q26</f>
        <v>朝向</v>
      </c>
      <c r="AA26" s="1813">
        <f t="shared" si="15"/>
        <v>1</v>
      </c>
      <c r="AB26" s="1813">
        <f t="shared" si="16"/>
        <v>1</v>
      </c>
      <c r="AC26" s="1813">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6"/>
      <c r="L27" s="1135"/>
      <c r="M27" s="1136"/>
      <c r="N27" s="1136"/>
      <c r="O27" s="1136"/>
      <c r="P27" s="3205"/>
      <c r="Q27" s="1797">
        <f t="shared" si="11"/>
        <v>111</v>
      </c>
      <c r="R27" s="770" t="s">
        <v>21</v>
      </c>
      <c r="S27" s="771">
        <f t="shared" si="12"/>
        <v>100</v>
      </c>
      <c r="T27" s="770" t="s">
        <v>21</v>
      </c>
      <c r="U27" s="771">
        <f t="shared" si="13"/>
        <v>100</v>
      </c>
      <c r="V27" s="770" t="s">
        <v>21</v>
      </c>
      <c r="W27" s="771">
        <f t="shared" si="14"/>
        <v>100</v>
      </c>
      <c r="X27" s="772"/>
      <c r="Y27" s="3165"/>
      <c r="Z27" s="55">
        <f>Q27</f>
        <v>111</v>
      </c>
      <c r="AA27" s="1813">
        <f t="shared" si="15"/>
        <v>1</v>
      </c>
      <c r="AB27" s="1813">
        <f t="shared" si="16"/>
        <v>1</v>
      </c>
      <c r="AC27" s="1813">
        <f t="shared" si="17"/>
        <v>1</v>
      </c>
    </row>
    <row r="28" spans="1:29" ht="15" hidden="1">
      <c r="A28" s="428"/>
      <c r="B28" s="1389">
        <v>111</v>
      </c>
      <c r="C28" s="434"/>
      <c r="D28" s="435">
        <v>100</v>
      </c>
      <c r="E28" s="434"/>
      <c r="F28" s="435">
        <f>SUMIF(92:92,E28,93:93)-SUMIF(92:92,C28,93:93)+100</f>
        <v>100</v>
      </c>
      <c r="G28" s="2610"/>
      <c r="H28" s="435">
        <f>SUMIF(92:92,G28,93:93)-SUMIF(92:92,C28,93:93)+100</f>
        <v>100</v>
      </c>
      <c r="I28" s="434"/>
      <c r="J28" s="435">
        <f>SUMIF(92:92,I28,93:93)-SUMIF(92:92,C28,93:93)+100</f>
        <v>100</v>
      </c>
      <c r="K28" s="2596"/>
      <c r="L28" s="1143"/>
      <c r="M28" s="1134"/>
      <c r="N28" s="1134"/>
      <c r="O28" s="1134"/>
      <c r="P28" s="3205"/>
      <c r="Q28" s="1812">
        <f t="shared" si="11"/>
        <v>111</v>
      </c>
      <c r="R28" s="774" t="s">
        <v>21</v>
      </c>
      <c r="S28" s="775">
        <f t="shared" si="12"/>
        <v>100</v>
      </c>
      <c r="T28" s="774" t="s">
        <v>21</v>
      </c>
      <c r="U28" s="775">
        <f t="shared" si="13"/>
        <v>100</v>
      </c>
      <c r="V28" s="774" t="s">
        <v>21</v>
      </c>
      <c r="W28" s="775">
        <f t="shared" si="14"/>
        <v>100</v>
      </c>
      <c r="X28" s="1815"/>
      <c r="Y28" s="3165"/>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0"/>
      <c r="H29" s="435">
        <f>SUMIF(94:94,G29,95:95)-SUMIF(94:94,C29,95:95)+100</f>
        <v>100</v>
      </c>
      <c r="I29" s="434"/>
      <c r="J29" s="435">
        <f>SUMIF(94:94,I29,95:95)-SUMIF(94:94,C29,95:95)+100</f>
        <v>100</v>
      </c>
      <c r="K29" s="2596"/>
      <c r="L29" s="1143"/>
      <c r="M29" s="1134"/>
      <c r="N29" s="1134"/>
      <c r="O29" s="1134"/>
      <c r="P29" s="3205"/>
      <c r="Q29" s="1812">
        <f t="shared" si="11"/>
        <v>111</v>
      </c>
      <c r="R29" s="774" t="s">
        <v>21</v>
      </c>
      <c r="S29" s="775">
        <f t="shared" si="12"/>
        <v>100</v>
      </c>
      <c r="T29" s="774" t="s">
        <v>21</v>
      </c>
      <c r="U29" s="775">
        <f t="shared" si="13"/>
        <v>100</v>
      </c>
      <c r="V29" s="774" t="s">
        <v>21</v>
      </c>
      <c r="W29" s="775">
        <f t="shared" si="14"/>
        <v>100</v>
      </c>
      <c r="X29" s="1815"/>
      <c r="Y29" s="3165"/>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0"/>
      <c r="H30" s="435">
        <f>SUMIF(96:96,G30,97:97)-SUMIF(96:96,C30,97:97)+100</f>
        <v>100</v>
      </c>
      <c r="I30" s="434"/>
      <c r="J30" s="435">
        <f>SUMIF(96:96,I30,97:97)-SUMIF(96:96,C30,97:97)+100</f>
        <v>100</v>
      </c>
      <c r="K30" s="2596"/>
      <c r="L30" s="1143"/>
      <c r="M30" s="1134"/>
      <c r="N30" s="1134"/>
      <c r="O30" s="1134"/>
      <c r="P30" s="3205"/>
      <c r="Q30" s="1812">
        <f t="shared" si="11"/>
        <v>111</v>
      </c>
      <c r="R30" s="774" t="s">
        <v>21</v>
      </c>
      <c r="S30" s="775">
        <f t="shared" si="12"/>
        <v>100</v>
      </c>
      <c r="T30" s="774" t="s">
        <v>21</v>
      </c>
      <c r="U30" s="775">
        <f t="shared" si="13"/>
        <v>100</v>
      </c>
      <c r="V30" s="774" t="s">
        <v>21</v>
      </c>
      <c r="W30" s="775">
        <f t="shared" si="14"/>
        <v>100</v>
      </c>
      <c r="X30" s="1815"/>
      <c r="Y30" s="3165"/>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1"/>
      <c r="H31" s="438">
        <f>SUMIF(98:98,G31,99:99)-SUMIF(98:98,C31,99:99)+100</f>
        <v>100</v>
      </c>
      <c r="I31" s="437"/>
      <c r="J31" s="438">
        <f>SUMIF(98:98,I31,99:99)-SUMIF(98:98,C31,99:99)+100</f>
        <v>100</v>
      </c>
      <c r="K31" s="2596"/>
      <c r="L31" s="1143"/>
      <c r="M31" s="1134"/>
      <c r="N31" s="1134"/>
      <c r="O31" s="1134"/>
      <c r="P31" s="3205"/>
      <c r="Q31" s="1812">
        <f t="shared" si="11"/>
        <v>111</v>
      </c>
      <c r="R31" s="774" t="s">
        <v>21</v>
      </c>
      <c r="S31" s="775">
        <f t="shared" si="12"/>
        <v>100</v>
      </c>
      <c r="T31" s="774" t="s">
        <v>21</v>
      </c>
      <c r="U31" s="775">
        <f t="shared" si="13"/>
        <v>100</v>
      </c>
      <c r="V31" s="774" t="s">
        <v>21</v>
      </c>
      <c r="W31" s="775">
        <f t="shared" si="14"/>
        <v>100</v>
      </c>
      <c r="X31" s="1815"/>
      <c r="Y31" s="3165"/>
      <c r="Z31" s="1816">
        <f t="shared" si="18"/>
        <v>111</v>
      </c>
      <c r="AA31" s="1813">
        <f t="shared" si="15"/>
        <v>1</v>
      </c>
      <c r="AB31" s="1813">
        <f t="shared" si="16"/>
        <v>1</v>
      </c>
      <c r="AC31" s="1813">
        <f t="shared" si="17"/>
        <v>1</v>
      </c>
    </row>
    <row r="32" spans="1:29" ht="15">
      <c r="A32" s="440" t="s">
        <v>2555</v>
      </c>
      <c r="B32" s="71" t="s">
        <v>2556</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3"/>
      <c r="M32" s="1134"/>
      <c r="N32" s="1134"/>
      <c r="O32" s="1134"/>
      <c r="P32" s="3200" t="s">
        <v>2557</v>
      </c>
      <c r="Q32" s="1812" t="str">
        <f t="shared" si="11"/>
        <v>建筑类型</v>
      </c>
      <c r="R32" s="774" t="s">
        <v>21</v>
      </c>
      <c r="S32" s="775">
        <f t="shared" si="12"/>
        <v>100</v>
      </c>
      <c r="T32" s="774" t="s">
        <v>21</v>
      </c>
      <c r="U32" s="775">
        <f t="shared" si="13"/>
        <v>100</v>
      </c>
      <c r="V32" s="774" t="s">
        <v>21</v>
      </c>
      <c r="W32" s="775">
        <f t="shared" si="14"/>
        <v>100</v>
      </c>
      <c r="X32" s="1815"/>
      <c r="Y32" s="3167" t="s">
        <v>2557</v>
      </c>
      <c r="Z32" s="1816" t="str">
        <f t="shared" si="18"/>
        <v>建筑类型</v>
      </c>
      <c r="AA32" s="1813">
        <f t="shared" si="15"/>
        <v>1</v>
      </c>
      <c r="AB32" s="1813">
        <f t="shared" si="16"/>
        <v>1</v>
      </c>
      <c r="AC32" s="1813">
        <f t="shared" si="17"/>
        <v>1</v>
      </c>
    </row>
    <row r="33" spans="1:29" s="471" customFormat="1" ht="15">
      <c r="A33" s="468"/>
      <c r="B33" s="422" t="s">
        <v>2558</v>
      </c>
      <c r="C33" s="469">
        <v>349091.71</v>
      </c>
      <c r="D33" s="136">
        <v>100</v>
      </c>
      <c r="E33" s="430">
        <v>459000</v>
      </c>
      <c r="F33" s="425">
        <f>LOOKUP(E33,103:103,104:104)-LOOKUP(C33,103:103,104:104)+100</f>
        <v>100</v>
      </c>
      <c r="G33" s="429">
        <v>90867</v>
      </c>
      <c r="H33" s="136">
        <f>LOOKUP(G33,103:103,104:104)-LOOKUP(C33,103:103,104:104)+100</f>
        <v>99</v>
      </c>
      <c r="I33" s="430">
        <v>1000000</v>
      </c>
      <c r="J33" s="136">
        <f>LOOKUP(I33,103:103,104:104)-LOOKUP(C33,103:103,104:104)+100</f>
        <v>102</v>
      </c>
      <c r="K33" s="2596"/>
      <c r="L33" s="1141"/>
      <c r="M33" s="1144"/>
      <c r="N33" s="1144"/>
      <c r="O33" s="1144"/>
      <c r="P33" s="3201"/>
      <c r="Q33" s="776" t="str">
        <f t="shared" si="11"/>
        <v>项目建筑规模</v>
      </c>
      <c r="R33" s="777" t="s">
        <v>21</v>
      </c>
      <c r="S33" s="778">
        <f t="shared" si="12"/>
        <v>100</v>
      </c>
      <c r="T33" s="777" t="s">
        <v>21</v>
      </c>
      <c r="U33" s="778">
        <f t="shared" si="13"/>
        <v>99</v>
      </c>
      <c r="V33" s="777" t="s">
        <v>21</v>
      </c>
      <c r="W33" s="778">
        <f t="shared" si="14"/>
        <v>102</v>
      </c>
      <c r="X33" s="779"/>
      <c r="Y33" s="3167"/>
      <c r="Z33" s="780" t="str">
        <f t="shared" si="18"/>
        <v>项目建筑规模</v>
      </c>
      <c r="AA33" s="1813">
        <f t="shared" si="15"/>
        <v>1</v>
      </c>
      <c r="AB33" s="1813">
        <f t="shared" si="16"/>
        <v>1.0101010101010102</v>
      </c>
      <c r="AC33" s="1813">
        <f t="shared" si="17"/>
        <v>0.98039215686274506</v>
      </c>
    </row>
    <row r="34" spans="1:29" ht="15">
      <c r="A34" s="472"/>
      <c r="B34" s="422" t="s">
        <v>2559</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3"/>
      <c r="M34" s="1134"/>
      <c r="N34" s="1134"/>
      <c r="O34" s="1134"/>
      <c r="P34" s="3201"/>
      <c r="Q34" s="1812" t="str">
        <f t="shared" si="11"/>
        <v>建筑结构</v>
      </c>
      <c r="R34" s="774" t="s">
        <v>21</v>
      </c>
      <c r="S34" s="775">
        <f t="shared" si="12"/>
        <v>100</v>
      </c>
      <c r="T34" s="774" t="s">
        <v>21</v>
      </c>
      <c r="U34" s="775">
        <f t="shared" si="13"/>
        <v>100</v>
      </c>
      <c r="V34" s="774" t="s">
        <v>21</v>
      </c>
      <c r="W34" s="775">
        <f t="shared" si="14"/>
        <v>100</v>
      </c>
      <c r="X34" s="1815"/>
      <c r="Y34" s="3167"/>
      <c r="Z34" s="1816" t="str">
        <f t="shared" si="18"/>
        <v>建筑结构</v>
      </c>
      <c r="AA34" s="1813">
        <f t="shared" si="15"/>
        <v>1</v>
      </c>
      <c r="AB34" s="1813">
        <f t="shared" si="16"/>
        <v>1</v>
      </c>
      <c r="AC34" s="1813">
        <f t="shared" si="17"/>
        <v>1</v>
      </c>
    </row>
    <row r="35" spans="1:29" ht="15">
      <c r="A35" s="472"/>
      <c r="B35" s="422" t="s">
        <v>2560</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3"/>
      <c r="M35" s="1134"/>
      <c r="N35" s="1134"/>
      <c r="O35" s="1134"/>
      <c r="P35" s="3201"/>
      <c r="Q35" s="1812" t="str">
        <f t="shared" si="11"/>
        <v>建筑品质</v>
      </c>
      <c r="R35" s="774" t="s">
        <v>21</v>
      </c>
      <c r="S35" s="775">
        <f t="shared" si="12"/>
        <v>100</v>
      </c>
      <c r="T35" s="774" t="s">
        <v>21</v>
      </c>
      <c r="U35" s="775">
        <f t="shared" si="13"/>
        <v>100</v>
      </c>
      <c r="V35" s="774" t="s">
        <v>21</v>
      </c>
      <c r="W35" s="775">
        <f t="shared" si="14"/>
        <v>100</v>
      </c>
      <c r="X35" s="1815"/>
      <c r="Y35" s="3167"/>
      <c r="Z35" s="1816" t="str">
        <f t="shared" si="18"/>
        <v>建筑品质</v>
      </c>
      <c r="AA35" s="1813">
        <f t="shared" si="15"/>
        <v>1</v>
      </c>
      <c r="AB35" s="1813">
        <f t="shared" si="16"/>
        <v>1</v>
      </c>
      <c r="AC35" s="1813">
        <f t="shared" si="17"/>
        <v>1</v>
      </c>
    </row>
    <row r="36" spans="1:29" ht="15">
      <c r="A36" s="472"/>
      <c r="B36" s="422" t="s">
        <v>2561</v>
      </c>
      <c r="C36" s="2608" t="s">
        <v>3203</v>
      </c>
      <c r="D36" s="435">
        <v>100</v>
      </c>
      <c r="E36" s="2608" t="s">
        <v>3203</v>
      </c>
      <c r="F36" s="461">
        <f>SUMIF(109:109,E36,110:110)-SUMIF(109:109,C36,110:110)+100</f>
        <v>100</v>
      </c>
      <c r="G36" s="2608" t="s">
        <v>3203</v>
      </c>
      <c r="H36" s="435">
        <f>SUMIF(109:109,G36,110:110)-SUMIF(109:109,C36,110:110)+100</f>
        <v>100</v>
      </c>
      <c r="I36" s="2608" t="s">
        <v>3203</v>
      </c>
      <c r="J36" s="435">
        <f>SUMIF(109:109,I36,110:110)-SUMIF(109:109,C36,110:110)+100</f>
        <v>100</v>
      </c>
      <c r="K36" s="426"/>
      <c r="L36" s="1143"/>
      <c r="M36" s="1134"/>
      <c r="N36" s="1134"/>
      <c r="O36" s="1134"/>
      <c r="P36" s="3201"/>
      <c r="Q36" s="1812" t="str">
        <f t="shared" si="11"/>
        <v>公共部分装修</v>
      </c>
      <c r="R36" s="774" t="s">
        <v>21</v>
      </c>
      <c r="S36" s="775">
        <f t="shared" si="12"/>
        <v>100</v>
      </c>
      <c r="T36" s="774" t="s">
        <v>21</v>
      </c>
      <c r="U36" s="775">
        <f t="shared" si="13"/>
        <v>100</v>
      </c>
      <c r="V36" s="774" t="s">
        <v>21</v>
      </c>
      <c r="W36" s="775">
        <f t="shared" si="14"/>
        <v>100</v>
      </c>
      <c r="X36" s="1815"/>
      <c r="Y36" s="3167"/>
      <c r="Z36" s="1816" t="str">
        <f t="shared" si="18"/>
        <v>公共部分装修</v>
      </c>
      <c r="AA36" s="1813">
        <f t="shared" si="15"/>
        <v>1</v>
      </c>
      <c r="AB36" s="1813">
        <f t="shared" si="16"/>
        <v>1</v>
      </c>
      <c r="AC36" s="1813">
        <f t="shared" si="17"/>
        <v>1</v>
      </c>
    </row>
    <row r="37" spans="1:29" s="117" customFormat="1" ht="15">
      <c r="A37" s="473"/>
      <c r="B37" s="422" t="s">
        <v>2562</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201"/>
      <c r="Q37" s="1797" t="str">
        <f t="shared" si="11"/>
        <v>成新度</v>
      </c>
      <c r="R37" s="770" t="s">
        <v>21</v>
      </c>
      <c r="S37" s="771">
        <f t="shared" si="12"/>
        <v>100</v>
      </c>
      <c r="T37" s="770" t="s">
        <v>21</v>
      </c>
      <c r="U37" s="771">
        <f t="shared" si="13"/>
        <v>100</v>
      </c>
      <c r="V37" s="770" t="s">
        <v>21</v>
      </c>
      <c r="W37" s="771">
        <f t="shared" si="14"/>
        <v>100</v>
      </c>
      <c r="X37" s="772"/>
      <c r="Y37" s="3167"/>
      <c r="Z37" s="55" t="str">
        <f t="shared" si="18"/>
        <v>成新度</v>
      </c>
      <c r="AA37" s="773">
        <f t="shared" si="15"/>
        <v>1</v>
      </c>
      <c r="AB37" s="773">
        <f t="shared" si="16"/>
        <v>1</v>
      </c>
      <c r="AC37" s="773">
        <f t="shared" si="17"/>
        <v>1</v>
      </c>
    </row>
    <row r="38" spans="1:29" ht="15">
      <c r="A38" s="472"/>
      <c r="B38" s="422" t="s">
        <v>2563</v>
      </c>
      <c r="C38" s="2608" t="s">
        <v>3205</v>
      </c>
      <c r="D38" s="435">
        <v>100</v>
      </c>
      <c r="E38" s="2608" t="s">
        <v>3205</v>
      </c>
      <c r="F38" s="461">
        <f>SUMIF(114:114,E38,115:115)-SUMIF(114:114,C38,115:115)+100</f>
        <v>100</v>
      </c>
      <c r="G38" s="2608" t="s">
        <v>3205</v>
      </c>
      <c r="H38" s="435">
        <f>SUMIF(114:114,G38,115:115)-SUMIF(114:114,C38,115:115)+100</f>
        <v>100</v>
      </c>
      <c r="I38" s="2608" t="s">
        <v>3205</v>
      </c>
      <c r="J38" s="435">
        <f>SUMIF(114:114,I38,115:115)-SUMIF(114:114,C38,115:115)+100</f>
        <v>100</v>
      </c>
      <c r="K38" s="426"/>
      <c r="L38" s="1143"/>
      <c r="M38" s="1134"/>
      <c r="N38" s="1134"/>
      <c r="O38" s="1134"/>
      <c r="P38" s="3201" t="s">
        <v>2557</v>
      </c>
      <c r="Q38" s="1812" t="str">
        <f t="shared" si="11"/>
        <v>物业管理</v>
      </c>
      <c r="R38" s="774" t="s">
        <v>21</v>
      </c>
      <c r="S38" s="775">
        <f t="shared" si="12"/>
        <v>100</v>
      </c>
      <c r="T38" s="774" t="s">
        <v>21</v>
      </c>
      <c r="U38" s="775">
        <f t="shared" si="13"/>
        <v>100</v>
      </c>
      <c r="V38" s="774" t="s">
        <v>21</v>
      </c>
      <c r="W38" s="775">
        <f t="shared" si="14"/>
        <v>100</v>
      </c>
      <c r="X38" s="1815"/>
      <c r="Y38" s="3167" t="s">
        <v>2557</v>
      </c>
      <c r="Z38" s="1816" t="str">
        <f t="shared" si="18"/>
        <v>物业管理</v>
      </c>
      <c r="AA38" s="1813">
        <f t="shared" si="15"/>
        <v>1</v>
      </c>
      <c r="AB38" s="1813">
        <f t="shared" si="16"/>
        <v>1</v>
      </c>
      <c r="AC38" s="1813">
        <f t="shared" si="17"/>
        <v>1</v>
      </c>
    </row>
    <row r="39" spans="1:29" ht="15">
      <c r="A39" s="472"/>
      <c r="B39" s="422" t="s">
        <v>2564</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3"/>
      <c r="M39" s="1134"/>
      <c r="N39" s="1134"/>
      <c r="O39" s="1134"/>
      <c r="P39" s="3201"/>
      <c r="Q39" s="1812" t="str">
        <f t="shared" si="11"/>
        <v>市政基础设施</v>
      </c>
      <c r="R39" s="774" t="s">
        <v>21</v>
      </c>
      <c r="S39" s="775">
        <f t="shared" si="12"/>
        <v>100</v>
      </c>
      <c r="T39" s="774" t="s">
        <v>21</v>
      </c>
      <c r="U39" s="775">
        <f t="shared" si="13"/>
        <v>100</v>
      </c>
      <c r="V39" s="774" t="s">
        <v>21</v>
      </c>
      <c r="W39" s="775">
        <f t="shared" si="14"/>
        <v>100</v>
      </c>
      <c r="X39" s="1815"/>
      <c r="Y39" s="3167"/>
      <c r="Z39" s="1816" t="str">
        <f t="shared" si="18"/>
        <v>市政基础设施</v>
      </c>
      <c r="AA39" s="1813">
        <f t="shared" si="15"/>
        <v>1</v>
      </c>
      <c r="AB39" s="1813">
        <f t="shared" si="16"/>
        <v>1</v>
      </c>
      <c r="AC39" s="1813">
        <f t="shared" si="17"/>
        <v>1</v>
      </c>
    </row>
    <row r="40" spans="1:29" ht="15">
      <c r="A40" s="472"/>
      <c r="B40" s="422" t="s">
        <v>2565</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3"/>
      <c r="M40" s="1134"/>
      <c r="N40" s="1134"/>
      <c r="O40" s="1134"/>
      <c r="P40" s="3201"/>
      <c r="Q40" s="1812" t="str">
        <f t="shared" si="11"/>
        <v>房型</v>
      </c>
      <c r="R40" s="774" t="s">
        <v>21</v>
      </c>
      <c r="S40" s="775">
        <f t="shared" si="12"/>
        <v>100</v>
      </c>
      <c r="T40" s="774" t="s">
        <v>21</v>
      </c>
      <c r="U40" s="775">
        <f t="shared" si="13"/>
        <v>100</v>
      </c>
      <c r="V40" s="774" t="s">
        <v>21</v>
      </c>
      <c r="W40" s="775">
        <f t="shared" si="14"/>
        <v>100</v>
      </c>
      <c r="X40" s="1815"/>
      <c r="Y40" s="3167"/>
      <c r="Z40" s="1816" t="str">
        <f t="shared" si="18"/>
        <v>房型</v>
      </c>
      <c r="AA40" s="1813">
        <f t="shared" si="15"/>
        <v>1</v>
      </c>
      <c r="AB40" s="1813">
        <f t="shared" si="16"/>
        <v>1</v>
      </c>
      <c r="AC40" s="1813">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41"/>
      <c r="M41" s="1144"/>
      <c r="N41" s="1144"/>
      <c r="O41" s="1144"/>
      <c r="P41" s="3201"/>
      <c r="Q41" s="776" t="str">
        <f t="shared" si="11"/>
        <v>单套/主力户型建筑面积</v>
      </c>
      <c r="R41" s="777" t="s">
        <v>21</v>
      </c>
      <c r="S41" s="778">
        <f t="shared" si="12"/>
        <v>100</v>
      </c>
      <c r="T41" s="777" t="s">
        <v>21</v>
      </c>
      <c r="U41" s="778">
        <f t="shared" si="13"/>
        <v>100</v>
      </c>
      <c r="V41" s="777" t="s">
        <v>21</v>
      </c>
      <c r="W41" s="778">
        <f t="shared" si="14"/>
        <v>100</v>
      </c>
      <c r="X41" s="779"/>
      <c r="Y41" s="3167"/>
      <c r="Z41" s="780" t="str">
        <f t="shared" si="18"/>
        <v>单套/主力户型建筑面积</v>
      </c>
      <c r="AA41" s="1813">
        <f t="shared" si="15"/>
        <v>1</v>
      </c>
      <c r="AB41" s="1813">
        <f t="shared" si="16"/>
        <v>1</v>
      </c>
      <c r="AC41" s="1813">
        <f t="shared" si="17"/>
        <v>1</v>
      </c>
    </row>
    <row r="42" spans="1:29" ht="15">
      <c r="A42" s="472"/>
      <c r="B42" s="422" t="s">
        <v>2567</v>
      </c>
      <c r="C42" s="2608" t="s">
        <v>3203</v>
      </c>
      <c r="D42" s="435">
        <v>100</v>
      </c>
      <c r="E42" s="2609" t="s">
        <v>3204</v>
      </c>
      <c r="F42" s="461">
        <f>SUMIF(122:122,E42,123:123)-SUMIF(122:122,C42,123:123)+100</f>
        <v>88</v>
      </c>
      <c r="G42" s="2609" t="s">
        <v>3204</v>
      </c>
      <c r="H42" s="435">
        <f>SUMIF(122:122,G42,123:123)-SUMIF(122:122,C42,123:123)+100</f>
        <v>88</v>
      </c>
      <c r="I42" s="2609" t="s">
        <v>3204</v>
      </c>
      <c r="J42" s="435">
        <f>SUMIF(122:122,I42,123:123)-SUMIF(122:122,C42,123:123)+100</f>
        <v>88</v>
      </c>
      <c r="K42" s="426">
        <v>4</v>
      </c>
      <c r="L42" s="1143"/>
      <c r="M42" s="1134"/>
      <c r="N42" s="1134"/>
      <c r="O42" s="1134"/>
      <c r="P42" s="3201"/>
      <c r="Q42" s="1812" t="str">
        <f t="shared" si="11"/>
        <v>内部装修</v>
      </c>
      <c r="R42" s="774" t="s">
        <v>21</v>
      </c>
      <c r="S42" s="775">
        <f t="shared" si="12"/>
        <v>88</v>
      </c>
      <c r="T42" s="774" t="s">
        <v>21</v>
      </c>
      <c r="U42" s="775">
        <f t="shared" si="13"/>
        <v>88</v>
      </c>
      <c r="V42" s="774" t="s">
        <v>21</v>
      </c>
      <c r="W42" s="775">
        <f t="shared" si="14"/>
        <v>88</v>
      </c>
      <c r="X42" s="1815"/>
      <c r="Y42" s="3167"/>
      <c r="Z42" s="1816" t="str">
        <f t="shared" si="18"/>
        <v>内部装修</v>
      </c>
      <c r="AA42" s="1813">
        <f t="shared" si="15"/>
        <v>1.1363636363636365</v>
      </c>
      <c r="AB42" s="1813">
        <f t="shared" si="16"/>
        <v>1.1363636363636365</v>
      </c>
      <c r="AC42" s="1813">
        <f t="shared" si="17"/>
        <v>1.1363636363636365</v>
      </c>
    </row>
    <row r="43" spans="1:29" ht="15.75" thickBot="1">
      <c r="A43" s="472"/>
      <c r="B43" s="422" t="s">
        <v>2568</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3"/>
      <c r="M43" s="1134"/>
      <c r="N43" s="1134"/>
      <c r="O43" s="1134"/>
      <c r="P43" s="3201"/>
      <c r="Q43" s="1812" t="str">
        <f t="shared" si="11"/>
        <v>内部装修维护情况</v>
      </c>
      <c r="R43" s="774" t="s">
        <v>21</v>
      </c>
      <c r="S43" s="775">
        <f t="shared" si="12"/>
        <v>100</v>
      </c>
      <c r="T43" s="774" t="s">
        <v>21</v>
      </c>
      <c r="U43" s="775">
        <f t="shared" si="13"/>
        <v>100</v>
      </c>
      <c r="V43" s="774" t="s">
        <v>21</v>
      </c>
      <c r="W43" s="775">
        <f t="shared" si="14"/>
        <v>100</v>
      </c>
      <c r="X43" s="1815"/>
      <c r="Y43" s="3167"/>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5"/>
      <c r="M44" s="1136"/>
      <c r="N44" s="1136"/>
      <c r="O44" s="1136"/>
      <c r="P44" s="3201"/>
      <c r="Q44" s="1797">
        <f t="shared" si="11"/>
        <v>111</v>
      </c>
      <c r="R44" s="770" t="s">
        <v>21</v>
      </c>
      <c r="S44" s="771">
        <f t="shared" si="12"/>
        <v>100</v>
      </c>
      <c r="T44" s="770" t="s">
        <v>21</v>
      </c>
      <c r="U44" s="771">
        <f t="shared" si="13"/>
        <v>100</v>
      </c>
      <c r="V44" s="770" t="s">
        <v>21</v>
      </c>
      <c r="W44" s="771">
        <f t="shared" si="14"/>
        <v>100</v>
      </c>
      <c r="X44" s="772"/>
      <c r="Y44" s="3167"/>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3"/>
      <c r="M45" s="1134"/>
      <c r="N45" s="1134"/>
      <c r="O45" s="1134"/>
      <c r="P45" s="3201"/>
      <c r="Q45" s="1812">
        <f t="shared" si="11"/>
        <v>111</v>
      </c>
      <c r="R45" s="774" t="s">
        <v>21</v>
      </c>
      <c r="S45" s="775">
        <f t="shared" si="12"/>
        <v>100</v>
      </c>
      <c r="T45" s="774" t="s">
        <v>21</v>
      </c>
      <c r="U45" s="775">
        <f t="shared" si="13"/>
        <v>100</v>
      </c>
      <c r="V45" s="774" t="s">
        <v>21</v>
      </c>
      <c r="W45" s="775">
        <f t="shared" si="14"/>
        <v>100</v>
      </c>
      <c r="X45" s="1815"/>
      <c r="Y45" s="3167"/>
      <c r="Z45" s="1816">
        <f t="shared" si="18"/>
        <v>111</v>
      </c>
      <c r="AA45" s="1813">
        <f t="shared" si="15"/>
        <v>1</v>
      </c>
      <c r="AB45" s="1813">
        <f t="shared" si="16"/>
        <v>1</v>
      </c>
      <c r="AC45" s="1813">
        <f t="shared" si="17"/>
        <v>1</v>
      </c>
    </row>
    <row r="46" spans="1:29" ht="15.75" hidden="1"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3"/>
      <c r="M46" s="1134"/>
      <c r="N46" s="1134"/>
      <c r="O46" s="1134"/>
      <c r="P46" s="3202"/>
      <c r="Q46" s="1812">
        <f t="shared" si="11"/>
        <v>111</v>
      </c>
      <c r="R46" s="774" t="s">
        <v>20</v>
      </c>
      <c r="S46" s="775">
        <f t="shared" si="12"/>
        <v>100</v>
      </c>
      <c r="T46" s="774" t="s">
        <v>20</v>
      </c>
      <c r="U46" s="775">
        <f t="shared" si="13"/>
        <v>100</v>
      </c>
      <c r="V46" s="774" t="s">
        <v>20</v>
      </c>
      <c r="W46" s="775">
        <f t="shared" si="14"/>
        <v>100</v>
      </c>
      <c r="X46" s="1815"/>
      <c r="Y46" s="3203"/>
      <c r="Z46" s="1816">
        <f t="shared" si="18"/>
        <v>111</v>
      </c>
      <c r="AA46" s="1813">
        <f t="shared" si="15"/>
        <v>1</v>
      </c>
      <c r="AB46" s="1813">
        <f t="shared" si="16"/>
        <v>1</v>
      </c>
      <c r="AC46" s="1813">
        <f t="shared" si="17"/>
        <v>1</v>
      </c>
    </row>
    <row r="47" spans="1:29" ht="15">
      <c r="A47" s="479" t="s">
        <v>2569</v>
      </c>
      <c r="B47" s="480"/>
      <c r="C47" s="1410" t="s">
        <v>19</v>
      </c>
      <c r="D47" s="1411"/>
      <c r="E47" s="1412">
        <v>23500</v>
      </c>
      <c r="F47" s="1413"/>
      <c r="G47" s="1414">
        <v>27000</v>
      </c>
      <c r="H47" s="1415"/>
      <c r="I47" s="1412">
        <v>26000</v>
      </c>
      <c r="J47" s="1415"/>
      <c r="K47" s="2616"/>
      <c r="L47" s="1146"/>
      <c r="M47" s="1147"/>
      <c r="N47" s="1134"/>
      <c r="O47" s="1147"/>
      <c r="P47" s="3162" t="str">
        <f>A47</f>
        <v>成交单价（元/平方米）</v>
      </c>
      <c r="Q47" s="3162"/>
      <c r="R47" s="3199">
        <f>E47</f>
        <v>23500</v>
      </c>
      <c r="S47" s="3199"/>
      <c r="T47" s="3199">
        <f>G47</f>
        <v>27000</v>
      </c>
      <c r="U47" s="3199"/>
      <c r="V47" s="3199">
        <f>I47</f>
        <v>26000</v>
      </c>
      <c r="W47" s="3199"/>
      <c r="X47" s="759"/>
      <c r="Y47" s="781"/>
      <c r="Z47" s="759"/>
      <c r="AA47" s="759"/>
      <c r="AB47" s="759"/>
      <c r="AC47" s="759"/>
    </row>
    <row r="48" spans="1:29" ht="15.75" thickBot="1">
      <c r="A48" s="486" t="s">
        <v>2570</v>
      </c>
      <c r="B48" s="487"/>
      <c r="C48" s="1416">
        <f>R49</f>
        <v>29004</v>
      </c>
      <c r="D48" s="1417"/>
      <c r="E48" s="1418">
        <f>R48</f>
        <v>26991</v>
      </c>
      <c r="F48" s="1418"/>
      <c r="G48" s="1416">
        <f>T48</f>
        <v>31324</v>
      </c>
      <c r="H48" s="1417"/>
      <c r="I48" s="1418">
        <f>V48</f>
        <v>28696</v>
      </c>
      <c r="J48" s="1417"/>
      <c r="K48" s="2617"/>
      <c r="L48" s="1146"/>
      <c r="M48" s="1147"/>
      <c r="N48" s="1147"/>
      <c r="O48" s="1147"/>
      <c r="P48" s="3162" t="str">
        <f>A48</f>
        <v>比较价值（元/平方米）</v>
      </c>
      <c r="Q48" s="3162"/>
      <c r="R48" s="3199">
        <f>IF(F1="售价",ROUND(PRODUCT(R47,AA7:AA46),0),ROUND(PRODUCT(R47,AA7:AA46),1))</f>
        <v>26991</v>
      </c>
      <c r="S48" s="3199"/>
      <c r="T48" s="3199">
        <f>IF(F1="售价",ROUND(PRODUCT(T47,AB7:AB46),0),ROUND(PRODUCT(T47,AB7:AB46),1))</f>
        <v>31324</v>
      </c>
      <c r="U48" s="3199"/>
      <c r="V48" s="3199">
        <f>IF(F1="售价",ROUND(PRODUCT(V47,AC7:AC46),0),ROUND(PRODUCT(V47,AC7:AC46),1))</f>
        <v>28696</v>
      </c>
      <c r="W48" s="3199"/>
      <c r="X48" s="759"/>
      <c r="Y48" s="759"/>
      <c r="Z48" s="759"/>
      <c r="AA48" s="759"/>
      <c r="AB48" s="759"/>
      <c r="AC48" s="759"/>
    </row>
    <row r="49" spans="1:29" ht="15.75" thickBot="1">
      <c r="A49" s="492" t="s">
        <v>2571</v>
      </c>
      <c r="B49" s="493"/>
      <c r="C49" s="1419">
        <f>R49</f>
        <v>29004</v>
      </c>
      <c r="D49" s="1420"/>
      <c r="E49" s="1420"/>
      <c r="F49" s="1420"/>
      <c r="G49" s="1420"/>
      <c r="H49" s="1420"/>
      <c r="I49" s="1420"/>
      <c r="J49" s="1420"/>
      <c r="K49" s="2618"/>
      <c r="L49" s="1146"/>
      <c r="M49" s="1147"/>
      <c r="N49" s="1147"/>
      <c r="O49" s="1147"/>
      <c r="P49" s="3156" t="str">
        <f>A49</f>
        <v>估价对象XX用房的比较价值（楼面单价，元/平方米）</v>
      </c>
      <c r="Q49" s="3157"/>
      <c r="R49" s="3198">
        <f>IF(F1="售价",ROUND(AVERAGE(R48:V48),0),ROUND(AVERAGE(R48:V48),1))</f>
        <v>29004</v>
      </c>
      <c r="S49" s="3198"/>
      <c r="T49" s="3198"/>
      <c r="U49" s="3198"/>
      <c r="V49" s="3198"/>
      <c r="W49" s="319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f>IF(E47&lt;E48,E48/E47-1,E47/E48-1)</f>
        <v>0.14855319148936164</v>
      </c>
      <c r="F52" s="500" t="str">
        <f>IF(OR(E52&gt;=0.3,E52&lt;=-0.3),"超过30%","")</f>
        <v/>
      </c>
      <c r="G52" s="499">
        <f>IF(G47&lt;G48,G48/G47-1,G47/G48-1)</f>
        <v>0.16014814814814815</v>
      </c>
      <c r="H52" s="500" t="str">
        <f>IF(OR(G52&gt;=0.3,G52&lt;=-0.3),"超过30%","")</f>
        <v/>
      </c>
      <c r="I52" s="499">
        <f>IF(I47&lt;I48,I48/I47-1,I47/I48-1)</f>
        <v>0.10369230769230775</v>
      </c>
      <c r="J52" s="500" t="str">
        <f>IF(OR(I52&gt;=0.3,I52&lt;=-0.3),"超过30%","")</f>
        <v/>
      </c>
      <c r="K52" s="1108"/>
      <c r="L52" s="1109"/>
      <c r="M52" s="1147"/>
      <c r="N52" s="1147"/>
      <c r="O52" s="1147"/>
    </row>
    <row r="53" spans="1:29" ht="13.5" customHeight="1">
      <c r="A53" s="1147"/>
      <c r="B53" s="1147"/>
      <c r="C53" s="497" t="s">
        <v>2573</v>
      </c>
      <c r="D53" s="501"/>
      <c r="E53" s="499">
        <f>IF(E48&lt;G48,G48/E48-1,E48/G48-1)</f>
        <v>0.1605349931458635</v>
      </c>
      <c r="F53" s="500" t="str">
        <f>IF(OR(E53&gt;=0.2,E53&lt;=-0.2),"超过20%","")</f>
        <v/>
      </c>
      <c r="G53" s="499">
        <f>IF(G48&lt;I48,I48/G48-1,G48/I48-1)</f>
        <v>9.1580708112628972E-2</v>
      </c>
      <c r="H53" s="500" t="str">
        <f>IF(OR(G53&gt;=0.2,G53&lt;=-0.2),"超过20%","")</f>
        <v/>
      </c>
      <c r="I53" s="499">
        <f>IF(I48&lt;E48,E48/I48-1,I48/E48-1)</f>
        <v>6.3169204549664792E-2</v>
      </c>
      <c r="J53" s="500" t="str">
        <f>IF(OR(I53&gt;=0.2,I53&lt;=-0.2),"超过20%","")</f>
        <v/>
      </c>
      <c r="K53" s="1108"/>
      <c r="L53" s="1109"/>
      <c r="M53" s="1147"/>
      <c r="N53" s="1147"/>
      <c r="O53" s="1147"/>
    </row>
    <row r="54" spans="1:29" s="502" customFormat="1" ht="13.5" customHeight="1">
      <c r="A54" s="1148"/>
      <c r="B54" s="1148"/>
      <c r="C54" s="497" t="s">
        <v>2574</v>
      </c>
      <c r="D54" s="501"/>
      <c r="E54" s="499">
        <f>IF(E47&lt;G47,G47/E47-1,E47/G47-1)</f>
        <v>0.14893617021276606</v>
      </c>
      <c r="F54" s="500" t="str">
        <f>IF(OR(E54&gt;=0.3,E54&lt;=-0.3),"超过30%","")</f>
        <v/>
      </c>
      <c r="G54" s="499">
        <f>IF(G47&lt;I47,I47/G47-1,G47/I47-1)</f>
        <v>3.8461538461538547E-2</v>
      </c>
      <c r="H54" s="500" t="str">
        <f>IF(OR(G54&gt;=0.3,G54&lt;=-0.3),"超过30%","")</f>
        <v/>
      </c>
      <c r="I54" s="499">
        <f>IF(I47&lt;E47,E47/I47-1,I47/E47-1)</f>
        <v>0.1063829787234043</v>
      </c>
      <c r="J54" s="500" t="str">
        <f>IF(OR(I54&gt;=0.3,I54&lt;=-0.3),"超过30%","")</f>
        <v/>
      </c>
      <c r="K54" s="1151"/>
      <c r="L54" s="1152"/>
      <c r="M54" s="1148"/>
      <c r="N54" s="1148"/>
      <c r="O54" s="1148"/>
      <c r="P54" s="2620"/>
    </row>
    <row r="55" spans="1:29" s="502" customFormat="1">
      <c r="A55" s="1148"/>
      <c r="B55" s="1149"/>
      <c r="C55" s="1153"/>
      <c r="D55" s="1148"/>
      <c r="E55" s="1148"/>
      <c r="F55" s="1148"/>
      <c r="G55" s="1148"/>
      <c r="H55" s="1148"/>
      <c r="I55" s="1148"/>
      <c r="J55" s="1148"/>
      <c r="K55" s="1151"/>
      <c r="L55" s="1152"/>
      <c r="M55" s="1148"/>
      <c r="N55" s="1148"/>
      <c r="O55" s="1148"/>
      <c r="P55" s="2620"/>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21"/>
      <c r="Q57" s="504"/>
    </row>
    <row r="58" spans="1:29" s="508" customFormat="1" ht="15">
      <c r="A58" s="505" t="s">
        <v>2576</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22"/>
      <c r="C59" s="1575">
        <v>100</v>
      </c>
      <c r="D59" s="511"/>
      <c r="E59" s="512"/>
      <c r="F59" s="512"/>
      <c r="G59" s="512"/>
      <c r="H59" s="512"/>
      <c r="I59" s="512"/>
      <c r="J59" s="512"/>
      <c r="K59" s="512"/>
      <c r="L59" s="512"/>
      <c r="M59" s="513"/>
      <c r="N59" s="512"/>
      <c r="O59" s="513"/>
      <c r="P59" s="2623"/>
    </row>
    <row r="60" spans="1:29" s="117" customFormat="1" ht="15.75" thickBot="1">
      <c r="A60" s="515" t="s">
        <v>2577</v>
      </c>
      <c r="B60" s="516"/>
      <c r="C60" s="517"/>
      <c r="D60" s="518"/>
      <c r="E60" s="518"/>
      <c r="F60" s="518"/>
      <c r="G60" s="518"/>
      <c r="H60" s="518"/>
      <c r="I60" s="518"/>
      <c r="J60" s="518"/>
      <c r="K60" s="518"/>
      <c r="L60" s="518"/>
      <c r="M60" s="519"/>
      <c r="N60" s="518"/>
      <c r="O60" s="519"/>
      <c r="P60" s="2623"/>
      <c r="Q60" s="504"/>
    </row>
    <row r="61" spans="1:29" s="117" customFormat="1" ht="15">
      <c r="A61" s="521" t="s">
        <v>2578</v>
      </c>
      <c r="B61" s="510"/>
      <c r="C61" s="522" t="s">
        <v>2579</v>
      </c>
      <c r="D61" s="523"/>
      <c r="E61" s="523"/>
      <c r="F61" s="523"/>
      <c r="G61" s="523"/>
      <c r="H61" s="523"/>
      <c r="I61" s="523"/>
      <c r="J61" s="523"/>
      <c r="K61" s="523"/>
      <c r="L61" s="524"/>
      <c r="M61" s="525"/>
      <c r="N61" s="1154"/>
      <c r="O61" s="1154"/>
      <c r="P61" s="2624"/>
      <c r="Q61" s="504"/>
    </row>
    <row r="62" spans="1:29" s="117" customFormat="1" ht="15.75" thickBot="1">
      <c r="A62" s="521"/>
      <c r="B62" s="510"/>
      <c r="C62" s="511">
        <v>100</v>
      </c>
      <c r="D62" s="512"/>
      <c r="E62" s="512"/>
      <c r="F62" s="512"/>
      <c r="G62" s="512"/>
      <c r="H62" s="512"/>
      <c r="I62" s="512"/>
      <c r="J62" s="512"/>
      <c r="K62" s="512"/>
      <c r="L62" s="512"/>
      <c r="M62" s="514"/>
      <c r="N62" s="1154"/>
      <c r="O62" s="1154"/>
      <c r="P62" s="2623"/>
      <c r="Q62" s="504"/>
    </row>
    <row r="63" spans="1:29">
      <c r="A63" s="527" t="s">
        <v>2580</v>
      </c>
      <c r="B63" s="528" t="s">
        <v>2546</v>
      </c>
      <c r="C63" s="529" t="str">
        <f>C9</f>
        <v>住宅</v>
      </c>
      <c r="D63" s="530"/>
      <c r="E63" s="530"/>
      <c r="F63" s="530"/>
      <c r="G63" s="530"/>
      <c r="H63" s="530"/>
      <c r="I63" s="530"/>
      <c r="J63" s="530"/>
      <c r="K63" s="531"/>
      <c r="L63" s="532"/>
      <c r="M63" s="533"/>
      <c r="N63" s="1155"/>
      <c r="O63" s="1155"/>
      <c r="P63" s="2625"/>
      <c r="Q63" s="504"/>
    </row>
    <row r="64" spans="1:29" ht="15.75" thickBot="1">
      <c r="A64" s="534"/>
      <c r="B64" s="535"/>
      <c r="C64" s="536">
        <v>100</v>
      </c>
      <c r="D64" s="536"/>
      <c r="E64" s="536"/>
      <c r="F64" s="536"/>
      <c r="G64" s="536"/>
      <c r="H64" s="536"/>
      <c r="I64" s="536"/>
      <c r="J64" s="536"/>
      <c r="K64" s="536"/>
      <c r="L64" s="536"/>
      <c r="M64" s="537"/>
      <c r="N64" s="1156"/>
      <c r="O64" s="1156"/>
      <c r="P64" s="262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5"/>
      <c r="Q66" s="504"/>
    </row>
    <row r="67" spans="1:17" ht="15.75" thickTop="1">
      <c r="A67" s="534"/>
      <c r="B67" s="546" t="s">
        <v>2550</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25"/>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25"/>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6"/>
      <c r="O69" s="1156"/>
      <c r="P69" s="2625"/>
      <c r="Q69" s="504"/>
    </row>
    <row r="70" spans="1:17" s="471" customFormat="1" ht="15.75" thickTop="1">
      <c r="A70" s="553"/>
      <c r="B70" s="538">
        <f>B12</f>
        <v>111</v>
      </c>
      <c r="C70" s="554"/>
      <c r="D70" s="554"/>
      <c r="E70" s="554"/>
      <c r="F70" s="554"/>
      <c r="G70" s="554"/>
      <c r="H70" s="555"/>
      <c r="I70" s="555"/>
      <c r="J70" s="555"/>
      <c r="K70" s="555"/>
      <c r="L70" s="556"/>
      <c r="M70" s="557"/>
      <c r="N70" s="1157"/>
      <c r="O70" s="1157"/>
      <c r="P70" s="2626"/>
      <c r="Q70" s="559"/>
    </row>
    <row r="71" spans="1:17" s="471" customFormat="1" ht="15.75" thickBot="1">
      <c r="A71" s="553"/>
      <c r="B71" s="543"/>
      <c r="C71" s="560"/>
      <c r="D71" s="536"/>
      <c r="E71" s="536"/>
      <c r="F71" s="536"/>
      <c r="G71" s="536"/>
      <c r="H71" s="536"/>
      <c r="I71" s="536"/>
      <c r="J71" s="536"/>
      <c r="K71" s="536"/>
      <c r="L71" s="536"/>
      <c r="M71" s="537"/>
      <c r="N71" s="1156"/>
      <c r="O71" s="1156"/>
      <c r="P71" s="2626"/>
      <c r="Q71" s="559"/>
    </row>
    <row r="72" spans="1:17" s="471" customFormat="1" ht="15.75" thickTop="1">
      <c r="A72" s="553"/>
      <c r="B72" s="538">
        <f>B13</f>
        <v>111</v>
      </c>
      <c r="C72" s="554"/>
      <c r="D72" s="554"/>
      <c r="E72" s="554"/>
      <c r="F72" s="554"/>
      <c r="G72" s="554"/>
      <c r="H72" s="555"/>
      <c r="I72" s="555"/>
      <c r="J72" s="555"/>
      <c r="K72" s="555"/>
      <c r="L72" s="556"/>
      <c r="M72" s="557"/>
      <c r="N72" s="1157"/>
      <c r="O72" s="1157"/>
      <c r="P72" s="2627"/>
      <c r="Q72" s="561"/>
    </row>
    <row r="73" spans="1:17" s="471" customFormat="1" ht="15.75" thickBot="1">
      <c r="A73" s="553"/>
      <c r="B73" s="543"/>
      <c r="C73" s="560"/>
      <c r="D73" s="560"/>
      <c r="E73" s="560"/>
      <c r="F73" s="560"/>
      <c r="G73" s="560"/>
      <c r="H73" s="562"/>
      <c r="I73" s="562"/>
      <c r="J73" s="562"/>
      <c r="K73" s="562"/>
      <c r="L73" s="562"/>
      <c r="M73" s="563"/>
      <c r="N73" s="1157"/>
      <c r="O73" s="1157"/>
      <c r="P73" s="2626"/>
      <c r="Q73" s="559"/>
    </row>
    <row r="74" spans="1:17" s="471" customFormat="1" ht="15.75" thickTop="1">
      <c r="A74" s="553"/>
      <c r="B74" s="546">
        <f>B14</f>
        <v>111</v>
      </c>
      <c r="C74" s="554"/>
      <c r="D74" s="554"/>
      <c r="E74" s="554"/>
      <c r="F74" s="554"/>
      <c r="G74" s="523"/>
      <c r="H74" s="564"/>
      <c r="I74" s="564"/>
      <c r="J74" s="564"/>
      <c r="K74" s="564"/>
      <c r="L74" s="565"/>
      <c r="M74" s="566"/>
      <c r="N74" s="1157"/>
      <c r="O74" s="1157"/>
      <c r="P74" s="2628"/>
      <c r="Q74" s="559"/>
    </row>
    <row r="75" spans="1:17" s="471" customFormat="1" ht="15.75" thickBot="1">
      <c r="A75" s="568"/>
      <c r="B75" s="569"/>
      <c r="C75" s="570"/>
      <c r="D75" s="570"/>
      <c r="E75" s="570"/>
      <c r="F75" s="570"/>
      <c r="G75" s="570"/>
      <c r="H75" s="571"/>
      <c r="I75" s="571"/>
      <c r="J75" s="571"/>
      <c r="K75" s="571"/>
      <c r="L75" s="571"/>
      <c r="M75" s="572"/>
      <c r="N75" s="1157"/>
      <c r="O75" s="1157"/>
      <c r="P75" s="262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5"/>
      <c r="Q81" s="504"/>
    </row>
    <row r="82" spans="1:17" ht="15.75" thickTop="1">
      <c r="A82" s="534"/>
      <c r="B82" s="546" t="s">
        <v>2092</v>
      </c>
      <c r="C82" s="539" t="s">
        <v>2596</v>
      </c>
      <c r="D82" s="539" t="s">
        <v>2597</v>
      </c>
      <c r="E82" s="539" t="s">
        <v>2598</v>
      </c>
      <c r="F82" s="539" t="s">
        <v>2599</v>
      </c>
      <c r="G82" s="539" t="s">
        <v>2600</v>
      </c>
      <c r="H82" s="539"/>
      <c r="I82" s="539"/>
      <c r="J82" s="539"/>
      <c r="K82" s="539"/>
      <c r="L82" s="539"/>
      <c r="M82" s="1385"/>
      <c r="N82" s="1156"/>
      <c r="O82" s="1156"/>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5"/>
      <c r="Q85" s="504"/>
    </row>
    <row r="86" spans="1:17" s="117" customFormat="1" ht="15.75" thickTop="1">
      <c r="A86" s="579"/>
      <c r="B86" s="538" t="s">
        <v>2602</v>
      </c>
      <c r="C86" s="554"/>
      <c r="D86" s="554"/>
      <c r="E86" s="554"/>
      <c r="F86" s="554"/>
      <c r="G86" s="554"/>
      <c r="H86" s="554"/>
      <c r="I86" s="554"/>
      <c r="J86" s="554"/>
      <c r="K86" s="554"/>
      <c r="L86" s="580"/>
      <c r="M86" s="581"/>
      <c r="N86" s="1154"/>
      <c r="O86" s="1154"/>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5"/>
      <c r="Q87" s="504"/>
    </row>
    <row r="88" spans="1:17" s="117" customFormat="1" ht="15.75" thickTop="1">
      <c r="A88" s="579"/>
      <c r="B88" s="538" t="s">
        <v>2603</v>
      </c>
      <c r="C88" s="554"/>
      <c r="D88" s="554"/>
      <c r="E88" s="554"/>
      <c r="F88" s="2630"/>
      <c r="G88" s="554"/>
      <c r="H88" s="554"/>
      <c r="I88" s="554"/>
      <c r="J88" s="554"/>
      <c r="K88" s="554"/>
      <c r="L88" s="554"/>
      <c r="M88" s="581"/>
      <c r="N88" s="1154"/>
      <c r="O88" s="1154"/>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5"/>
      <c r="Q89" s="504"/>
    </row>
    <row r="90" spans="1:17" s="471" customFormat="1" ht="15.75" thickTop="1">
      <c r="A90" s="553"/>
      <c r="B90" s="538">
        <f>B27</f>
        <v>111</v>
      </c>
      <c r="C90" s="554"/>
      <c r="D90" s="554"/>
      <c r="E90" s="554"/>
      <c r="F90" s="554"/>
      <c r="G90" s="554"/>
      <c r="H90" s="555"/>
      <c r="I90" s="555"/>
      <c r="J90" s="555"/>
      <c r="K90" s="555"/>
      <c r="L90" s="556"/>
      <c r="M90" s="557"/>
      <c r="N90" s="1157"/>
      <c r="O90" s="1157"/>
      <c r="P90" s="2626"/>
      <c r="Q90" s="559"/>
    </row>
    <row r="91" spans="1:17" s="471" customFormat="1" ht="15.75" thickBot="1">
      <c r="A91" s="553"/>
      <c r="B91" s="543"/>
      <c r="C91" s="560"/>
      <c r="D91" s="560"/>
      <c r="E91" s="560"/>
      <c r="F91" s="560"/>
      <c r="G91" s="560"/>
      <c r="H91" s="562"/>
      <c r="I91" s="562"/>
      <c r="J91" s="562"/>
      <c r="K91" s="562"/>
      <c r="L91" s="562"/>
      <c r="M91" s="563"/>
      <c r="N91" s="1157"/>
      <c r="O91" s="1157"/>
      <c r="P91" s="2626"/>
      <c r="Q91" s="559"/>
    </row>
    <row r="92" spans="1:17" ht="15.75" thickTop="1">
      <c r="A92" s="534"/>
      <c r="B92" s="538">
        <f>B28</f>
        <v>111</v>
      </c>
      <c r="C92" s="554"/>
      <c r="D92" s="554"/>
      <c r="E92" s="554"/>
      <c r="F92" s="554"/>
      <c r="G92" s="583"/>
      <c r="H92" s="583"/>
      <c r="I92" s="583"/>
      <c r="J92" s="583"/>
      <c r="K92" s="584"/>
      <c r="L92" s="585"/>
      <c r="M92" s="586"/>
      <c r="N92" s="1155"/>
      <c r="O92" s="1155"/>
      <c r="P92" s="2625"/>
      <c r="Q92" s="504"/>
    </row>
    <row r="93" spans="1:17" ht="15.75" thickBot="1">
      <c r="A93" s="534"/>
      <c r="B93" s="543"/>
      <c r="C93" s="560"/>
      <c r="D93" s="536"/>
      <c r="E93" s="536"/>
      <c r="F93" s="536"/>
      <c r="G93" s="536"/>
      <c r="H93" s="536"/>
      <c r="I93" s="536"/>
      <c r="J93" s="536"/>
      <c r="K93" s="536"/>
      <c r="L93" s="536"/>
      <c r="M93" s="537"/>
      <c r="N93" s="1156"/>
      <c r="O93" s="1156"/>
      <c r="P93" s="2625"/>
      <c r="Q93" s="504"/>
    </row>
    <row r="94" spans="1:17" ht="15.75" thickTop="1">
      <c r="A94" s="534"/>
      <c r="B94" s="538">
        <f>B29</f>
        <v>111</v>
      </c>
      <c r="C94" s="554"/>
      <c r="D94" s="554"/>
      <c r="E94" s="554"/>
      <c r="F94" s="554"/>
      <c r="G94" s="583"/>
      <c r="H94" s="583"/>
      <c r="I94" s="583"/>
      <c r="J94" s="583"/>
      <c r="K94" s="584"/>
      <c r="L94" s="585"/>
      <c r="M94" s="586"/>
      <c r="N94" s="1155"/>
      <c r="O94" s="1155"/>
      <c r="P94" s="2625"/>
      <c r="Q94" s="504"/>
    </row>
    <row r="95" spans="1:17" ht="15.75" thickBot="1">
      <c r="A95" s="534"/>
      <c r="B95" s="543"/>
      <c r="C95" s="560"/>
      <c r="D95" s="560"/>
      <c r="E95" s="560"/>
      <c r="F95" s="560"/>
      <c r="G95" s="536"/>
      <c r="H95" s="536"/>
      <c r="I95" s="536"/>
      <c r="J95" s="536"/>
      <c r="K95" s="536"/>
      <c r="L95" s="536"/>
      <c r="M95" s="537"/>
      <c r="N95" s="1156"/>
      <c r="O95" s="1156"/>
      <c r="P95" s="2625"/>
      <c r="Q95" s="504"/>
    </row>
    <row r="96" spans="1:17" ht="15.75" thickTop="1">
      <c r="A96" s="534"/>
      <c r="B96" s="538">
        <f>B30</f>
        <v>111</v>
      </c>
      <c r="C96" s="554"/>
      <c r="D96" s="554"/>
      <c r="E96" s="554"/>
      <c r="F96" s="554"/>
      <c r="G96" s="583"/>
      <c r="H96" s="583"/>
      <c r="I96" s="583"/>
      <c r="J96" s="583"/>
      <c r="K96" s="584"/>
      <c r="L96" s="585"/>
      <c r="M96" s="586"/>
      <c r="N96" s="1155"/>
      <c r="O96" s="1155"/>
      <c r="P96" s="2625"/>
      <c r="Q96" s="504"/>
    </row>
    <row r="97" spans="1:17" ht="15.75" thickBot="1">
      <c r="A97" s="534"/>
      <c r="B97" s="543"/>
      <c r="C97" s="570"/>
      <c r="D97" s="570"/>
      <c r="E97" s="570"/>
      <c r="F97" s="570"/>
      <c r="G97" s="536"/>
      <c r="H97" s="536"/>
      <c r="I97" s="536"/>
      <c r="J97" s="536"/>
      <c r="K97" s="536"/>
      <c r="L97" s="536"/>
      <c r="M97" s="537"/>
      <c r="N97" s="1156"/>
      <c r="O97" s="1156"/>
      <c r="P97" s="2625"/>
      <c r="Q97" s="504"/>
    </row>
    <row r="98" spans="1:17" ht="15.75" thickTop="1">
      <c r="A98" s="534"/>
      <c r="B98" s="546">
        <f>B31</f>
        <v>111</v>
      </c>
      <c r="C98" s="587"/>
      <c r="D98" s="587"/>
      <c r="E98" s="587"/>
      <c r="F98" s="587"/>
      <c r="G98" s="587"/>
      <c r="H98" s="587"/>
      <c r="I98" s="587"/>
      <c r="J98" s="587"/>
      <c r="K98" s="588"/>
      <c r="L98" s="589"/>
      <c r="M98" s="590"/>
      <c r="N98" s="1155"/>
      <c r="O98" s="1155"/>
      <c r="P98" s="2625"/>
      <c r="Q98" s="504"/>
    </row>
    <row r="99" spans="1:17" ht="15.75" thickBot="1">
      <c r="A99" s="2631"/>
      <c r="B99" s="569"/>
      <c r="C99" s="591"/>
      <c r="D99" s="591"/>
      <c r="E99" s="591"/>
      <c r="F99" s="591"/>
      <c r="G99" s="591"/>
      <c r="H99" s="591"/>
      <c r="I99" s="591"/>
      <c r="J99" s="591"/>
      <c r="K99" s="591"/>
      <c r="L99" s="591"/>
      <c r="M99" s="592"/>
      <c r="N99" s="1156"/>
      <c r="O99" s="1156"/>
      <c r="P99" s="2625"/>
      <c r="Q99" s="504"/>
    </row>
    <row r="100" spans="1:17">
      <c r="A100" s="527" t="s">
        <v>2555</v>
      </c>
      <c r="B100" s="528" t="s">
        <v>2604</v>
      </c>
      <c r="C100" s="530"/>
      <c r="D100" s="530"/>
      <c r="E100" s="530"/>
      <c r="F100" s="530"/>
      <c r="G100" s="530"/>
      <c r="H100" s="530"/>
      <c r="I100" s="530"/>
      <c r="J100" s="530"/>
      <c r="K100" s="531"/>
      <c r="L100" s="532"/>
      <c r="M100" s="533"/>
      <c r="N100" s="1155"/>
      <c r="O100" s="1155"/>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5"/>
      <c r="Q101" s="504"/>
    </row>
    <row r="102" spans="1:17" ht="29.25" thickTop="1">
      <c r="A102" s="534"/>
      <c r="B102" s="538" t="s">
        <v>2605</v>
      </c>
      <c r="C102" s="578" t="str">
        <f>C103&amp;"(含)"&amp;"-"&amp;D103</f>
        <v>0(含)-300000</v>
      </c>
      <c r="D102" s="578" t="str">
        <f t="shared" ref="D102:L102" si="27">D103&amp;"(含)"&amp;"-"&amp;E103</f>
        <v>300000(含)-600000</v>
      </c>
      <c r="E102" s="578" t="str">
        <f t="shared" si="27"/>
        <v>600000(含)-900000</v>
      </c>
      <c r="F102" s="578" t="str">
        <f t="shared" si="27"/>
        <v>900000(含)-1200000</v>
      </c>
      <c r="G102" s="578" t="str">
        <f t="shared" si="27"/>
        <v>1200000(含)-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5"/>
      <c r="Q102" s="504"/>
    </row>
    <row r="103" spans="1:17" s="471" customFormat="1">
      <c r="A103" s="593"/>
      <c r="B103" s="594"/>
      <c r="C103" s="595">
        <v>0</v>
      </c>
      <c r="D103" s="595">
        <v>300000</v>
      </c>
      <c r="E103" s="595">
        <v>600000</v>
      </c>
      <c r="F103" s="595">
        <v>900000</v>
      </c>
      <c r="G103" s="595">
        <v>1200000</v>
      </c>
      <c r="H103" s="595"/>
      <c r="I103" s="595"/>
      <c r="J103" s="596"/>
      <c r="K103" s="596"/>
      <c r="L103" s="597"/>
      <c r="M103" s="598"/>
      <c r="N103" s="1157"/>
      <c r="O103" s="1157"/>
      <c r="P103" s="2626"/>
      <c r="Q103" s="559"/>
    </row>
    <row r="104" spans="1:17" s="471" customFormat="1" ht="15.75" thickBot="1">
      <c r="A104" s="553"/>
      <c r="B104" s="543"/>
      <c r="C104" s="560">
        <v>100</v>
      </c>
      <c r="D104" s="536">
        <v>101</v>
      </c>
      <c r="E104" s="536">
        <v>102</v>
      </c>
      <c r="F104" s="536">
        <v>103</v>
      </c>
      <c r="G104" s="536">
        <v>104</v>
      </c>
      <c r="H104" s="536"/>
      <c r="I104" s="536"/>
      <c r="J104" s="536"/>
      <c r="K104" s="536"/>
      <c r="L104" s="536"/>
      <c r="M104" s="536"/>
      <c r="N104" s="1156"/>
      <c r="O104" s="1156"/>
      <c r="P104" s="2626"/>
      <c r="Q104" s="559"/>
    </row>
    <row r="105" spans="1:17" ht="15" thickTop="1">
      <c r="A105" s="599"/>
      <c r="B105" s="538" t="s">
        <v>2606</v>
      </c>
      <c r="C105" s="554"/>
      <c r="D105" s="554"/>
      <c r="E105" s="583"/>
      <c r="F105" s="583"/>
      <c r="G105" s="583"/>
      <c r="H105" s="583"/>
      <c r="I105" s="583"/>
      <c r="J105" s="583"/>
      <c r="K105" s="584"/>
      <c r="L105" s="585"/>
      <c r="M105" s="586"/>
      <c r="N105" s="1155"/>
      <c r="O105" s="1155"/>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5"/>
      <c r="Q106" s="504"/>
    </row>
    <row r="107" spans="1:17" ht="15" thickTop="1">
      <c r="A107" s="599"/>
      <c r="B107" s="538" t="s">
        <v>2607</v>
      </c>
      <c r="C107" s="583"/>
      <c r="D107" s="583"/>
      <c r="E107" s="583"/>
      <c r="F107" s="583"/>
      <c r="G107" s="583"/>
      <c r="H107" s="583"/>
      <c r="I107" s="583"/>
      <c r="J107" s="583"/>
      <c r="K107" s="584"/>
      <c r="L107" s="585"/>
      <c r="M107" s="586"/>
      <c r="N107" s="1155"/>
      <c r="O107" s="1155"/>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5"/>
      <c r="Q108" s="504"/>
    </row>
    <row r="109" spans="1:17" ht="15" thickTop="1">
      <c r="A109" s="599"/>
      <c r="B109" s="538" t="s">
        <v>2608</v>
      </c>
      <c r="C109" s="2957" t="s">
        <v>3199</v>
      </c>
      <c r="D109" s="2957" t="s">
        <v>3200</v>
      </c>
      <c r="E109" s="2957" t="s">
        <v>3201</v>
      </c>
      <c r="F109" s="2958" t="s">
        <v>3202</v>
      </c>
      <c r="G109" s="583"/>
      <c r="H109" s="583"/>
      <c r="I109" s="583"/>
      <c r="J109" s="583"/>
      <c r="K109" s="584"/>
      <c r="L109" s="585"/>
      <c r="M109" s="586"/>
      <c r="N109" s="1155"/>
      <c r="O109" s="1155"/>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6"/>
      <c r="Q113" s="559"/>
    </row>
    <row r="114" spans="1:17" ht="15" thickTop="1">
      <c r="A114" s="599"/>
      <c r="B114" s="538" t="s">
        <v>2609</v>
      </c>
      <c r="C114" s="2957" t="s">
        <v>3206</v>
      </c>
      <c r="D114" s="554" t="s">
        <v>3207</v>
      </c>
      <c r="E114" s="583"/>
      <c r="F114" s="583"/>
      <c r="G114" s="583"/>
      <c r="H114" s="583"/>
      <c r="I114" s="583"/>
      <c r="J114" s="583"/>
      <c r="K114" s="584"/>
      <c r="L114" s="585"/>
      <c r="M114" s="586"/>
      <c r="N114" s="1155"/>
      <c r="O114" s="1155"/>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5"/>
      <c r="Q115" s="504"/>
    </row>
    <row r="116" spans="1:17" ht="15" thickTop="1">
      <c r="A116" s="599"/>
      <c r="B116" s="538" t="s">
        <v>2610</v>
      </c>
      <c r="C116" s="2957" t="s">
        <v>3199</v>
      </c>
      <c r="D116" s="2957" t="s">
        <v>3200</v>
      </c>
      <c r="E116" s="2957" t="s">
        <v>3201</v>
      </c>
      <c r="F116" s="2958" t="s">
        <v>3202</v>
      </c>
      <c r="G116" s="554"/>
      <c r="H116" s="583"/>
      <c r="I116" s="583"/>
      <c r="J116" s="583"/>
      <c r="K116" s="584"/>
      <c r="L116" s="585"/>
      <c r="M116" s="586"/>
      <c r="N116" s="1155"/>
      <c r="O116" s="1155"/>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5"/>
      <c r="Q117" s="504"/>
    </row>
    <row r="118" spans="1:17" ht="15" thickTop="1">
      <c r="A118" s="599"/>
      <c r="B118" s="538" t="s">
        <v>2611</v>
      </c>
      <c r="C118" s="583"/>
      <c r="D118" s="583"/>
      <c r="E118" s="583"/>
      <c r="F118" s="583"/>
      <c r="G118" s="583"/>
      <c r="H118" s="583"/>
      <c r="I118" s="583"/>
      <c r="J118" s="583"/>
      <c r="K118" s="584"/>
      <c r="L118" s="585"/>
      <c r="M118" s="586"/>
      <c r="N118" s="1155"/>
      <c r="O118" s="1155"/>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5"/>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2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6"/>
      <c r="Q121" s="559"/>
    </row>
    <row r="122" spans="1:17" ht="15" thickTop="1">
      <c r="A122" s="599"/>
      <c r="B122" s="538" t="s">
        <v>2612</v>
      </c>
      <c r="C122" s="2957" t="s">
        <v>3199</v>
      </c>
      <c r="D122" s="2957" t="s">
        <v>3200</v>
      </c>
      <c r="E122" s="2957" t="s">
        <v>3201</v>
      </c>
      <c r="F122" s="2958" t="s">
        <v>3202</v>
      </c>
      <c r="G122" s="583"/>
      <c r="H122" s="583"/>
      <c r="I122" s="583"/>
      <c r="J122" s="583"/>
      <c r="K122" s="584"/>
      <c r="L122" s="585"/>
      <c r="M122" s="586"/>
      <c r="N122" s="1155"/>
      <c r="O122" s="1155"/>
      <c r="P122" s="2625"/>
      <c r="Q122" s="504"/>
    </row>
    <row r="123" spans="1:17" ht="15.75" thickBot="1">
      <c r="A123" s="534"/>
      <c r="B123" s="543"/>
      <c r="C123" s="544">
        <v>100</v>
      </c>
      <c r="D123" s="544">
        <f t="shared" ref="D123:M123" si="33">C123-$K42</f>
        <v>96</v>
      </c>
      <c r="E123" s="544">
        <f t="shared" si="33"/>
        <v>92</v>
      </c>
      <c r="F123" s="544">
        <f t="shared" si="33"/>
        <v>88</v>
      </c>
      <c r="G123" s="544">
        <f t="shared" si="33"/>
        <v>84</v>
      </c>
      <c r="H123" s="544">
        <f t="shared" si="33"/>
        <v>80</v>
      </c>
      <c r="I123" s="544">
        <f t="shared" si="33"/>
        <v>76</v>
      </c>
      <c r="J123" s="544">
        <f t="shared" si="33"/>
        <v>72</v>
      </c>
      <c r="K123" s="544">
        <f t="shared" si="33"/>
        <v>68</v>
      </c>
      <c r="L123" s="544">
        <f t="shared" si="33"/>
        <v>64</v>
      </c>
      <c r="M123" s="544">
        <f t="shared" si="33"/>
        <v>60</v>
      </c>
      <c r="N123" s="1156"/>
      <c r="O123" s="1156"/>
      <c r="P123" s="262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6"/>
      <c r="Q127" s="559"/>
    </row>
    <row r="128" spans="1:17" ht="15" thickTop="1">
      <c r="A128" s="599"/>
      <c r="B128" s="538">
        <f>B45</f>
        <v>111</v>
      </c>
      <c r="C128" s="554"/>
      <c r="D128" s="554"/>
      <c r="E128" s="554"/>
      <c r="F128" s="554"/>
      <c r="G128" s="583"/>
      <c r="H128" s="583"/>
      <c r="I128" s="583"/>
      <c r="J128" s="583"/>
      <c r="K128" s="584"/>
      <c r="L128" s="585"/>
      <c r="M128" s="586"/>
      <c r="N128" s="1155"/>
      <c r="O128" s="1155"/>
      <c r="P128" s="2625"/>
      <c r="Q128" s="504"/>
    </row>
    <row r="129" spans="1:17" ht="15.75" thickBot="1">
      <c r="A129" s="534"/>
      <c r="B129" s="543"/>
      <c r="C129" s="560"/>
      <c r="D129" s="560"/>
      <c r="E129" s="560"/>
      <c r="F129" s="560"/>
      <c r="G129" s="536"/>
      <c r="H129" s="536"/>
      <c r="I129" s="536"/>
      <c r="J129" s="536"/>
      <c r="K129" s="536"/>
      <c r="L129" s="536"/>
      <c r="M129" s="537"/>
      <c r="N129" s="1156"/>
      <c r="O129" s="1156"/>
      <c r="P129" s="2625"/>
      <c r="Q129" s="504"/>
    </row>
    <row r="130" spans="1:17" ht="15" thickTop="1">
      <c r="A130" s="599"/>
      <c r="B130" s="546">
        <f>B46</f>
        <v>111</v>
      </c>
      <c r="C130" s="554"/>
      <c r="D130" s="554"/>
      <c r="E130" s="554"/>
      <c r="F130" s="554"/>
      <c r="G130" s="587"/>
      <c r="H130" s="587"/>
      <c r="I130" s="587"/>
      <c r="J130" s="587"/>
      <c r="K130" s="523"/>
      <c r="L130" s="524"/>
      <c r="M130" s="590"/>
      <c r="N130" s="1155"/>
      <c r="O130" s="1155"/>
      <c r="P130" s="2625"/>
      <c r="Q130" s="504"/>
    </row>
    <row r="131" spans="1:17" ht="15.75" thickBot="1">
      <c r="A131" s="2631"/>
      <c r="B131" s="569"/>
      <c r="C131" s="570"/>
      <c r="D131" s="570"/>
      <c r="E131" s="570"/>
      <c r="F131" s="570"/>
      <c r="G131" s="591"/>
      <c r="H131" s="591"/>
      <c r="I131" s="591"/>
      <c r="J131" s="591"/>
      <c r="K131" s="591"/>
      <c r="L131" s="591"/>
      <c r="M131" s="592"/>
      <c r="N131" s="1156"/>
      <c r="O131" s="1156"/>
      <c r="P131" s="2625"/>
      <c r="Q131" s="504"/>
    </row>
    <row r="136" spans="1:17" ht="15" thickBot="1">
      <c r="B136" s="2632" t="s">
        <v>2614</v>
      </c>
    </row>
    <row r="137" spans="1:17" ht="15">
      <c r="B137" s="2633" t="s">
        <v>2615</v>
      </c>
      <c r="C137" s="2634"/>
      <c r="D137" s="2634"/>
      <c r="E137" s="2634"/>
      <c r="F137" s="2634"/>
      <c r="G137" s="2635"/>
      <c r="H137" s="2636"/>
      <c r="I137" s="2637" t="s">
        <v>2616</v>
      </c>
      <c r="J137" s="2634"/>
      <c r="K137" s="2638"/>
    </row>
    <row r="138" spans="1:17" ht="15">
      <c r="B138" s="2639"/>
      <c r="C138" s="146" t="s">
        <v>2617</v>
      </c>
      <c r="D138" s="146" t="s">
        <v>2618</v>
      </c>
      <c r="E138" s="2640" t="s">
        <v>2619</v>
      </c>
      <c r="F138" s="2641" t="s">
        <v>2620</v>
      </c>
      <c r="G138" s="146" t="s">
        <v>2618</v>
      </c>
      <c r="H138" s="147" t="s">
        <v>2619</v>
      </c>
      <c r="I138" s="2642"/>
      <c r="J138" s="146" t="s">
        <v>2621</v>
      </c>
      <c r="K138" s="147" t="s">
        <v>2622</v>
      </c>
    </row>
    <row r="139" spans="1:17" ht="15">
      <c r="B139" s="1087">
        <v>6</v>
      </c>
      <c r="C139" s="1088">
        <v>96</v>
      </c>
      <c r="D139" s="2643" t="s">
        <v>2623</v>
      </c>
      <c r="E139" s="1089">
        <v>100</v>
      </c>
      <c r="F139" s="1090">
        <v>102.5</v>
      </c>
      <c r="G139" s="2643" t="s">
        <v>2623</v>
      </c>
      <c r="H139" s="1091">
        <v>105</v>
      </c>
      <c r="I139" s="2644" t="s">
        <v>2624</v>
      </c>
      <c r="J139" s="1088">
        <v>20</v>
      </c>
      <c r="K139" s="1092">
        <f>C145/(J139-2)</f>
        <v>4.0555555555555553E-3</v>
      </c>
    </row>
    <row r="140" spans="1:17" ht="15">
      <c r="B140" s="1093">
        <v>5</v>
      </c>
      <c r="C140" s="1094">
        <v>100</v>
      </c>
      <c r="D140" s="1094"/>
      <c r="E140" s="1095"/>
      <c r="F140" s="1096">
        <v>102</v>
      </c>
      <c r="G140" s="1094"/>
      <c r="H140" s="1097"/>
      <c r="I140" s="2645" t="s">
        <v>2625</v>
      </c>
      <c r="J140" s="315">
        <f>ROUNDUP((J139-1)/2,0)</f>
        <v>10</v>
      </c>
      <c r="K140" s="1098">
        <v>100</v>
      </c>
    </row>
    <row r="141" spans="1:17" ht="15">
      <c r="B141" s="1093">
        <v>4</v>
      </c>
      <c r="C141" s="1094">
        <v>102</v>
      </c>
      <c r="D141" s="1094"/>
      <c r="E141" s="1095"/>
      <c r="F141" s="1096">
        <v>101.5</v>
      </c>
      <c r="G141" s="1094"/>
      <c r="H141" s="1097"/>
      <c r="I141" s="2645" t="s">
        <v>2626</v>
      </c>
      <c r="J141" s="315">
        <v>1</v>
      </c>
      <c r="K141" s="1099">
        <f>ROUND(100+(J141-J140)*K139*100,1)</f>
        <v>96.4</v>
      </c>
    </row>
    <row r="142" spans="1:17" ht="15">
      <c r="B142" s="1093">
        <v>3</v>
      </c>
      <c r="C142" s="1094">
        <v>103</v>
      </c>
      <c r="D142" s="1094"/>
      <c r="E142" s="1095"/>
      <c r="F142" s="1096">
        <v>101</v>
      </c>
      <c r="G142" s="1094"/>
      <c r="H142" s="1097"/>
      <c r="I142" s="2645" t="s">
        <v>2627</v>
      </c>
      <c r="J142" s="315">
        <f>J139</f>
        <v>20</v>
      </c>
      <c r="K142" s="1100">
        <v>95</v>
      </c>
    </row>
    <row r="143" spans="1:17" ht="15">
      <c r="B143" s="1093">
        <v>2</v>
      </c>
      <c r="C143" s="1094">
        <v>100</v>
      </c>
      <c r="D143" s="1094"/>
      <c r="E143" s="1095"/>
      <c r="F143" s="1096">
        <v>100.5</v>
      </c>
      <c r="G143" s="1094"/>
      <c r="H143" s="1097"/>
      <c r="I143" s="2645" t="s">
        <v>2628</v>
      </c>
      <c r="J143" s="1094">
        <v>15</v>
      </c>
      <c r="K143" s="1099">
        <f>ROUND(100+(J143-J140)*K139*100,1)</f>
        <v>102</v>
      </c>
    </row>
    <row r="144" spans="1:17" ht="15">
      <c r="B144" s="1093">
        <v>1</v>
      </c>
      <c r="C144" s="1094">
        <v>98</v>
      </c>
      <c r="D144" s="2646" t="s">
        <v>2629</v>
      </c>
      <c r="E144" s="1095">
        <v>102</v>
      </c>
      <c r="F144" s="1101">
        <v>100</v>
      </c>
      <c r="G144" s="2646" t="s">
        <v>2629</v>
      </c>
      <c r="H144" s="1097">
        <v>105</v>
      </c>
      <c r="I144" s="2645" t="s">
        <v>2628</v>
      </c>
      <c r="J144" s="1094">
        <v>18</v>
      </c>
      <c r="K144" s="1099">
        <f>ROUND(100+(J144-J140)*K139*100,1)</f>
        <v>103.2</v>
      </c>
    </row>
    <row r="145" spans="2:11" ht="15.75" thickBot="1">
      <c r="B145" s="2647" t="s">
        <v>2630</v>
      </c>
      <c r="C145" s="1102">
        <f>ROUND(MAX(C139:C144)/MIN(C139:C144)-1,3)</f>
        <v>7.2999999999999995E-2</v>
      </c>
      <c r="D145" s="1103"/>
      <c r="E145" s="1103"/>
      <c r="F145" s="2648" t="s">
        <v>2631</v>
      </c>
      <c r="G145" s="2649"/>
      <c r="H145" s="2650"/>
      <c r="I145" s="2651" t="s">
        <v>2628</v>
      </c>
      <c r="J145" s="1104">
        <v>8</v>
      </c>
      <c r="K145" s="1105">
        <f>ROUND(100+(J145-J140)*K139*100,1)</f>
        <v>99.2</v>
      </c>
    </row>
    <row r="147" spans="2:11">
      <c r="B147" s="2632" t="s">
        <v>2632</v>
      </c>
    </row>
    <row r="148" spans="2:11">
      <c r="B148" s="2632"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22" zoomScale="90" zoomScaleNormal="90" zoomScaleSheetLayoutView="90" workbookViewId="0">
      <selection activeCell="G14" sqref="G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48</v>
      </c>
      <c r="D1" s="1822" t="s">
        <v>3109</v>
      </c>
      <c r="E1" s="1823" t="s">
        <v>1387</v>
      </c>
      <c r="F1" s="1286">
        <f ca="1">J53</f>
        <v>47.04</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3780</v>
      </c>
      <c r="C2" s="1847" t="s">
        <v>1516</v>
      </c>
      <c r="D2" s="1847"/>
      <c r="E2" s="1848"/>
      <c r="F2" s="1849"/>
      <c r="G2" s="1850"/>
      <c r="H2" s="1842"/>
      <c r="I2" s="1842"/>
      <c r="J2" s="1842"/>
      <c r="K2" s="1843"/>
      <c r="L2" s="1842"/>
      <c r="M2" s="1842"/>
    </row>
    <row r="3" spans="1:37" ht="18" customHeight="1" thickBot="1">
      <c r="A3" s="1851" t="s">
        <v>1517</v>
      </c>
      <c r="B3" s="1852">
        <f ca="1">IF(ISERROR(B2*10000/F43),0,ROUND(B2*10000/F43,0))</f>
        <v>4507</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220</v>
      </c>
      <c r="D5" s="1824" t="s">
        <v>1402</v>
      </c>
      <c r="E5" s="1296"/>
      <c r="F5" s="1297"/>
      <c r="G5" s="1853"/>
      <c r="H5" s="344">
        <v>1</v>
      </c>
      <c r="I5" s="345" t="s">
        <v>1401</v>
      </c>
      <c r="J5" s="1295">
        <f ca="1">J6+J10+J12</f>
        <v>0</v>
      </c>
      <c r="K5" s="1824" t="s">
        <v>1402</v>
      </c>
      <c r="L5" s="1296"/>
      <c r="M5" s="1297"/>
    </row>
    <row r="6" spans="1:37" ht="18" customHeight="1">
      <c r="A6" s="1294" t="s">
        <v>1035</v>
      </c>
      <c r="B6" s="3209" t="s">
        <v>1403</v>
      </c>
      <c r="C6" s="1299">
        <f ca="1">ROUND(F6*F8*F7*(1-F9)/10000,0)</f>
        <v>220</v>
      </c>
      <c r="D6" s="164" t="s">
        <v>3026</v>
      </c>
      <c r="E6" s="347" t="s">
        <v>1405</v>
      </c>
      <c r="F6" s="348">
        <f ca="1">INDIRECT("'数据-取费表'!u"&amp;$G$1)</f>
        <v>1000</v>
      </c>
      <c r="G6" s="1853"/>
      <c r="H6" s="1294" t="s">
        <v>1035</v>
      </c>
      <c r="I6" s="3209" t="s">
        <v>1403</v>
      </c>
      <c r="J6" s="346">
        <f ca="1">ROUND(M6*M8*M7*(1-M9)/10000,0)</f>
        <v>0</v>
      </c>
      <c r="K6" s="164" t="s">
        <v>3025</v>
      </c>
      <c r="L6" s="347" t="s">
        <v>1405</v>
      </c>
      <c r="M6" s="348">
        <f ca="1">INDIRECT("'数据-取费表'!z"&amp;$G$1)</f>
        <v>0</v>
      </c>
    </row>
    <row r="7" spans="1:37" ht="18" customHeight="1">
      <c r="A7" s="1298"/>
      <c r="B7" s="3210"/>
      <c r="C7" s="1300"/>
      <c r="D7" s="352"/>
      <c r="E7" s="1301" t="s">
        <v>1406</v>
      </c>
      <c r="F7" s="348">
        <f ca="1">IF(INDIRECT("'数据-取费表'!ah"&amp;$G$1)="",INDIRECT("'数据-取费表'!k"&amp;$G$1),INDIRECT("'数据-取费表'!ah"&amp;$G$1))</f>
        <v>204</v>
      </c>
      <c r="G7" s="1853"/>
      <c r="H7" s="349"/>
      <c r="I7" s="3210"/>
      <c r="J7" s="351"/>
      <c r="K7" s="352"/>
      <c r="L7" s="347" t="s">
        <v>1406</v>
      </c>
      <c r="M7" s="348">
        <f ca="1">F7</f>
        <v>204</v>
      </c>
    </row>
    <row r="8" spans="1:37" ht="18" customHeight="1">
      <c r="A8" s="349"/>
      <c r="B8" s="3210"/>
      <c r="C8" s="351"/>
      <c r="D8" s="352"/>
      <c r="E8" s="347" t="s">
        <v>1407</v>
      </c>
      <c r="F8" s="348">
        <f ca="1">INDIRECT("'数据-取费表'!ai"&amp;$G$1)</f>
        <v>12</v>
      </c>
      <c r="G8" s="1853"/>
      <c r="H8" s="349"/>
      <c r="I8" s="3210"/>
      <c r="J8" s="351"/>
      <c r="K8" s="352"/>
      <c r="L8" s="347" t="s">
        <v>1407</v>
      </c>
      <c r="M8" s="348">
        <f ca="1">INDIRECT("'数据-取费表'!ai"&amp;$G$1)</f>
        <v>12</v>
      </c>
    </row>
    <row r="9" spans="1:37" ht="18" customHeight="1">
      <c r="A9" s="349"/>
      <c r="B9" s="3211"/>
      <c r="C9" s="351"/>
      <c r="D9" s="352"/>
      <c r="E9" s="347" t="s">
        <v>1408</v>
      </c>
      <c r="F9" s="357">
        <f ca="1">INDIRECT("'数据-取费表'!w"&amp;$G$1)</f>
        <v>0.1</v>
      </c>
      <c r="G9" s="1853"/>
      <c r="H9" s="349"/>
      <c r="I9" s="3211"/>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3035</v>
      </c>
      <c r="E10" s="358" t="s">
        <v>1410</v>
      </c>
      <c r="F10" s="1369"/>
      <c r="G10" s="1853"/>
      <c r="H10" s="1294" t="s">
        <v>1039</v>
      </c>
      <c r="I10" s="1825" t="s">
        <v>1409</v>
      </c>
      <c r="J10" s="346">
        <f ca="1">ROUND(IF(M10="押一",J6/12*M11,IF(M10="押二",J6/12*2*M11,IF(M10="押三",J6/12*3*M11,J11*M11))),0)</f>
        <v>0</v>
      </c>
      <c r="K10" s="1826" t="s">
        <v>3034</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2360</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1731</v>
      </c>
      <c r="D14" s="1802" t="s">
        <v>1418</v>
      </c>
      <c r="E14" s="1796"/>
      <c r="F14" s="364"/>
      <c r="G14" s="1853"/>
      <c r="H14" s="1204" t="s">
        <v>1035</v>
      </c>
      <c r="I14" s="347" t="s">
        <v>1419</v>
      </c>
      <c r="J14" s="24">
        <f ca="1">C29</f>
        <v>2360</v>
      </c>
      <c r="K14" s="15"/>
      <c r="L14" s="982"/>
      <c r="M14" s="983"/>
    </row>
    <row r="15" spans="1:37" s="1860" customFormat="1" ht="18" customHeight="1" thickBot="1">
      <c r="A15" s="1204" t="s">
        <v>1036</v>
      </c>
      <c r="B15" s="347" t="s">
        <v>1420</v>
      </c>
      <c r="C15" s="24">
        <f ca="1">ROUND(C14*F15,0)</f>
        <v>52</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57</v>
      </c>
      <c r="K16" s="1340" t="s">
        <v>1425</v>
      </c>
      <c r="L16" s="1341"/>
      <c r="M16" s="1297"/>
    </row>
    <row r="17" spans="1:37" s="1860" customFormat="1" ht="18" customHeight="1">
      <c r="A17" s="1204" t="s">
        <v>1390</v>
      </c>
      <c r="B17" s="347" t="s">
        <v>1426</v>
      </c>
      <c r="C17" s="24">
        <f ca="1">ROUND(F17*(F43+INDIRECT("'数据-取费表'!S"&amp;$G$1))/10000,0)</f>
        <v>173</v>
      </c>
      <c r="D17" s="347" t="s">
        <v>1427</v>
      </c>
      <c r="E17" s="347" t="s">
        <v>1428</v>
      </c>
      <c r="F17" s="26">
        <f>'数据-取费表'!B35</f>
        <v>200</v>
      </c>
      <c r="G17" s="1856"/>
      <c r="H17" s="1204" t="s">
        <v>1035</v>
      </c>
      <c r="I17" s="347" t="s">
        <v>1429</v>
      </c>
      <c r="J17" s="24">
        <f ca="1">ROUND(IF(项目基本情况!B11="自然人",J5*M17,J18+J19+J20),1)</f>
        <v>21.3</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26</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5.6500000000000002E-2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1982</v>
      </c>
      <c r="D19" s="140" t="s">
        <v>1436</v>
      </c>
      <c r="E19" s="1820"/>
      <c r="F19" s="26"/>
      <c r="G19" s="1853"/>
      <c r="H19" s="1204" t="s">
        <v>1036</v>
      </c>
      <c r="I19" s="347" t="s">
        <v>1437</v>
      </c>
      <c r="J19" s="24">
        <f ca="1">IF(K19="按租金收入计税",ROUND(J5*M19,2),ROUND(C29*M19*0.7,2))</f>
        <v>19.82</v>
      </c>
      <c r="K19" s="1830" t="s">
        <v>1438</v>
      </c>
      <c r="L19" s="347" t="s">
        <v>1422</v>
      </c>
      <c r="M19" s="367">
        <f>IF(K19="按租金收入计税",'数据-取费表'!B51,'数据-取费表'!B50)</f>
        <v>1.2E-2</v>
      </c>
    </row>
    <row r="20" spans="1:37" s="1860" customFormat="1" ht="18" customHeight="1">
      <c r="A20" s="1204" t="s">
        <v>1039</v>
      </c>
      <c r="B20" s="347" t="s">
        <v>1439</v>
      </c>
      <c r="C20" s="24">
        <f ca="1">ROUND(C19*F20,0)</f>
        <v>40</v>
      </c>
      <c r="D20" s="369" t="s">
        <v>1440</v>
      </c>
      <c r="E20" s="347" t="s">
        <v>1422</v>
      </c>
      <c r="F20" s="367">
        <f>'数据-取费表'!B37</f>
        <v>0.02</v>
      </c>
      <c r="G20" s="1856"/>
      <c r="H20" s="1204" t="s">
        <v>1389</v>
      </c>
      <c r="I20" s="164" t="s">
        <v>1441</v>
      </c>
      <c r="J20" s="25">
        <f ca="1">ROUND(M20*M21/10000,2)</f>
        <v>1.44</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2885.55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35.4</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120</v>
      </c>
      <c r="D23" s="375" t="str">
        <f>IF(F23&lt;=1,"(建造成本+管理费用)×利率×(建设周期÷2)","(建造成本+管理费用)×((1+利率)^(建设周期÷2)-1)")</f>
        <v>(建造成本+管理费用)×((1+利率)^(建设周期÷2)-1)</v>
      </c>
      <c r="E23" s="347" t="s">
        <v>1452</v>
      </c>
      <c r="F23" s="371">
        <f>'数据-取费表'!B20</f>
        <v>2.5</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-57</v>
      </c>
      <c r="K25" s="1348" t="s">
        <v>1464</v>
      </c>
      <c r="L25" s="1349"/>
      <c r="M25" s="1350"/>
    </row>
    <row r="26" spans="1:37">
      <c r="A26" s="1204" t="s">
        <v>1034</v>
      </c>
      <c r="B26" s="347" t="s">
        <v>1465</v>
      </c>
      <c r="C26" s="24">
        <f ca="1">ROUND((C19+C20)*F26,0)</f>
        <v>40</v>
      </c>
      <c r="D26" s="369" t="s">
        <v>1466</v>
      </c>
      <c r="E26" s="358" t="s">
        <v>1467</v>
      </c>
      <c r="F26" s="357">
        <f ca="1">INDIRECT("'数据-取费表'!q"&amp;$G$1)</f>
        <v>0.02</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4.0000000000000002E-4</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5.3800000000000001E-2</v>
      </c>
      <c r="D28" s="369" t="s">
        <v>1476</v>
      </c>
      <c r="E28" s="347" t="s">
        <v>1422</v>
      </c>
      <c r="F28" s="367">
        <f>'数据-取费表'!B41</f>
        <v>5.6500000000000002E-2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2360</v>
      </c>
      <c r="D29" s="1345"/>
      <c r="E29" s="1343"/>
      <c r="F29" s="1346"/>
      <c r="G29" s="1856"/>
      <c r="H29" s="380" t="s">
        <v>1033</v>
      </c>
      <c r="I29" s="381" t="s">
        <v>1479</v>
      </c>
      <c r="J29" s="382">
        <f ca="1">ROUND(J26/(1+F40)^F41,0)</f>
        <v>0</v>
      </c>
      <c r="K29" s="383" t="s">
        <v>1480</v>
      </c>
      <c r="L29" s="384"/>
      <c r="M29" s="385">
        <f ca="1">INDIRECT("'数据-取费表'!k"&amp;$G$1)</f>
        <v>8387.2000000000007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81</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39.700000000000003</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11.84</v>
      </c>
      <c r="D32" s="1800" t="s">
        <v>1434</v>
      </c>
      <c r="E32" s="347" t="s">
        <v>1422</v>
      </c>
      <c r="F32" s="377">
        <f>'数据-取费表'!B41</f>
        <v>5.6500000000000002E-2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26.4</v>
      </c>
      <c r="D33" s="1830" t="s">
        <v>3112</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1.44</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2885.55</v>
      </c>
      <c r="G35" s="1853"/>
      <c r="H35" s="745"/>
      <c r="I35" s="1862"/>
      <c r="J35" s="1863"/>
      <c r="K35" s="1864"/>
      <c r="L35" s="1861"/>
      <c r="M35" s="1861"/>
    </row>
    <row r="36" spans="1:18" ht="18" customHeight="1">
      <c r="A36" s="1355" t="s">
        <v>1039</v>
      </c>
      <c r="B36" s="347" t="s">
        <v>1449</v>
      </c>
      <c r="C36" s="24">
        <f ca="1">ROUND(C29*F36,1)</f>
        <v>35.4</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3.5</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2.2000000000000002</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139</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3780</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47.04</v>
      </c>
      <c r="G41" s="1853"/>
      <c r="H41" s="732"/>
      <c r="I41" s="1862"/>
      <c r="J41" s="1863"/>
      <c r="K41" s="751"/>
      <c r="L41" s="732"/>
      <c r="M41" s="732"/>
    </row>
    <row r="42" spans="1:18" ht="18" customHeight="1">
      <c r="A42" s="353"/>
      <c r="B42" s="354"/>
      <c r="C42" s="355"/>
      <c r="D42" s="373"/>
      <c r="E42" s="347" t="s">
        <v>1477</v>
      </c>
      <c r="F42" s="357">
        <f ca="1">INDIRECT("'数据-取费表'!v"&amp;$G$1)</f>
        <v>0.02</v>
      </c>
      <c r="G42" s="1853"/>
      <c r="H42" s="732"/>
      <c r="I42" s="1862"/>
      <c r="J42" s="1863"/>
      <c r="K42" s="751"/>
      <c r="L42" s="732"/>
      <c r="M42" s="732"/>
    </row>
    <row r="43" spans="1:18" ht="18" customHeight="1" thickBot="1">
      <c r="A43" s="380" t="s">
        <v>1033</v>
      </c>
      <c r="B43" s="381" t="s">
        <v>1487</v>
      </c>
      <c r="C43" s="382">
        <f ca="1">ROUND(C40*10000/F43,0)</f>
        <v>4507</v>
      </c>
      <c r="D43" s="383" t="s">
        <v>1488</v>
      </c>
      <c r="E43" s="384" t="s">
        <v>1489</v>
      </c>
      <c r="F43" s="385">
        <f ca="1">INDIRECT("'数据-取费表'!k"&amp;$G$1)</f>
        <v>8387.2000000000007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-8421</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3110</v>
      </c>
      <c r="K47" s="1884" t="s">
        <v>1527</v>
      </c>
      <c r="L47" s="1885">
        <f ca="1">INDIRECT("'数据-取费表'!d"&amp;$G$1)</f>
        <v>50</v>
      </c>
      <c r="M47" s="1840" t="str">
        <f>IF(ISNUMBER(FIND("住宅",C1)),"住宅","非住宅")</f>
        <v>非住宅</v>
      </c>
      <c r="O47" s="1886" t="s">
        <v>1040</v>
      </c>
      <c r="P47" s="1887" t="s">
        <v>1528</v>
      </c>
      <c r="Q47" s="1888">
        <f ca="1">C40+J29</f>
        <v>3780</v>
      </c>
      <c r="R47" s="1888" t="s">
        <v>1529</v>
      </c>
    </row>
    <row r="48" spans="1:18" s="1844" customFormat="1" ht="28.5" thickBot="1">
      <c r="A48" s="1363" t="s">
        <v>1135</v>
      </c>
      <c r="B48" s="345" t="s">
        <v>1401</v>
      </c>
      <c r="C48" s="1819">
        <f ca="1">C49+C53+C55</f>
        <v>0</v>
      </c>
      <c r="D48" s="1365"/>
      <c r="E48" s="1366"/>
      <c r="F48" s="1184"/>
      <c r="G48" s="792"/>
      <c r="H48" s="793"/>
      <c r="I48" s="1889" t="s">
        <v>1530</v>
      </c>
      <c r="J48" s="1890" t="s">
        <v>3111</v>
      </c>
      <c r="K48" s="1891" t="s">
        <v>1531</v>
      </c>
      <c r="L48" s="1892">
        <f ca="1">INDIRECT("'数据-取费表'!f"&amp;$G$1)</f>
        <v>48.74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3027</v>
      </c>
      <c r="E49" s="1832" t="s">
        <v>1491</v>
      </c>
      <c r="F49" s="1284"/>
      <c r="G49" s="1893"/>
      <c r="H49" s="793"/>
      <c r="I49" s="1889" t="s">
        <v>1534</v>
      </c>
      <c r="J49" s="1894">
        <v>2018</v>
      </c>
      <c r="K49" s="1891" t="s">
        <v>1535</v>
      </c>
      <c r="L49" s="1895"/>
      <c r="O49" s="1896" t="s">
        <v>1042</v>
      </c>
      <c r="P49" s="1887" t="s">
        <v>1536</v>
      </c>
      <c r="Q49" s="1888">
        <f ca="1">C29</f>
        <v>2360</v>
      </c>
      <c r="R49" s="1888" t="s">
        <v>1529</v>
      </c>
    </row>
    <row r="50" spans="1:18" s="1844" customFormat="1" ht="13.5" thickBot="1">
      <c r="A50" s="1198"/>
      <c r="B50" s="1201"/>
      <c r="C50" s="1371"/>
      <c r="D50" s="1175"/>
      <c r="E50" s="1280" t="s">
        <v>1406</v>
      </c>
      <c r="F50" s="1281">
        <f ca="1">F7</f>
        <v>204</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12</v>
      </c>
      <c r="I51" s="1900" t="s">
        <v>1540</v>
      </c>
      <c r="J51" s="1901">
        <f>IF(J49="",J50,J49+J50-YEAR('数据-取费表'!B2))</f>
        <v>60</v>
      </c>
      <c r="K51" s="1902" t="s">
        <v>1541</v>
      </c>
      <c r="L51" s="1903">
        <f ca="1">ROUND(-PV(INDIRECT("'数据-取费表'!h"&amp;$G$1),L48,(C39-C13*C76),0),0)</f>
        <v>-1312</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47.04</v>
      </c>
      <c r="R52" s="1888" t="s">
        <v>1546</v>
      </c>
    </row>
    <row r="53" spans="1:18" s="1844" customFormat="1" ht="24.75" thickBot="1">
      <c r="A53" s="1408" t="s">
        <v>1137</v>
      </c>
      <c r="B53" s="1833" t="s">
        <v>1409</v>
      </c>
      <c r="C53" s="361">
        <f ca="1">ROUND(IF(F53="押一",C49/12*F11,IF(F53="押二",C49/12*2*F11,IF(F53="押三",C49/12*3*F11,C54*F11))),0)</f>
        <v>0</v>
      </c>
      <c r="D53" s="1826" t="s">
        <v>3034</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47.04</v>
      </c>
      <c r="K53" s="3207" t="s">
        <v>1548</v>
      </c>
      <c r="L53" s="3208"/>
      <c r="O53" s="1886" t="s">
        <v>1046</v>
      </c>
      <c r="P53" s="1887" t="s">
        <v>1549</v>
      </c>
      <c r="Q53" s="1888">
        <f ca="1">Q47+Q48</f>
        <v>3780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2360</v>
      </c>
      <c r="D56" s="1916"/>
      <c r="E56" s="1917"/>
      <c r="F56" s="1909"/>
      <c r="I56" s="1918" t="s">
        <v>1554</v>
      </c>
      <c r="J56" s="1919" t="s">
        <v>3059</v>
      </c>
      <c r="K56" s="1889" t="s">
        <v>1555</v>
      </c>
      <c r="L56" s="1892" t="str">
        <f ca="1">IF(L48&lt;J51,"——",L48-J53)</f>
        <v>——</v>
      </c>
      <c r="O56" s="1886" t="s">
        <v>1040</v>
      </c>
      <c r="P56" s="1887" t="s">
        <v>1528</v>
      </c>
      <c r="Q56" s="1888">
        <f ca="1">C40+J29</f>
        <v>3780</v>
      </c>
      <c r="R56" s="1888" t="s">
        <v>1529</v>
      </c>
    </row>
    <row r="57" spans="1:18" s="1844" customFormat="1" ht="24.75" thickBot="1">
      <c r="A57" s="1920"/>
      <c r="B57" s="1172" t="s">
        <v>1478</v>
      </c>
      <c r="C57" s="282">
        <f ca="1">C29</f>
        <v>2360</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239</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199.7</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5.6500000000000002E-2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198.24</v>
      </c>
      <c r="D61" s="1830" t="s">
        <v>1438</v>
      </c>
      <c r="E61" s="1172" t="s">
        <v>1494</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1.44</v>
      </c>
      <c r="D62" s="1187" t="s">
        <v>1497</v>
      </c>
      <c r="E62" s="1172" t="s">
        <v>1498</v>
      </c>
      <c r="F62" s="371">
        <f t="shared" si="0"/>
        <v>5</v>
      </c>
      <c r="I62" s="1931" t="s">
        <v>1570</v>
      </c>
      <c r="J62" s="1932" t="s">
        <v>1571</v>
      </c>
      <c r="K62" s="1932" t="s">
        <v>1572</v>
      </c>
      <c r="L62" s="1932" t="s">
        <v>1573</v>
      </c>
      <c r="M62" s="1933" t="s">
        <v>1574</v>
      </c>
      <c r="O62" s="1886" t="s">
        <v>1046</v>
      </c>
      <c r="P62" s="1887" t="s">
        <v>1575</v>
      </c>
      <c r="Q62" s="1888">
        <f ca="1">Q56+Q57</f>
        <v>3780</v>
      </c>
      <c r="R62" s="1888" t="s">
        <v>1047</v>
      </c>
    </row>
    <row r="63" spans="1:18" s="1844" customFormat="1" ht="13.5" thickBot="1">
      <c r="A63" s="372"/>
      <c r="B63" s="1178"/>
      <c r="C63" s="29"/>
      <c r="D63" s="1188"/>
      <c r="E63" s="1172" t="s">
        <v>1499</v>
      </c>
      <c r="F63" s="348">
        <f t="shared" ca="1" si="0"/>
        <v>2885.55</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35.4</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3.5</v>
      </c>
      <c r="D65" s="1186" t="s">
        <v>1454</v>
      </c>
      <c r="E65" s="1172" t="s">
        <v>1455</v>
      </c>
      <c r="F65" s="376">
        <f t="shared" ca="1" si="0"/>
        <v>1.5E-3</v>
      </c>
      <c r="I65" s="1931" t="s">
        <v>1579</v>
      </c>
      <c r="J65" s="1932">
        <v>40</v>
      </c>
      <c r="K65" s="1932">
        <v>30</v>
      </c>
      <c r="L65" s="1932">
        <v>50</v>
      </c>
      <c r="M65" s="1934">
        <v>0.02</v>
      </c>
      <c r="O65" s="1886" t="s">
        <v>1040</v>
      </c>
      <c r="P65" s="1887" t="s">
        <v>1580</v>
      </c>
      <c r="Q65" s="1888">
        <f ca="1">C40+J29</f>
        <v>3780</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-239</v>
      </c>
      <c r="D67" s="1185" t="s">
        <v>1464</v>
      </c>
      <c r="E67" s="1190"/>
      <c r="F67" s="1191"/>
      <c r="O67" s="1896" t="s">
        <v>1042</v>
      </c>
      <c r="P67" s="1887" t="s">
        <v>1562</v>
      </c>
      <c r="Q67" s="1935">
        <f ca="1">L51</f>
        <v>-1312</v>
      </c>
      <c r="R67" s="1888" t="s">
        <v>1582</v>
      </c>
    </row>
    <row r="68" spans="1:18" s="1844" customFormat="1" ht="16.5" thickBot="1">
      <c r="A68" s="1169" t="s">
        <v>1032</v>
      </c>
      <c r="B68" s="1170" t="s">
        <v>1485</v>
      </c>
      <c r="C68" s="346">
        <f ca="1">ROUND(C67*(1-((1+F70)/(1+F68))^F69)/(F68-F70),0)</f>
        <v>-4641</v>
      </c>
      <c r="D68" s="1187" t="s">
        <v>1469</v>
      </c>
      <c r="E68" s="1172" t="s">
        <v>1470</v>
      </c>
      <c r="F68" s="357">
        <f ca="1">F40</f>
        <v>4.4999999999999998E-2</v>
      </c>
      <c r="O68" s="1896" t="s">
        <v>1043</v>
      </c>
      <c r="P68" s="1936" t="s">
        <v>1583</v>
      </c>
      <c r="Q68" s="1888">
        <f ca="1">ROUND(Q69-Q70*Q71,0)</f>
        <v>-62</v>
      </c>
      <c r="R68" s="1888" t="s">
        <v>1051</v>
      </c>
    </row>
    <row r="69" spans="1:18" s="1844" customFormat="1" ht="13.5" thickBot="1">
      <c r="A69" s="1173"/>
      <c r="B69" s="1174"/>
      <c r="C69" s="351"/>
      <c r="D69" s="1192" t="s">
        <v>1473</v>
      </c>
      <c r="E69" s="1172" t="s">
        <v>1474</v>
      </c>
      <c r="F69" s="379">
        <f ca="1">F41</f>
        <v>47.04</v>
      </c>
      <c r="O69" s="1896" t="s">
        <v>1048</v>
      </c>
      <c r="P69" s="1936" t="s">
        <v>1584</v>
      </c>
      <c r="Q69" s="1888">
        <f ca="1">C39</f>
        <v>139</v>
      </c>
      <c r="R69" s="1888" t="s">
        <v>1529</v>
      </c>
    </row>
    <row r="70" spans="1:18" s="1844" customFormat="1" ht="13.5" thickBot="1">
      <c r="A70" s="1176"/>
      <c r="B70" s="1177"/>
      <c r="C70" s="355"/>
      <c r="D70" s="1188"/>
      <c r="E70" s="1172" t="s">
        <v>1477</v>
      </c>
      <c r="F70" s="1278"/>
      <c r="O70" s="1896" t="s">
        <v>1049</v>
      </c>
      <c r="P70" s="1936" t="s">
        <v>1585</v>
      </c>
      <c r="Q70" s="1888">
        <f ca="1">C13</f>
        <v>2360</v>
      </c>
      <c r="R70" s="1888" t="s">
        <v>1529</v>
      </c>
    </row>
    <row r="71" spans="1:18" s="1844" customFormat="1" ht="13.5" thickBot="1">
      <c r="A71" s="1193" t="s">
        <v>1033</v>
      </c>
      <c r="B71" s="1194" t="s">
        <v>1487</v>
      </c>
      <c r="C71" s="382">
        <f ca="1">ROUND(C68*10000/F71,0)</f>
        <v>-5533</v>
      </c>
      <c r="D71" s="1195" t="s">
        <v>1488</v>
      </c>
      <c r="E71" s="1196" t="s">
        <v>1489</v>
      </c>
      <c r="F71" s="385">
        <f ca="1">F43</f>
        <v>8387.2000000000007</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6" t="s">
        <v>1506</v>
      </c>
      <c r="C75" s="387">
        <f ca="1">ROUND(C13*C76,0)</f>
        <v>201</v>
      </c>
      <c r="D75" s="1844"/>
      <c r="E75" s="1844"/>
      <c r="F75" s="1844"/>
      <c r="K75" s="1870"/>
      <c r="L75" s="1844"/>
      <c r="O75" s="1886" t="s">
        <v>1046</v>
      </c>
      <c r="P75" s="1887" t="s">
        <v>1549</v>
      </c>
      <c r="Q75" s="1888">
        <f ca="1">Q65+Q66</f>
        <v>3780</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-0.44599999999999995</v>
      </c>
    </row>
    <row r="80" spans="1:18">
      <c r="B80" s="386" t="s">
        <v>1511</v>
      </c>
      <c r="C80" s="318">
        <f ca="1">ROUND(C75/C39,3)</f>
        <v>1.446</v>
      </c>
    </row>
    <row r="81" spans="2:3">
      <c r="B81" s="314" t="s">
        <v>1512</v>
      </c>
      <c r="C81" s="282"/>
    </row>
    <row r="82" spans="2:3">
      <c r="B82" s="317" t="s">
        <v>1513</v>
      </c>
      <c r="C82" s="319">
        <f ca="1">1-C83</f>
        <v>0.376</v>
      </c>
    </row>
    <row r="83" spans="2:3">
      <c r="B83" s="317" t="s">
        <v>1514</v>
      </c>
      <c r="C83" s="318">
        <f ca="1">ROUND(C13/C40,3)</f>
        <v>0.624</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09" t="s">
        <v>1403</v>
      </c>
      <c r="C6" s="1299">
        <f ca="1">ROUND(F6*F8*F7*(1-F9),0)</f>
        <v>0</v>
      </c>
      <c r="D6" s="164" t="s">
        <v>3023</v>
      </c>
      <c r="E6" s="347" t="s">
        <v>1405</v>
      </c>
      <c r="F6" s="348">
        <f ca="1">INDIRECT("'数据-取费表'!u"&amp;$G$1)</f>
        <v>0</v>
      </c>
      <c r="G6" s="1853"/>
      <c r="H6" s="1294" t="s">
        <v>1035</v>
      </c>
      <c r="I6" s="3209" t="s">
        <v>1403</v>
      </c>
      <c r="J6" s="346">
        <f ca="1">ROUND(M6*M8*M7*(1-M9),0)</f>
        <v>0</v>
      </c>
      <c r="K6" s="1836" t="s">
        <v>3024</v>
      </c>
      <c r="L6" s="347" t="s">
        <v>1405</v>
      </c>
      <c r="M6" s="348">
        <f ca="1">INDIRECT("'数据-取费表'!z"&amp;$G$1)</f>
        <v>0</v>
      </c>
    </row>
    <row r="7" spans="1:37" ht="18" customHeight="1">
      <c r="A7" s="1298"/>
      <c r="B7" s="3210"/>
      <c r="C7" s="1300"/>
      <c r="D7" s="352"/>
      <c r="E7" s="1301" t="s">
        <v>1406</v>
      </c>
      <c r="F7" s="348">
        <f ca="1">IF(INDIRECT("'数据-取费表'!ah"&amp;$G$1)="",INDIRECT("'数据-取费表'!k"&amp;$G$1),INDIRECT("'数据-取费表'!ah"&amp;$G$1))</f>
        <v>0</v>
      </c>
      <c r="G7" s="1853"/>
      <c r="H7" s="349"/>
      <c r="I7" s="3210"/>
      <c r="J7" s="351"/>
      <c r="K7" s="352"/>
      <c r="L7" s="347" t="s">
        <v>1406</v>
      </c>
      <c r="M7" s="348">
        <f ca="1">F7</f>
        <v>0</v>
      </c>
    </row>
    <row r="8" spans="1:37" ht="18" customHeight="1">
      <c r="A8" s="349"/>
      <c r="B8" s="3210"/>
      <c r="C8" s="351"/>
      <c r="D8" s="352"/>
      <c r="E8" s="347" t="s">
        <v>1407</v>
      </c>
      <c r="F8" s="348">
        <f ca="1">INDIRECT("'数据-取费表'!ai"&amp;$G$1)</f>
        <v>0</v>
      </c>
      <c r="G8" s="1853"/>
      <c r="H8" s="349"/>
      <c r="I8" s="3210"/>
      <c r="J8" s="351"/>
      <c r="K8" s="352"/>
      <c r="L8" s="347" t="s">
        <v>1407</v>
      </c>
      <c r="M8" s="348">
        <f ca="1">INDIRECT("'数据-取费表'!ai"&amp;$G$1)</f>
        <v>0</v>
      </c>
    </row>
    <row r="9" spans="1:37" ht="18" customHeight="1">
      <c r="A9" s="349"/>
      <c r="B9" s="3211"/>
      <c r="C9" s="351"/>
      <c r="D9" s="352"/>
      <c r="E9" s="347" t="s">
        <v>1408</v>
      </c>
      <c r="F9" s="357">
        <f ca="1">INDIRECT("'数据-取费表'!w"&amp;$G$1)</f>
        <v>0</v>
      </c>
      <c r="G9" s="1853"/>
      <c r="H9" s="349"/>
      <c r="I9" s="3211"/>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3034</v>
      </c>
      <c r="E10" s="358" t="s">
        <v>1410</v>
      </c>
      <c r="F10" s="1369"/>
      <c r="G10" s="1853"/>
      <c r="H10" s="1294" t="s">
        <v>1039</v>
      </c>
      <c r="I10" s="1825" t="s">
        <v>1409</v>
      </c>
      <c r="J10" s="346">
        <f ca="1">ROUND(IF(M10="押一",J6/12*M11,IF(M10="押二",J6/12*2*M11,IF(M10="押三",J6/12*3*M11,J11*M11))),0)</f>
        <v>0</v>
      </c>
      <c r="K10" s="1837" t="s">
        <v>3036</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5.6500000000000002E-2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5.3800000000000001E-2</v>
      </c>
      <c r="D28" s="369" t="s">
        <v>1476</v>
      </c>
      <c r="E28" s="347" t="s">
        <v>1422</v>
      </c>
      <c r="F28" s="367">
        <f>'数据-取费表'!B41</f>
        <v>5.6500000000000002E-2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5.6500000000000002E-2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3037</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7" t="s">
        <v>1548</v>
      </c>
      <c r="L53" s="3208"/>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5.6500000000000002E-2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7" t="s">
        <v>2518</v>
      </c>
      <c r="B1" s="2558"/>
      <c r="C1" s="2558"/>
      <c r="D1" s="2558"/>
      <c r="E1" s="2559"/>
    </row>
    <row r="2" spans="1:6" ht="15.75">
      <c r="A2" s="2560" t="s">
        <v>2322</v>
      </c>
      <c r="B2" s="2561">
        <f ca="1">SUMIF(B6:B13,"&lt;&gt;#ref!",B6:B13)</f>
        <v>3780</v>
      </c>
      <c r="C2" s="2562" t="s">
        <v>2511</v>
      </c>
      <c r="D2" s="2563" t="s">
        <v>2512</v>
      </c>
      <c r="E2" s="2564">
        <f>SUM(E6:E13)</f>
        <v>8655</v>
      </c>
    </row>
    <row r="3" spans="1:6" ht="15.75">
      <c r="A3" s="2560" t="s">
        <v>1395</v>
      </c>
      <c r="B3" s="2561">
        <f ca="1">ROUND(B2*10000/E2,0)</f>
        <v>4367</v>
      </c>
      <c r="C3" s="2562" t="s">
        <v>2519</v>
      </c>
      <c r="D3" s="2565"/>
      <c r="E3" s="2566"/>
    </row>
    <row r="4" spans="1:6" ht="15.75">
      <c r="A4" s="2567"/>
      <c r="B4" s="2565"/>
      <c r="C4" s="2565"/>
      <c r="D4" s="2565"/>
      <c r="E4" s="2566"/>
    </row>
    <row r="5" spans="1:6" ht="15">
      <c r="A5" s="2568" t="s">
        <v>2513</v>
      </c>
      <c r="B5" s="3212" t="s">
        <v>2514</v>
      </c>
      <c r="C5" s="3212"/>
      <c r="D5" s="2569"/>
      <c r="E5" s="2570" t="s">
        <v>2515</v>
      </c>
      <c r="F5" s="2571" t="s">
        <v>2516</v>
      </c>
    </row>
    <row r="6" spans="1:6">
      <c r="A6" s="2572">
        <f>'数据-取费表'!AN6</f>
        <v>0</v>
      </c>
      <c r="B6" s="2571" t="e">
        <f ca="1">IF(F6="是",'数据-取费表'!AO6,0)</f>
        <v>#REF!</v>
      </c>
      <c r="C6" s="2562" t="s">
        <v>2511</v>
      </c>
      <c r="D6" s="2565"/>
      <c r="E6" s="2573">
        <f>IF(OR(A6=0,F6="否"),0,'数据-取费表'!K6+'数据-取费表'!S6)</f>
        <v>0</v>
      </c>
      <c r="F6" s="2574" t="s">
        <v>2517</v>
      </c>
    </row>
    <row r="7" spans="1:6">
      <c r="A7" s="2572">
        <f>'数据-取费表'!AN7</f>
        <v>0</v>
      </c>
      <c r="B7" s="2571" t="e">
        <f ca="1">IF(F7="是",'数据-取费表'!AO7,0)</f>
        <v>#REF!</v>
      </c>
      <c r="C7" s="2562" t="s">
        <v>2511</v>
      </c>
      <c r="D7" s="2565"/>
      <c r="E7" s="2573">
        <f>IF(OR(A7=0,F7="否"),0,'数据-取费表'!K7+'数据-取费表'!S7)</f>
        <v>0</v>
      </c>
      <c r="F7" s="2574" t="s">
        <v>2517</v>
      </c>
    </row>
    <row r="8" spans="1:6">
      <c r="A8" s="2572" t="str">
        <f>'数据-取费表'!AN8</f>
        <v>收益法</v>
      </c>
      <c r="B8" s="2571">
        <f ca="1">IF(F8="是",'数据-取费表'!AO8,0)</f>
        <v>3780</v>
      </c>
      <c r="C8" s="2562" t="s">
        <v>2511</v>
      </c>
      <c r="D8" s="2565"/>
      <c r="E8" s="2573">
        <f>IF(OR(A8=0,F8="否"),0,'数据-取费表'!K8+'数据-取费表'!S8)</f>
        <v>8655</v>
      </c>
      <c r="F8" s="2574" t="s">
        <v>2517</v>
      </c>
    </row>
    <row r="9" spans="1:6">
      <c r="A9" s="2572">
        <f>'数据-取费表'!AN9</f>
        <v>0</v>
      </c>
      <c r="B9" s="2571" t="e">
        <f ca="1">IF(F9="是",'数据-取费表'!AO9,0)</f>
        <v>#REF!</v>
      </c>
      <c r="C9" s="2562" t="s">
        <v>2511</v>
      </c>
      <c r="D9" s="2565"/>
      <c r="E9" s="2573">
        <f>IF(OR(A9=0,F9="否"),0,'数据-取费表'!K9+'数据-取费表'!S9)</f>
        <v>0</v>
      </c>
      <c r="F9" s="2574" t="s">
        <v>2517</v>
      </c>
    </row>
    <row r="10" spans="1:6">
      <c r="A10" s="2572">
        <f>'数据-取费表'!AN10</f>
        <v>0</v>
      </c>
      <c r="B10" s="2571" t="e">
        <f ca="1">IF(F10="是",'数据-取费表'!AO10,0)</f>
        <v>#REF!</v>
      </c>
      <c r="C10" s="2562" t="s">
        <v>2511</v>
      </c>
      <c r="D10" s="2565"/>
      <c r="E10" s="2573">
        <f>IF(OR(A10=0,F10="否"),0,'数据-取费表'!K10+'数据-取费表'!S10)</f>
        <v>0</v>
      </c>
      <c r="F10" s="2574" t="s">
        <v>2517</v>
      </c>
    </row>
    <row r="11" spans="1:6">
      <c r="A11" s="2572">
        <f>'数据-取费表'!AN11</f>
        <v>0</v>
      </c>
      <c r="B11" s="2571" t="e">
        <f ca="1">IF(F11="是",'数据-取费表'!AO11,0)</f>
        <v>#REF!</v>
      </c>
      <c r="C11" s="2562" t="s">
        <v>2511</v>
      </c>
      <c r="D11" s="2565"/>
      <c r="E11" s="2573">
        <f>IF(OR(A11=0,F11="否"),0,'数据-取费表'!K11+'数据-取费表'!S11)</f>
        <v>0</v>
      </c>
      <c r="F11" s="2574" t="s">
        <v>2517</v>
      </c>
    </row>
    <row r="12" spans="1:6">
      <c r="A12" s="2572">
        <f>'数据-取费表'!AN12</f>
        <v>0</v>
      </c>
      <c r="B12" s="2571" t="e">
        <f ca="1">IF(F12="是",'数据-取费表'!AO12,0)</f>
        <v>#REF!</v>
      </c>
      <c r="C12" s="2562" t="s">
        <v>2511</v>
      </c>
      <c r="D12" s="2565"/>
      <c r="E12" s="2573">
        <f>IF(OR(A12=0,F12="否"),0,'数据-取费表'!K12+'数据-取费表'!S12)</f>
        <v>0</v>
      </c>
      <c r="F12" s="2574" t="s">
        <v>2517</v>
      </c>
    </row>
    <row r="13" spans="1:6" ht="15" thickBot="1">
      <c r="A13" s="2575">
        <f>'数据-取费表'!AN13</f>
        <v>0</v>
      </c>
      <c r="B13" s="2571" t="e">
        <f ca="1">IF(F13="是",'数据-取费表'!AO13,0)</f>
        <v>#REF!</v>
      </c>
      <c r="C13" s="2576" t="s">
        <v>2511</v>
      </c>
      <c r="D13" s="2577"/>
      <c r="E13" s="2573">
        <f>IF(OR(A13=0,F13="否"),0,'数据-取费表'!K13+'数据-取费表'!S13)</f>
        <v>0</v>
      </c>
      <c r="F13" s="2574" t="s">
        <v>2517</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9" t="s">
        <v>1076</v>
      </c>
      <c r="B1" s="3230"/>
      <c r="C1" s="3231"/>
      <c r="D1" s="3232">
        <f>SUM(I10,I15,I20,I21,I23)</f>
        <v>0</v>
      </c>
      <c r="E1" s="3232"/>
      <c r="F1" s="3232"/>
      <c r="G1" s="3232"/>
      <c r="H1" s="3232"/>
      <c r="I1" s="3233"/>
    </row>
    <row r="2" spans="1:9">
      <c r="A2" s="3219" t="s">
        <v>1077</v>
      </c>
      <c r="B2" s="3220" t="s">
        <v>1078</v>
      </c>
      <c r="C2" s="3220"/>
      <c r="D2" s="1304" t="s">
        <v>1079</v>
      </c>
      <c r="E2" s="1304" t="s">
        <v>1080</v>
      </c>
      <c r="F2" s="1304" t="s">
        <v>1081</v>
      </c>
      <c r="G2" s="1304" t="s">
        <v>1082</v>
      </c>
      <c r="H2" s="1304" t="s">
        <v>1083</v>
      </c>
      <c r="I2" s="1305" t="s">
        <v>1084</v>
      </c>
    </row>
    <row r="3" spans="1:9">
      <c r="A3" s="3219"/>
      <c r="B3" s="3220" t="s">
        <v>1085</v>
      </c>
      <c r="C3" s="3220"/>
      <c r="D3" s="1306"/>
      <c r="E3" s="1304"/>
      <c r="F3" s="1307"/>
      <c r="G3" s="1307"/>
      <c r="H3" s="1308"/>
      <c r="I3" s="1309">
        <f>ROUND(D3*E3*F3*G3*H3/10000,0)</f>
        <v>0</v>
      </c>
    </row>
    <row r="4" spans="1:9">
      <c r="A4" s="3219"/>
      <c r="B4" s="3220" t="s">
        <v>1086</v>
      </c>
      <c r="C4" s="3220"/>
      <c r="D4" s="1306"/>
      <c r="E4" s="1304"/>
      <c r="F4" s="1307"/>
      <c r="G4" s="1307"/>
      <c r="H4" s="1308"/>
      <c r="I4" s="1309">
        <f t="shared" ref="I4:I9" si="0">ROUND(D4*E4*F4*G4*H4/10000,0)</f>
        <v>0</v>
      </c>
    </row>
    <row r="5" spans="1:9">
      <c r="A5" s="3219"/>
      <c r="B5" s="3220" t="s">
        <v>1087</v>
      </c>
      <c r="C5" s="3220"/>
      <c r="D5" s="1306"/>
      <c r="E5" s="1304"/>
      <c r="F5" s="1307"/>
      <c r="G5" s="1307"/>
      <c r="H5" s="1308"/>
      <c r="I5" s="1309">
        <f t="shared" si="0"/>
        <v>0</v>
      </c>
    </row>
    <row r="6" spans="1:9">
      <c r="A6" s="3219"/>
      <c r="B6" s="3220" t="s">
        <v>1088</v>
      </c>
      <c r="C6" s="3220"/>
      <c r="D6" s="1306"/>
      <c r="E6" s="1304"/>
      <c r="F6" s="1307"/>
      <c r="G6" s="1307"/>
      <c r="H6" s="1308"/>
      <c r="I6" s="1309">
        <f t="shared" si="0"/>
        <v>0</v>
      </c>
    </row>
    <row r="7" spans="1:9">
      <c r="A7" s="3219"/>
      <c r="B7" s="3220" t="s">
        <v>1089</v>
      </c>
      <c r="C7" s="3220"/>
      <c r="D7" s="1306"/>
      <c r="E7" s="1304"/>
      <c r="F7" s="1307"/>
      <c r="G7" s="1307"/>
      <c r="H7" s="1308"/>
      <c r="I7" s="1309">
        <f t="shared" si="0"/>
        <v>0</v>
      </c>
    </row>
    <row r="8" spans="1:9">
      <c r="A8" s="3219"/>
      <c r="B8" s="3220" t="s">
        <v>1090</v>
      </c>
      <c r="C8" s="3220"/>
      <c r="D8" s="1306"/>
      <c r="E8" s="1304"/>
      <c r="F8" s="1307"/>
      <c r="G8" s="1307"/>
      <c r="H8" s="1308"/>
      <c r="I8" s="1309">
        <f t="shared" si="0"/>
        <v>0</v>
      </c>
    </row>
    <row r="9" spans="1:9">
      <c r="A9" s="3219"/>
      <c r="B9" s="3220" t="s">
        <v>1091</v>
      </c>
      <c r="C9" s="3220"/>
      <c r="D9" s="1306"/>
      <c r="E9" s="1304"/>
      <c r="F9" s="1307"/>
      <c r="G9" s="1307"/>
      <c r="H9" s="1308"/>
      <c r="I9" s="1309">
        <f t="shared" si="0"/>
        <v>0</v>
      </c>
    </row>
    <row r="10" spans="1:9">
      <c r="A10" s="3219"/>
      <c r="B10" s="3221" t="s">
        <v>1092</v>
      </c>
      <c r="C10" s="3221"/>
      <c r="D10" s="1310"/>
      <c r="E10" s="1310" t="e">
        <f>ROUND(D1*10000/D10/H9,0)</f>
        <v>#DIV/0!</v>
      </c>
      <c r="F10" s="1311"/>
      <c r="G10" s="1311"/>
      <c r="H10" s="1312"/>
      <c r="I10" s="1313">
        <f>SUM(I3:I9)</f>
        <v>0</v>
      </c>
    </row>
    <row r="11" spans="1:9" ht="14.25">
      <c r="A11" s="3219" t="s">
        <v>1093</v>
      </c>
      <c r="B11" s="3220" t="s">
        <v>1094</v>
      </c>
      <c r="C11" s="3220"/>
      <c r="D11" s="1306" t="s">
        <v>1095</v>
      </c>
      <c r="E11" s="1306" t="s">
        <v>1096</v>
      </c>
      <c r="F11" s="1307" t="s">
        <v>1097</v>
      </c>
      <c r="G11" s="1307" t="s">
        <v>1083</v>
      </c>
      <c r="H11" s="1314" t="s">
        <v>1098</v>
      </c>
      <c r="I11" s="1305" t="s">
        <v>1084</v>
      </c>
    </row>
    <row r="12" spans="1:9">
      <c r="A12" s="3219"/>
      <c r="B12" s="3220" t="s">
        <v>1099</v>
      </c>
      <c r="C12" s="3220"/>
      <c r="D12" s="1306"/>
      <c r="E12" s="1306"/>
      <c r="F12" s="1307"/>
      <c r="G12" s="1308"/>
      <c r="H12" s="1315"/>
      <c r="I12" s="1305">
        <f>ROUND(D12*E12*F12*G12/10000,0)</f>
        <v>0</v>
      </c>
    </row>
    <row r="13" spans="1:9">
      <c r="A13" s="3219"/>
      <c r="B13" s="3220" t="s">
        <v>1100</v>
      </c>
      <c r="C13" s="3220"/>
      <c r="D13" s="1306"/>
      <c r="E13" s="1306"/>
      <c r="F13" s="1307"/>
      <c r="G13" s="1308"/>
      <c r="H13" s="1315"/>
      <c r="I13" s="1305">
        <f>ROUND(D13*E13*F13*G13/10000,0)</f>
        <v>0</v>
      </c>
    </row>
    <row r="14" spans="1:9">
      <c r="A14" s="3219"/>
      <c r="B14" s="3220" t="s">
        <v>1101</v>
      </c>
      <c r="C14" s="3220"/>
      <c r="D14" s="1306"/>
      <c r="E14" s="1306"/>
      <c r="F14" s="1307"/>
      <c r="G14" s="1308"/>
      <c r="H14" s="1315"/>
      <c r="I14" s="1305">
        <f>ROUND(D14*E14*F14*G14/10000,0)</f>
        <v>0</v>
      </c>
    </row>
    <row r="15" spans="1:9">
      <c r="A15" s="3219"/>
      <c r="B15" s="3221" t="s">
        <v>1092</v>
      </c>
      <c r="C15" s="3221"/>
      <c r="D15" s="1310"/>
      <c r="E15" s="1310">
        <f>SUM(E12:E14)</f>
        <v>0</v>
      </c>
      <c r="F15" s="1311"/>
      <c r="G15" s="1308"/>
      <c r="H15" s="1315"/>
      <c r="I15" s="1316">
        <f>SUM(I12:I14)</f>
        <v>0</v>
      </c>
    </row>
    <row r="16" spans="1:9" ht="24">
      <c r="A16" s="3219" t="s">
        <v>1102</v>
      </c>
      <c r="B16" s="3220" t="s">
        <v>1103</v>
      </c>
      <c r="C16" s="3220"/>
      <c r="D16" s="1306" t="s">
        <v>1079</v>
      </c>
      <c r="E16" s="1317" t="s">
        <v>1104</v>
      </c>
      <c r="F16" s="1307" t="s">
        <v>1105</v>
      </c>
      <c r="G16" s="1308" t="s">
        <v>1083</v>
      </c>
      <c r="H16" s="1314" t="s">
        <v>1098</v>
      </c>
      <c r="I16" s="1305" t="s">
        <v>1084</v>
      </c>
    </row>
    <row r="17" spans="1:9" ht="14.25">
      <c r="A17" s="3219"/>
      <c r="B17" s="3220" t="s">
        <v>1106</v>
      </c>
      <c r="C17" s="3220"/>
      <c r="D17" s="1306"/>
      <c r="E17" s="1306"/>
      <c r="F17" s="1307"/>
      <c r="G17" s="1308"/>
      <c r="H17" s="1318"/>
      <c r="I17" s="1319">
        <f>ROUND(D17*E17*F17*G17/10000,0)</f>
        <v>0</v>
      </c>
    </row>
    <row r="18" spans="1:9" ht="14.25">
      <c r="A18" s="3219"/>
      <c r="B18" s="3220" t="s">
        <v>1107</v>
      </c>
      <c r="C18" s="3220"/>
      <c r="D18" s="1306"/>
      <c r="E18" s="1306"/>
      <c r="F18" s="1307"/>
      <c r="G18" s="1308"/>
      <c r="H18" s="1318"/>
      <c r="I18" s="1319">
        <f>ROUND(D18*E18*F18*G18/10000,0)</f>
        <v>0</v>
      </c>
    </row>
    <row r="19" spans="1:9" ht="14.25">
      <c r="A19" s="3219"/>
      <c r="B19" s="3220" t="s">
        <v>1108</v>
      </c>
      <c r="C19" s="3220"/>
      <c r="D19" s="1306"/>
      <c r="E19" s="1306"/>
      <c r="F19" s="1307"/>
      <c r="G19" s="1308"/>
      <c r="H19" s="1318"/>
      <c r="I19" s="1319">
        <f>ROUND(D19*E19*F19*G19/10000,0)</f>
        <v>0</v>
      </c>
    </row>
    <row r="20" spans="1:9">
      <c r="A20" s="3219"/>
      <c r="B20" s="3221" t="s">
        <v>1092</v>
      </c>
      <c r="C20" s="3221"/>
      <c r="D20" s="1310">
        <f>SUM(D17:D19)</f>
        <v>0</v>
      </c>
      <c r="E20" s="1310"/>
      <c r="F20" s="1311"/>
      <c r="G20" s="1308"/>
      <c r="H20" s="1315"/>
      <c r="I20" s="1316">
        <f>SUM(I17:I19)</f>
        <v>0</v>
      </c>
    </row>
    <row r="21" spans="1:9">
      <c r="A21" s="3219" t="s">
        <v>1109</v>
      </c>
      <c r="B21" s="3222"/>
      <c r="C21" s="3222"/>
      <c r="D21" s="3222"/>
      <c r="E21" s="3222"/>
      <c r="F21" s="3222"/>
      <c r="G21" s="3222"/>
      <c r="H21" s="1767">
        <v>0.1</v>
      </c>
      <c r="I21" s="1313">
        <f>ROUND(I10*H21,0)</f>
        <v>0</v>
      </c>
    </row>
    <row r="22" spans="1:9" ht="14.25">
      <c r="A22" s="3223" t="s">
        <v>1110</v>
      </c>
      <c r="B22" s="3224"/>
      <c r="C22" s="3225"/>
      <c r="D22" s="1320" t="s">
        <v>1111</v>
      </c>
      <c r="E22" s="1320" t="s">
        <v>1112</v>
      </c>
      <c r="F22" s="1321" t="s">
        <v>1113</v>
      </c>
      <c r="G22" s="1321" t="s">
        <v>1114</v>
      </c>
      <c r="H22" s="1314" t="s">
        <v>1115</v>
      </c>
      <c r="I22" s="1305" t="s">
        <v>1116</v>
      </c>
    </row>
    <row r="23" spans="1:9" ht="14.25" thickBot="1">
      <c r="A23" s="3226"/>
      <c r="B23" s="3227"/>
      <c r="C23" s="3228"/>
      <c r="D23" s="1322"/>
      <c r="E23" s="1322"/>
      <c r="F23" s="1322"/>
      <c r="G23" s="1323"/>
      <c r="H23" s="1324"/>
      <c r="I23" s="1325">
        <f>ROUND(E23*D23*F23*(1-G23)/10000,0)</f>
        <v>0</v>
      </c>
    </row>
    <row r="26" spans="1:9">
      <c r="A26" s="1326" t="s">
        <v>1117</v>
      </c>
      <c r="B26" s="1326"/>
      <c r="C26" s="1326"/>
      <c r="D26" s="1326"/>
      <c r="E26" s="3216">
        <f>C27-C30-C31-C32</f>
        <v>0</v>
      </c>
      <c r="F26" s="3216"/>
      <c r="G26" s="3216"/>
      <c r="H26" s="1739" t="s">
        <v>1340</v>
      </c>
    </row>
    <row r="27" spans="1:9">
      <c r="A27" s="1327">
        <v>1</v>
      </c>
      <c r="B27" s="1328" t="s">
        <v>1118</v>
      </c>
      <c r="C27" s="1328">
        <f>C28+C29</f>
        <v>0</v>
      </c>
      <c r="D27" s="1328"/>
      <c r="E27" s="3217"/>
      <c r="F27" s="3217"/>
      <c r="G27" s="3217"/>
    </row>
    <row r="28" spans="1:9">
      <c r="A28" s="1329" t="s">
        <v>1119</v>
      </c>
      <c r="B28" s="1328" t="s">
        <v>1120</v>
      </c>
      <c r="C28" s="1328"/>
      <c r="D28" s="1328"/>
      <c r="E28" s="3217"/>
      <c r="F28" s="3217"/>
      <c r="G28" s="321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8"/>
      <c r="F32" s="3218"/>
      <c r="G32" s="3218"/>
    </row>
    <row r="33" spans="1:7" hidden="1">
      <c r="A33" s="3213" t="s">
        <v>1129</v>
      </c>
      <c r="B33" s="3214"/>
      <c r="C33" s="3214"/>
      <c r="D33" s="3215"/>
      <c r="E33" s="3216"/>
      <c r="F33" s="3216"/>
      <c r="G33" s="3216"/>
    </row>
    <row r="34" spans="1:7" hidden="1">
      <c r="A34" s="1331">
        <v>1</v>
      </c>
      <c r="B34" s="1328" t="s">
        <v>1130</v>
      </c>
      <c r="C34" s="1328"/>
      <c r="D34" s="1328"/>
      <c r="E34" s="3217"/>
      <c r="F34" s="3217"/>
      <c r="G34" s="3217"/>
    </row>
    <row r="35" spans="1:7" hidden="1">
      <c r="A35" s="1331">
        <v>2</v>
      </c>
      <c r="B35" s="1328" t="s">
        <v>1131</v>
      </c>
      <c r="C35" s="1328"/>
      <c r="D35" s="1328"/>
      <c r="E35" s="3217"/>
      <c r="F35" s="3217"/>
      <c r="G35" s="3217"/>
    </row>
    <row r="36" spans="1:7" hidden="1">
      <c r="A36" s="1331">
        <v>3</v>
      </c>
      <c r="B36" s="1328" t="s">
        <v>1132</v>
      </c>
      <c r="C36" s="1328"/>
      <c r="D36" s="1328"/>
      <c r="E36" s="3217"/>
      <c r="F36" s="3217"/>
      <c r="G36" s="3217"/>
    </row>
    <row r="37" spans="1:7" hidden="1">
      <c r="A37" s="1331">
        <v>4</v>
      </c>
      <c r="B37" s="1328" t="s">
        <v>1133</v>
      </c>
      <c r="C37" s="1328"/>
      <c r="D37" s="1328"/>
      <c r="E37" s="3217"/>
      <c r="F37" s="3217"/>
      <c r="G37" s="3217"/>
    </row>
    <row r="38" spans="1:7" hidden="1">
      <c r="A38" s="3213" t="s">
        <v>1134</v>
      </c>
      <c r="B38" s="3214"/>
      <c r="C38" s="3214"/>
      <c r="D38" s="3215"/>
      <c r="E38" s="3216"/>
      <c r="F38" s="3216"/>
      <c r="G38" s="32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78" t="s">
        <v>2634</v>
      </c>
      <c r="C1" s="1636" t="s">
        <v>2522</v>
      </c>
      <c r="D1" s="1623"/>
      <c r="E1" s="2652"/>
      <c r="F1" s="2580"/>
      <c r="G1" s="1633" t="s">
        <v>2635</v>
      </c>
      <c r="H1" s="1632"/>
      <c r="I1" s="1632"/>
      <c r="J1" s="1632"/>
      <c r="K1" s="1634"/>
      <c r="L1" s="1635"/>
      <c r="M1" s="1636"/>
      <c r="N1" s="1636"/>
      <c r="O1" s="1636"/>
      <c r="P1" s="2653"/>
      <c r="Q1" s="2654"/>
      <c r="R1" s="2654"/>
      <c r="S1" s="2654"/>
      <c r="T1" s="2654"/>
      <c r="U1" s="2654"/>
      <c r="V1" s="2654"/>
      <c r="W1" s="2654"/>
      <c r="X1" s="2654"/>
      <c r="Y1" s="2654"/>
      <c r="Z1" s="2654"/>
      <c r="AA1" s="2654"/>
      <c r="AB1" s="2654"/>
      <c r="AC1" s="2655"/>
    </row>
    <row r="2" spans="1:29" s="398" customFormat="1" ht="28.5" customHeight="1" thickTop="1">
      <c r="A2" s="1619" t="s">
        <v>2322</v>
      </c>
      <c r="B2" s="1421" t="e">
        <f ca="1">IF(C2="——",ROUND(C49*D3/10000,0),ROUND(C49*D3/10000,0)-D2)</f>
        <v>#DIV/0!</v>
      </c>
      <c r="C2" s="2582"/>
      <c r="D2" s="1368" t="e">
        <f ca="1">SUMIF(INDIRECT("'"&amp;F2&amp;"'"&amp;"!A:A"),"承租人权益价值",INDIRECT("'"&amp;F2&amp;"'"&amp;"!c:c"))</f>
        <v>#REF!</v>
      </c>
      <c r="E2" s="2583" t="s">
        <v>2323</v>
      </c>
      <c r="F2" s="2584"/>
      <c r="G2" s="1128"/>
      <c r="H2" s="1128"/>
      <c r="I2" s="1128"/>
      <c r="J2" s="1128"/>
      <c r="K2" s="1128"/>
      <c r="L2" s="1131"/>
      <c r="M2" s="1132"/>
      <c r="N2" s="1132"/>
      <c r="O2" s="1132"/>
      <c r="P2" s="2656"/>
      <c r="Q2" s="1132"/>
      <c r="R2" s="1132"/>
      <c r="S2" s="1132"/>
      <c r="T2" s="1132"/>
      <c r="U2" s="1132"/>
      <c r="V2" s="1132"/>
      <c r="W2" s="1132"/>
      <c r="X2" s="1132"/>
      <c r="Y2" s="1132"/>
      <c r="Z2" s="1132"/>
      <c r="AA2" s="1132"/>
      <c r="AB2" s="1132"/>
      <c r="AC2" s="2657"/>
    </row>
    <row r="3" spans="1:29" s="398" customFormat="1" ht="28.5" customHeight="1" thickBot="1">
      <c r="A3" s="247" t="s">
        <v>2324</v>
      </c>
      <c r="B3" s="609" t="e">
        <f ca="1">IF(C2="——",C49,ROUND(B2*10000/D3,0))</f>
        <v>#DIV/0!</v>
      </c>
      <c r="C3" s="400" t="s">
        <v>2636</v>
      </c>
      <c r="D3" s="399">
        <f>IF(D1="",'数据-汇总表'!E3,SUMIF('数据-汇总表'!$C19:$C33,D1,'数据-汇总表'!$E19:$E33))</f>
        <v>67341.78</v>
      </c>
      <c r="E3" s="2658"/>
      <c r="F3" s="1129"/>
      <c r="G3" s="1128"/>
      <c r="H3" s="1128"/>
      <c r="I3" s="1128"/>
      <c r="J3" s="1128"/>
      <c r="K3" s="1130"/>
      <c r="L3" s="1131"/>
      <c r="M3" s="1132"/>
      <c r="N3" s="1132"/>
      <c r="O3" s="1132"/>
      <c r="P3" s="2656"/>
      <c r="Q3" s="1132"/>
      <c r="R3" s="1132"/>
      <c r="S3" s="1132"/>
      <c r="T3" s="1132"/>
      <c r="U3" s="1132"/>
      <c r="V3" s="1132"/>
      <c r="W3" s="1132"/>
      <c r="X3" s="1132"/>
      <c r="Y3" s="1132"/>
      <c r="Z3" s="1132"/>
      <c r="AA3" s="1132"/>
      <c r="AB3" s="1132"/>
      <c r="AC3" s="2658"/>
    </row>
    <row r="4" spans="1:29" ht="15">
      <c r="A4" s="401" t="s">
        <v>2637</v>
      </c>
      <c r="B4" s="402"/>
      <c r="C4" s="3159" t="s">
        <v>2638</v>
      </c>
      <c r="D4" s="3172"/>
      <c r="E4" s="3173" t="s">
        <v>2639</v>
      </c>
      <c r="F4" s="3174"/>
      <c r="G4" s="3159" t="s">
        <v>2640</v>
      </c>
      <c r="H4" s="3172"/>
      <c r="I4" s="3159" t="s">
        <v>2641</v>
      </c>
      <c r="J4" s="3172"/>
      <c r="K4" s="610" t="s">
        <v>2642</v>
      </c>
      <c r="L4" s="1133"/>
      <c r="M4" s="1134"/>
      <c r="N4" s="1134"/>
      <c r="O4" s="1134"/>
      <c r="P4" s="3175" t="s">
        <v>2643</v>
      </c>
      <c r="Q4" s="3176"/>
      <c r="R4" s="3181" t="s">
        <v>2639</v>
      </c>
      <c r="S4" s="3182"/>
      <c r="T4" s="3181" t="s">
        <v>2640</v>
      </c>
      <c r="U4" s="3182"/>
      <c r="V4" s="3168" t="s">
        <v>2641</v>
      </c>
      <c r="W4" s="3168"/>
      <c r="X4" s="1815"/>
      <c r="Y4" s="3181" t="s">
        <v>2643</v>
      </c>
      <c r="Z4" s="3182"/>
      <c r="AA4" s="3169" t="s">
        <v>2639</v>
      </c>
      <c r="AB4" s="3168" t="s">
        <v>2640</v>
      </c>
      <c r="AC4" s="3169" t="s">
        <v>2641</v>
      </c>
    </row>
    <row r="5" spans="1:29" ht="15">
      <c r="A5" s="404"/>
      <c r="B5" s="405"/>
      <c r="C5" s="3234" t="s">
        <v>2534</v>
      </c>
      <c r="D5" s="3190"/>
      <c r="E5" s="3236" t="s">
        <v>2535</v>
      </c>
      <c r="F5" s="3197"/>
      <c r="G5" s="3234" t="s">
        <v>2536</v>
      </c>
      <c r="H5" s="3190"/>
      <c r="I5" s="3234" t="s">
        <v>2537</v>
      </c>
      <c r="J5" s="3190"/>
      <c r="K5" s="610"/>
      <c r="L5" s="1133"/>
      <c r="M5" s="1134"/>
      <c r="N5" s="1134"/>
      <c r="O5" s="1134"/>
      <c r="P5" s="3177"/>
      <c r="Q5" s="3178"/>
      <c r="R5" s="3183"/>
      <c r="S5" s="3184"/>
      <c r="T5" s="3183"/>
      <c r="U5" s="3184"/>
      <c r="V5" s="3168"/>
      <c r="W5" s="3168"/>
      <c r="X5" s="1815"/>
      <c r="Y5" s="3183"/>
      <c r="Z5" s="3184"/>
      <c r="AA5" s="3170"/>
      <c r="AB5" s="3168"/>
      <c r="AC5" s="3170"/>
    </row>
    <row r="6" spans="1:29" ht="15.75" thickBot="1">
      <c r="A6" s="406"/>
      <c r="B6" s="407"/>
      <c r="C6" s="3206" t="s">
        <v>2538</v>
      </c>
      <c r="D6" s="3188"/>
      <c r="E6" s="3235" t="s">
        <v>2538</v>
      </c>
      <c r="F6" s="3195"/>
      <c r="G6" s="3206" t="s">
        <v>2538</v>
      </c>
      <c r="H6" s="3188"/>
      <c r="I6" s="3206" t="s">
        <v>2538</v>
      </c>
      <c r="J6" s="3188"/>
      <c r="K6" s="610" t="s">
        <v>2539</v>
      </c>
      <c r="L6" s="1133"/>
      <c r="M6" s="1134"/>
      <c r="N6" s="1134"/>
      <c r="O6" s="1134"/>
      <c r="P6" s="3179"/>
      <c r="Q6" s="3180"/>
      <c r="R6" s="3183"/>
      <c r="S6" s="3184"/>
      <c r="T6" s="3185"/>
      <c r="U6" s="3186"/>
      <c r="V6" s="3168"/>
      <c r="W6" s="3168"/>
      <c r="X6" s="1815"/>
      <c r="Y6" s="3185"/>
      <c r="Z6" s="3186"/>
      <c r="AA6" s="3171"/>
      <c r="AB6" s="3168"/>
      <c r="AC6" s="3171"/>
    </row>
    <row r="7" spans="1:29" s="117" customFormat="1" ht="15.75" thickBot="1">
      <c r="A7" s="408" t="s">
        <v>2540</v>
      </c>
      <c r="B7" s="409"/>
      <c r="C7" s="410">
        <f>'数据-取费表'!B2</f>
        <v>43279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1" t="s">
        <v>2541</v>
      </c>
      <c r="Q7" s="3193"/>
      <c r="R7" s="770" t="s">
        <v>17</v>
      </c>
      <c r="S7" s="771">
        <f t="shared" ref="S7:S15" si="0">F7</f>
        <v>0</v>
      </c>
      <c r="T7" s="770" t="s">
        <v>17</v>
      </c>
      <c r="U7" s="771">
        <f t="shared" ref="U7:U15" si="1">H7</f>
        <v>0</v>
      </c>
      <c r="V7" s="770" t="s">
        <v>17</v>
      </c>
      <c r="W7" s="771">
        <f t="shared" ref="W7:W15" si="2">J7</f>
        <v>0</v>
      </c>
      <c r="X7" s="772"/>
      <c r="Y7" s="3191" t="s">
        <v>2541</v>
      </c>
      <c r="Z7" s="3192"/>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1" t="s">
        <v>2544</v>
      </c>
      <c r="Q8" s="3192"/>
      <c r="R8" s="770" t="s">
        <v>17</v>
      </c>
      <c r="S8" s="771">
        <f t="shared" si="0"/>
        <v>0</v>
      </c>
      <c r="T8" s="770" t="s">
        <v>17</v>
      </c>
      <c r="U8" s="771">
        <f t="shared" si="1"/>
        <v>0</v>
      </c>
      <c r="V8" s="770" t="s">
        <v>17</v>
      </c>
      <c r="W8" s="771">
        <f t="shared" si="2"/>
        <v>0</v>
      </c>
      <c r="X8" s="772"/>
      <c r="Y8" s="3191" t="s">
        <v>2544</v>
      </c>
      <c r="Z8" s="3192"/>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1" t="s">
        <v>2547</v>
      </c>
      <c r="Q9" s="1797"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1"/>
      <c r="Q10" s="179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1"/>
      <c r="Q11" s="1797"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1"/>
      <c r="Q12" s="179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1"/>
      <c r="Q13" s="179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1"/>
      <c r="Q14" s="1797">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99.75">
      <c r="A15" s="440" t="s">
        <v>2551</v>
      </c>
      <c r="B15" s="69" t="s">
        <v>2645</v>
      </c>
      <c r="C15" s="2598" t="str">
        <f>估价对象房地状况!C4</f>
        <v>估价对象位于天津市滨海新区响螺湾地区，周边商业氛围成熟度一般，人流量一般，商业繁华度一般。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4" t="s">
        <v>2552</v>
      </c>
      <c r="Q15" s="1812" t="str">
        <f t="shared" si="6"/>
        <v>商业繁华度</v>
      </c>
      <c r="R15" s="774" t="s">
        <v>17</v>
      </c>
      <c r="S15" s="775">
        <f t="shared" si="0"/>
        <v>100</v>
      </c>
      <c r="T15" s="774" t="s">
        <v>17</v>
      </c>
      <c r="U15" s="775">
        <f t="shared" si="1"/>
        <v>100</v>
      </c>
      <c r="V15" s="774" t="s">
        <v>17</v>
      </c>
      <c r="W15" s="775">
        <f t="shared" si="2"/>
        <v>100</v>
      </c>
      <c r="X15" s="1815"/>
      <c r="Y15" s="3164" t="s">
        <v>2552</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05"/>
      <c r="Q16" s="1812"/>
      <c r="R16" s="774"/>
      <c r="S16" s="775"/>
      <c r="T16" s="774"/>
      <c r="U16" s="775"/>
      <c r="V16" s="774"/>
      <c r="W16" s="775"/>
      <c r="X16" s="1815"/>
      <c r="Y16" s="3165"/>
      <c r="Z16" s="1816"/>
      <c r="AA16" s="1813">
        <v>1</v>
      </c>
      <c r="AB16" s="1813">
        <v>1</v>
      </c>
      <c r="AC16" s="1813">
        <v>1</v>
      </c>
    </row>
    <row r="17" spans="1:29" ht="156.75">
      <c r="A17" s="428"/>
      <c r="B17" s="451" t="s">
        <v>2091</v>
      </c>
      <c r="C17" s="2602" t="str">
        <f>估价对象房地状况!C6</f>
        <v>估价对象紧邻城市支路——大新路、安阳道，周边路网密集程度一般、公共交通通达情况一般，有821、529路等公共交通，停车便捷程度一般，综合评价交通便捷度一般。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5"/>
      <c r="Q17" s="1812" t="str">
        <f>B17</f>
        <v>交通便捷度</v>
      </c>
      <c r="R17" s="774" t="s">
        <v>17</v>
      </c>
      <c r="S17" s="775">
        <f>F17</f>
        <v>100</v>
      </c>
      <c r="T17" s="774" t="s">
        <v>17</v>
      </c>
      <c r="U17" s="775">
        <f>H17</f>
        <v>100</v>
      </c>
      <c r="V17" s="774" t="s">
        <v>17</v>
      </c>
      <c r="W17" s="775">
        <f>J17</f>
        <v>100</v>
      </c>
      <c r="X17" s="1815"/>
      <c r="Y17" s="3165"/>
      <c r="Z17" s="1816" t="str">
        <f>Q17</f>
        <v>交通便捷度</v>
      </c>
      <c r="AA17" s="1813">
        <f t="shared" si="3"/>
        <v>1</v>
      </c>
      <c r="AB17" s="1813">
        <f t="shared" si="4"/>
        <v>1</v>
      </c>
      <c r="AC17" s="1813">
        <f t="shared" si="5"/>
        <v>1</v>
      </c>
    </row>
    <row r="18" spans="1:29" ht="15">
      <c r="A18" s="428"/>
      <c r="B18" s="456"/>
      <c r="C18" s="2603"/>
      <c r="D18" s="450"/>
      <c r="E18" s="2605"/>
      <c r="F18" s="453"/>
      <c r="G18" s="2604"/>
      <c r="H18" s="448"/>
      <c r="I18" s="2605"/>
      <c r="J18" s="448"/>
      <c r="K18" s="615"/>
      <c r="L18" s="1143"/>
      <c r="M18" s="1134"/>
      <c r="N18" s="1134"/>
      <c r="O18" s="1134"/>
      <c r="P18" s="3205"/>
      <c r="Q18" s="1812"/>
      <c r="R18" s="774"/>
      <c r="S18" s="775"/>
      <c r="T18" s="774"/>
      <c r="U18" s="775"/>
      <c r="V18" s="774"/>
      <c r="W18" s="775"/>
      <c r="X18" s="1815"/>
      <c r="Y18" s="3165"/>
      <c r="Z18" s="1816"/>
      <c r="AA18" s="1813">
        <v>1</v>
      </c>
      <c r="AB18" s="1813">
        <v>1</v>
      </c>
      <c r="AC18" s="1813">
        <v>1</v>
      </c>
    </row>
    <row r="19" spans="1:29" ht="213.75">
      <c r="A19" s="428"/>
      <c r="B19" s="451" t="s">
        <v>2646</v>
      </c>
      <c r="C19" s="2602"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5"/>
      <c r="Q19" s="1812" t="str">
        <f>B19</f>
        <v>公共配套设施</v>
      </c>
      <c r="R19" s="774" t="s">
        <v>17</v>
      </c>
      <c r="S19" s="775">
        <f>F19</f>
        <v>100</v>
      </c>
      <c r="T19" s="774" t="s">
        <v>17</v>
      </c>
      <c r="U19" s="775">
        <f>H19</f>
        <v>100</v>
      </c>
      <c r="V19" s="774" t="s">
        <v>17</v>
      </c>
      <c r="W19" s="775">
        <f>J19</f>
        <v>100</v>
      </c>
      <c r="X19" s="1815"/>
      <c r="Y19" s="3165"/>
      <c r="Z19" s="1816" t="str">
        <f>Q19</f>
        <v>公共配套设施</v>
      </c>
      <c r="AA19" s="1813">
        <f t="shared" si="3"/>
        <v>1</v>
      </c>
      <c r="AB19" s="1813">
        <f t="shared" si="4"/>
        <v>1</v>
      </c>
      <c r="AC19" s="1813">
        <f t="shared" si="5"/>
        <v>1</v>
      </c>
    </row>
    <row r="20" spans="1:29" ht="15">
      <c r="A20" s="428"/>
      <c r="B20" s="456"/>
      <c r="C20" s="447"/>
      <c r="D20" s="448"/>
      <c r="E20" s="2600"/>
      <c r="F20" s="449"/>
      <c r="G20" s="2599"/>
      <c r="H20" s="448"/>
      <c r="I20" s="2600"/>
      <c r="J20" s="448"/>
      <c r="K20" s="615"/>
      <c r="L20" s="1143"/>
      <c r="M20" s="1134"/>
      <c r="N20" s="1134"/>
      <c r="O20" s="1134"/>
      <c r="P20" s="3205"/>
      <c r="Q20" s="1812"/>
      <c r="R20" s="774"/>
      <c r="S20" s="775"/>
      <c r="T20" s="774"/>
      <c r="U20" s="775"/>
      <c r="V20" s="774"/>
      <c r="W20" s="775"/>
      <c r="X20" s="1815"/>
      <c r="Y20" s="3165"/>
      <c r="Z20" s="1816"/>
      <c r="AA20" s="1813">
        <v>1</v>
      </c>
      <c r="AB20" s="1813">
        <v>1</v>
      </c>
      <c r="AC20" s="1813">
        <v>1</v>
      </c>
    </row>
    <row r="21" spans="1:29" ht="42.75">
      <c r="A21" s="428"/>
      <c r="B21" s="1387" t="s">
        <v>2647</v>
      </c>
      <c r="C21" s="2602"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5"/>
      <c r="Q21" s="1812" t="str">
        <f>B21</f>
        <v>基础设施水平</v>
      </c>
      <c r="R21" s="774" t="s">
        <v>17</v>
      </c>
      <c r="S21" s="775">
        <f>F21</f>
        <v>100</v>
      </c>
      <c r="T21" s="774" t="s">
        <v>17</v>
      </c>
      <c r="U21" s="775">
        <f>H21</f>
        <v>100</v>
      </c>
      <c r="V21" s="774" t="s">
        <v>17</v>
      </c>
      <c r="W21" s="775">
        <f>J21</f>
        <v>100</v>
      </c>
      <c r="X21" s="1815"/>
      <c r="Y21" s="3165"/>
      <c r="Z21" s="1816" t="str">
        <f>Q21</f>
        <v>基础设施水平</v>
      </c>
      <c r="AA21" s="1813">
        <f t="shared" ref="AA21" si="8">D21/F21</f>
        <v>1</v>
      </c>
      <c r="AB21" s="1813">
        <f t="shared" ref="AB21" si="9">D21/H21</f>
        <v>1</v>
      </c>
      <c r="AC21" s="1813">
        <f t="shared" ref="AC21" si="10">D21/J21</f>
        <v>1</v>
      </c>
    </row>
    <row r="22" spans="1:29" ht="15">
      <c r="A22" s="428"/>
      <c r="B22" s="1387"/>
      <c r="C22" s="2603"/>
      <c r="D22" s="448"/>
      <c r="E22" s="447"/>
      <c r="F22" s="449"/>
      <c r="G22" s="447"/>
      <c r="H22" s="448"/>
      <c r="I22" s="447"/>
      <c r="J22" s="448"/>
      <c r="K22" s="1386"/>
      <c r="L22" s="1143"/>
      <c r="M22" s="1134"/>
      <c r="N22" s="1134"/>
      <c r="O22" s="1134"/>
      <c r="P22" s="3205"/>
      <c r="Q22" s="1812"/>
      <c r="R22" s="774"/>
      <c r="S22" s="775"/>
      <c r="T22" s="774"/>
      <c r="U22" s="775"/>
      <c r="V22" s="774"/>
      <c r="W22" s="775"/>
      <c r="X22" s="1815"/>
      <c r="Y22" s="3165"/>
      <c r="Z22" s="1816"/>
      <c r="AA22" s="1813">
        <v>1</v>
      </c>
      <c r="AB22" s="1813">
        <v>1</v>
      </c>
      <c r="AC22" s="1813">
        <v>1</v>
      </c>
    </row>
    <row r="23" spans="1:29" ht="85.5">
      <c r="A23" s="428"/>
      <c r="B23" s="451" t="s">
        <v>2096</v>
      </c>
      <c r="C23" s="2659" t="str">
        <f>估价对象房地状况!C9</f>
        <v>区域自然环境：彩带公园；人文环境：无博物馆、展览馆等人文景观；综合评价环境状况一般。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5"/>
      <c r="Q23" s="1812" t="str">
        <f>B23</f>
        <v>自然及人文环境</v>
      </c>
      <c r="R23" s="774" t="s">
        <v>17</v>
      </c>
      <c r="S23" s="775">
        <f>F23</f>
        <v>100</v>
      </c>
      <c r="T23" s="774" t="s">
        <v>17</v>
      </c>
      <c r="U23" s="775">
        <f>H23</f>
        <v>100</v>
      </c>
      <c r="V23" s="774" t="s">
        <v>17</v>
      </c>
      <c r="W23" s="775">
        <f>J23</f>
        <v>100</v>
      </c>
      <c r="X23" s="1815"/>
      <c r="Y23" s="3165"/>
      <c r="Z23" s="1816" t="str">
        <f>Q23</f>
        <v>自然及人文环境</v>
      </c>
      <c r="AA23" s="1813">
        <f t="shared" si="3"/>
        <v>1</v>
      </c>
      <c r="AB23" s="1813">
        <f t="shared" si="4"/>
        <v>1</v>
      </c>
      <c r="AC23" s="1813">
        <f t="shared" si="5"/>
        <v>1</v>
      </c>
    </row>
    <row r="24" spans="1:29" ht="15">
      <c r="A24" s="428"/>
      <c r="B24" s="456"/>
      <c r="C24" s="447"/>
      <c r="D24" s="448"/>
      <c r="E24" s="2600"/>
      <c r="F24" s="449"/>
      <c r="G24" s="2599"/>
      <c r="H24" s="448"/>
      <c r="I24" s="2600"/>
      <c r="J24" s="448"/>
      <c r="K24" s="615"/>
      <c r="L24" s="1143"/>
      <c r="M24" s="1134"/>
      <c r="N24" s="1134"/>
      <c r="O24" s="1134"/>
      <c r="P24" s="3205"/>
      <c r="Q24" s="1812"/>
      <c r="R24" s="774"/>
      <c r="S24" s="775"/>
      <c r="T24" s="774"/>
      <c r="U24" s="775"/>
      <c r="V24" s="774"/>
      <c r="W24" s="775"/>
      <c r="X24" s="1815"/>
      <c r="Y24" s="3165"/>
      <c r="Z24" s="1816"/>
      <c r="AA24" s="1813">
        <v>1</v>
      </c>
      <c r="AB24" s="1813">
        <v>1</v>
      </c>
      <c r="AC24" s="1813">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5"/>
      <c r="Q25" s="1812" t="str">
        <f t="shared" ref="Q25:Q46" si="11">B25</f>
        <v>临街状况</v>
      </c>
      <c r="R25" s="774" t="s">
        <v>17</v>
      </c>
      <c r="S25" s="775">
        <f>F25</f>
        <v>100</v>
      </c>
      <c r="T25" s="774" t="s">
        <v>17</v>
      </c>
      <c r="U25" s="775">
        <f>H25</f>
        <v>100</v>
      </c>
      <c r="V25" s="774" t="s">
        <v>17</v>
      </c>
      <c r="W25" s="775">
        <f>J25</f>
        <v>100</v>
      </c>
      <c r="X25" s="1815"/>
      <c r="Y25" s="3165"/>
      <c r="Z25" s="1816" t="str">
        <f>Q25</f>
        <v>临街状况</v>
      </c>
      <c r="AA25" s="1813">
        <f t="shared" si="3"/>
        <v>1</v>
      </c>
      <c r="AB25" s="1813">
        <f t="shared" si="4"/>
        <v>1</v>
      </c>
      <c r="AC25" s="1813">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5"/>
      <c r="Q26" s="1812" t="str">
        <f t="shared" si="11"/>
        <v>平面位置/可视性</v>
      </c>
      <c r="R26" s="774" t="s">
        <v>17</v>
      </c>
      <c r="S26" s="775">
        <f>F26</f>
        <v>100</v>
      </c>
      <c r="T26" s="774" t="s">
        <v>17</v>
      </c>
      <c r="U26" s="775">
        <f>H26</f>
        <v>100</v>
      </c>
      <c r="V26" s="774" t="s">
        <v>17</v>
      </c>
      <c r="W26" s="775">
        <f>J26</f>
        <v>100</v>
      </c>
      <c r="X26" s="1815"/>
      <c r="Y26" s="3165"/>
      <c r="Z26" s="1816" t="str">
        <f>Q26</f>
        <v>平面位置/可视性</v>
      </c>
      <c r="AA26" s="1813">
        <f t="shared" si="3"/>
        <v>1</v>
      </c>
      <c r="AB26" s="1813">
        <f t="shared" si="4"/>
        <v>1</v>
      </c>
      <c r="AC26" s="1813">
        <f t="shared" si="5"/>
        <v>1</v>
      </c>
    </row>
    <row r="27" spans="1:29" s="117" customFormat="1" ht="15">
      <c r="A27" s="431"/>
      <c r="B27" s="451" t="s">
        <v>2650</v>
      </c>
      <c r="C27" s="2660"/>
      <c r="D27" s="462">
        <v>100</v>
      </c>
      <c r="E27" s="2660"/>
      <c r="F27" s="464">
        <f>SUMIF(90:90,E27,91:91)-SUMIF(90:90,C27,91:91)+100</f>
        <v>100</v>
      </c>
      <c r="G27" s="2660"/>
      <c r="H27" s="462">
        <f>SUMIF(90:90,G27,91:91)-SUMIF(90:90,C27,91:91)+100</f>
        <v>100</v>
      </c>
      <c r="I27" s="2660"/>
      <c r="J27" s="462">
        <f>SUMIF(90:90,I27,91:91)-SUMIF(90:90,C27,91:91)+100</f>
        <v>100</v>
      </c>
      <c r="K27" s="612"/>
      <c r="L27" s="1135"/>
      <c r="M27" s="1136"/>
      <c r="N27" s="1136"/>
      <c r="O27" s="1136"/>
      <c r="P27" s="3205"/>
      <c r="Q27" s="1797" t="str">
        <f t="shared" si="11"/>
        <v>人流量</v>
      </c>
      <c r="R27" s="770" t="s">
        <v>17</v>
      </c>
      <c r="S27" s="771">
        <f>F27</f>
        <v>100</v>
      </c>
      <c r="T27" s="770" t="s">
        <v>17</v>
      </c>
      <c r="U27" s="771">
        <f>H27</f>
        <v>100</v>
      </c>
      <c r="V27" s="770" t="s">
        <v>17</v>
      </c>
      <c r="W27" s="771">
        <f>J27</f>
        <v>100</v>
      </c>
      <c r="X27" s="772"/>
      <c r="Y27" s="3165"/>
      <c r="Z27" s="55" t="str">
        <f>Q27</f>
        <v>人流量</v>
      </c>
      <c r="AA27" s="1813">
        <f>D27/F27</f>
        <v>1</v>
      </c>
      <c r="AB27" s="1813">
        <f>D27/H27</f>
        <v>1</v>
      </c>
      <c r="AC27" s="1813">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5"/>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65"/>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5"/>
      <c r="Q29" s="1812">
        <f t="shared" si="11"/>
        <v>111</v>
      </c>
      <c r="R29" s="774" t="s">
        <v>17</v>
      </c>
      <c r="S29" s="775">
        <f t="shared" si="12"/>
        <v>100</v>
      </c>
      <c r="T29" s="774" t="s">
        <v>17</v>
      </c>
      <c r="U29" s="775">
        <f t="shared" si="13"/>
        <v>100</v>
      </c>
      <c r="V29" s="774" t="s">
        <v>17</v>
      </c>
      <c r="W29" s="775">
        <f t="shared" si="14"/>
        <v>100</v>
      </c>
      <c r="X29" s="1815"/>
      <c r="Y29" s="3165"/>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5"/>
      <c r="Q30" s="1812">
        <f t="shared" si="11"/>
        <v>111</v>
      </c>
      <c r="R30" s="774" t="s">
        <v>17</v>
      </c>
      <c r="S30" s="775">
        <f t="shared" si="12"/>
        <v>100</v>
      </c>
      <c r="T30" s="774" t="s">
        <v>17</v>
      </c>
      <c r="U30" s="775">
        <f t="shared" si="13"/>
        <v>100</v>
      </c>
      <c r="V30" s="774" t="s">
        <v>17</v>
      </c>
      <c r="W30" s="775">
        <f t="shared" si="14"/>
        <v>100</v>
      </c>
      <c r="X30" s="1815"/>
      <c r="Y30" s="3165"/>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5"/>
      <c r="Q31" s="1812">
        <f t="shared" si="11"/>
        <v>111</v>
      </c>
      <c r="R31" s="774" t="s">
        <v>17</v>
      </c>
      <c r="S31" s="775">
        <f t="shared" si="12"/>
        <v>100</v>
      </c>
      <c r="T31" s="774" t="s">
        <v>17</v>
      </c>
      <c r="U31" s="775">
        <f t="shared" si="13"/>
        <v>100</v>
      </c>
      <c r="V31" s="774" t="s">
        <v>17</v>
      </c>
      <c r="W31" s="775">
        <f t="shared" si="14"/>
        <v>100</v>
      </c>
      <c r="X31" s="1815"/>
      <c r="Y31" s="3165"/>
      <c r="Z31" s="1816">
        <f t="shared" si="15"/>
        <v>111</v>
      </c>
      <c r="AA31" s="1813">
        <f t="shared" si="3"/>
        <v>1</v>
      </c>
      <c r="AB31" s="1813">
        <f t="shared" si="4"/>
        <v>1</v>
      </c>
      <c r="AC31" s="1813">
        <f t="shared" si="5"/>
        <v>1</v>
      </c>
    </row>
    <row r="32" spans="1:29" ht="15">
      <c r="A32" s="440" t="s">
        <v>2555</v>
      </c>
      <c r="B32" s="71" t="s">
        <v>2652</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43"/>
      <c r="M32" s="1134"/>
      <c r="N32" s="1134"/>
      <c r="O32" s="1134"/>
      <c r="P32" s="3200" t="s">
        <v>2557</v>
      </c>
      <c r="Q32" s="1812" t="str">
        <f t="shared" si="11"/>
        <v>商业类型</v>
      </c>
      <c r="R32" s="774" t="s">
        <v>17</v>
      </c>
      <c r="S32" s="775">
        <f t="shared" si="12"/>
        <v>100</v>
      </c>
      <c r="T32" s="774" t="s">
        <v>17</v>
      </c>
      <c r="U32" s="775">
        <f t="shared" si="13"/>
        <v>100</v>
      </c>
      <c r="V32" s="774" t="s">
        <v>17</v>
      </c>
      <c r="W32" s="775">
        <f t="shared" si="14"/>
        <v>100</v>
      </c>
      <c r="X32" s="1815"/>
      <c r="Y32" s="3167" t="s">
        <v>2557</v>
      </c>
      <c r="Z32" s="1816" t="str">
        <f t="shared" si="15"/>
        <v>商业类型</v>
      </c>
      <c r="AA32" s="1813">
        <f t="shared" si="3"/>
        <v>1</v>
      </c>
      <c r="AB32" s="1813">
        <f t="shared" si="4"/>
        <v>1</v>
      </c>
      <c r="AC32" s="1813">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1"/>
      <c r="Q33" s="776" t="str">
        <f t="shared" si="11"/>
        <v>项目建筑规模</v>
      </c>
      <c r="R33" s="777" t="s">
        <v>17</v>
      </c>
      <c r="S33" s="778" t="e">
        <f t="shared" si="12"/>
        <v>#N/A</v>
      </c>
      <c r="T33" s="777" t="s">
        <v>17</v>
      </c>
      <c r="U33" s="778" t="e">
        <f t="shared" si="13"/>
        <v>#N/A</v>
      </c>
      <c r="V33" s="777" t="s">
        <v>17</v>
      </c>
      <c r="W33" s="778" t="e">
        <f t="shared" si="14"/>
        <v>#N/A</v>
      </c>
      <c r="X33" s="779"/>
      <c r="Y33" s="3167"/>
      <c r="Z33" s="780" t="str">
        <f t="shared" si="15"/>
        <v>项目建筑规模</v>
      </c>
      <c r="AA33" s="1813" t="e">
        <f t="shared" si="3"/>
        <v>#N/A</v>
      </c>
      <c r="AB33" s="1813" t="e">
        <f t="shared" si="4"/>
        <v>#N/A</v>
      </c>
      <c r="AC33" s="1813" t="e">
        <f t="shared" si="5"/>
        <v>#N/A</v>
      </c>
    </row>
    <row r="34" spans="1:29" ht="15">
      <c r="A34" s="472"/>
      <c r="B34" s="422" t="s">
        <v>2559</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43"/>
      <c r="M34" s="1134"/>
      <c r="N34" s="1134"/>
      <c r="O34" s="1134"/>
      <c r="P34" s="3201"/>
      <c r="Q34" s="1812" t="str">
        <f t="shared" si="11"/>
        <v>建筑结构</v>
      </c>
      <c r="R34" s="774" t="s">
        <v>17</v>
      </c>
      <c r="S34" s="775">
        <f t="shared" si="12"/>
        <v>100</v>
      </c>
      <c r="T34" s="774" t="s">
        <v>17</v>
      </c>
      <c r="U34" s="775">
        <f t="shared" si="13"/>
        <v>100</v>
      </c>
      <c r="V34" s="774" t="s">
        <v>17</v>
      </c>
      <c r="W34" s="775">
        <f t="shared" si="14"/>
        <v>100</v>
      </c>
      <c r="X34" s="1815"/>
      <c r="Y34" s="3167"/>
      <c r="Z34" s="1816" t="str">
        <f t="shared" si="15"/>
        <v>建筑结构</v>
      </c>
      <c r="AA34" s="1813">
        <f t="shared" si="3"/>
        <v>1</v>
      </c>
      <c r="AB34" s="1813">
        <f t="shared" si="4"/>
        <v>1</v>
      </c>
      <c r="AC34" s="1813">
        <f t="shared" si="5"/>
        <v>1</v>
      </c>
    </row>
    <row r="35" spans="1:29" ht="15">
      <c r="A35" s="472"/>
      <c r="B35" s="422" t="s">
        <v>2653</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43"/>
      <c r="M35" s="1134"/>
      <c r="N35" s="1134"/>
      <c r="O35" s="1134"/>
      <c r="P35" s="3201"/>
      <c r="Q35" s="1812" t="str">
        <f t="shared" si="11"/>
        <v>公共部分装修</v>
      </c>
      <c r="R35" s="774" t="s">
        <v>17</v>
      </c>
      <c r="S35" s="775">
        <f t="shared" si="12"/>
        <v>100</v>
      </c>
      <c r="T35" s="774" t="s">
        <v>17</v>
      </c>
      <c r="U35" s="775">
        <f t="shared" si="13"/>
        <v>100</v>
      </c>
      <c r="V35" s="774" t="s">
        <v>17</v>
      </c>
      <c r="W35" s="775">
        <f t="shared" si="14"/>
        <v>100</v>
      </c>
      <c r="X35" s="1815"/>
      <c r="Y35" s="3167"/>
      <c r="Z35" s="1816" t="str">
        <f t="shared" si="15"/>
        <v>公共部分装修</v>
      </c>
      <c r="AA35" s="1813">
        <f t="shared" si="3"/>
        <v>1</v>
      </c>
      <c r="AB35" s="1813">
        <f t="shared" si="4"/>
        <v>1</v>
      </c>
      <c r="AC35" s="1813">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1"/>
      <c r="Q36" s="1812" t="str">
        <f t="shared" si="11"/>
        <v>成新度</v>
      </c>
      <c r="R36" s="774" t="s">
        <v>17</v>
      </c>
      <c r="S36" s="775" t="e">
        <f t="shared" si="12"/>
        <v>#N/A</v>
      </c>
      <c r="T36" s="774" t="s">
        <v>17</v>
      </c>
      <c r="U36" s="775" t="e">
        <f t="shared" si="13"/>
        <v>#N/A</v>
      </c>
      <c r="V36" s="774" t="s">
        <v>17</v>
      </c>
      <c r="W36" s="775" t="e">
        <f t="shared" si="14"/>
        <v>#N/A</v>
      </c>
      <c r="X36" s="1815"/>
      <c r="Y36" s="3167"/>
      <c r="Z36" s="1816" t="str">
        <f t="shared" si="15"/>
        <v>成新度</v>
      </c>
      <c r="AA36" s="1813" t="e">
        <f t="shared" si="3"/>
        <v>#N/A</v>
      </c>
      <c r="AB36" s="1813" t="e">
        <f t="shared" si="4"/>
        <v>#N/A</v>
      </c>
      <c r="AC36" s="1813" t="e">
        <f t="shared" si="5"/>
        <v>#N/A</v>
      </c>
    </row>
    <row r="37" spans="1:29" s="117" customFormat="1" ht="15">
      <c r="A37" s="473"/>
      <c r="B37" s="422" t="s">
        <v>2655</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5"/>
      <c r="M37" s="1136"/>
      <c r="N37" s="1136"/>
      <c r="O37" s="1136"/>
      <c r="P37" s="3201"/>
      <c r="Q37" s="1797" t="str">
        <f t="shared" si="11"/>
        <v>市政基础设施</v>
      </c>
      <c r="R37" s="770" t="s">
        <v>17</v>
      </c>
      <c r="S37" s="771">
        <f t="shared" si="12"/>
        <v>100</v>
      </c>
      <c r="T37" s="770" t="s">
        <v>17</v>
      </c>
      <c r="U37" s="771">
        <f t="shared" si="13"/>
        <v>100</v>
      </c>
      <c r="V37" s="770" t="s">
        <v>17</v>
      </c>
      <c r="W37" s="771">
        <f t="shared" si="14"/>
        <v>100</v>
      </c>
      <c r="X37" s="772"/>
      <c r="Y37" s="3167"/>
      <c r="Z37" s="55" t="str">
        <f t="shared" si="15"/>
        <v>市政基础设施</v>
      </c>
      <c r="AA37" s="773">
        <f t="shared" si="3"/>
        <v>1</v>
      </c>
      <c r="AB37" s="773">
        <f t="shared" si="4"/>
        <v>1</v>
      </c>
      <c r="AC37" s="773">
        <f t="shared" si="5"/>
        <v>1</v>
      </c>
    </row>
    <row r="38" spans="1:29" ht="15">
      <c r="A38" s="472"/>
      <c r="B38" s="422" t="s">
        <v>2656</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43"/>
      <c r="M38" s="1134"/>
      <c r="N38" s="1134"/>
      <c r="O38" s="1134"/>
      <c r="P38" s="3201" t="s">
        <v>2557</v>
      </c>
      <c r="Q38" s="1812" t="str">
        <f t="shared" si="11"/>
        <v>业态</v>
      </c>
      <c r="R38" s="774" t="s">
        <v>17</v>
      </c>
      <c r="S38" s="775">
        <f t="shared" si="12"/>
        <v>100</v>
      </c>
      <c r="T38" s="774" t="s">
        <v>17</v>
      </c>
      <c r="U38" s="775">
        <f t="shared" si="13"/>
        <v>100</v>
      </c>
      <c r="V38" s="774" t="s">
        <v>17</v>
      </c>
      <c r="W38" s="775">
        <f t="shared" si="14"/>
        <v>100</v>
      </c>
      <c r="X38" s="1815"/>
      <c r="Y38" s="3167" t="s">
        <v>2557</v>
      </c>
      <c r="Z38" s="1816" t="str">
        <f t="shared" si="15"/>
        <v>业态</v>
      </c>
      <c r="AA38" s="1813">
        <f t="shared" si="3"/>
        <v>1</v>
      </c>
      <c r="AB38" s="1813">
        <f t="shared" si="4"/>
        <v>1</v>
      </c>
      <c r="AC38" s="1813">
        <f t="shared" si="5"/>
        <v>1</v>
      </c>
    </row>
    <row r="39" spans="1:29" ht="15">
      <c r="A39" s="472"/>
      <c r="B39" s="422" t="s">
        <v>2657</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43"/>
      <c r="M39" s="1134"/>
      <c r="N39" s="1134"/>
      <c r="O39" s="1134"/>
      <c r="P39" s="3201"/>
      <c r="Q39" s="1812" t="str">
        <f t="shared" si="11"/>
        <v>层高</v>
      </c>
      <c r="R39" s="774" t="s">
        <v>17</v>
      </c>
      <c r="S39" s="775">
        <f t="shared" si="12"/>
        <v>100</v>
      </c>
      <c r="T39" s="774" t="s">
        <v>17</v>
      </c>
      <c r="U39" s="775">
        <f t="shared" si="13"/>
        <v>100</v>
      </c>
      <c r="V39" s="774" t="s">
        <v>17</v>
      </c>
      <c r="W39" s="775">
        <f t="shared" si="14"/>
        <v>100</v>
      </c>
      <c r="X39" s="1815"/>
      <c r="Y39" s="3167"/>
      <c r="Z39" s="1816" t="str">
        <f t="shared" si="15"/>
        <v>层高</v>
      </c>
      <c r="AA39" s="1813">
        <f t="shared" si="3"/>
        <v>1</v>
      </c>
      <c r="AB39" s="1813">
        <f t="shared" si="4"/>
        <v>1</v>
      </c>
      <c r="AC39" s="1813">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1"/>
      <c r="Q40" s="1812" t="str">
        <f t="shared" si="11"/>
        <v>单套建筑面积</v>
      </c>
      <c r="R40" s="774" t="s">
        <v>17</v>
      </c>
      <c r="S40" s="775">
        <f t="shared" si="12"/>
        <v>100</v>
      </c>
      <c r="T40" s="774" t="s">
        <v>17</v>
      </c>
      <c r="U40" s="775">
        <f t="shared" si="13"/>
        <v>100</v>
      </c>
      <c r="V40" s="774" t="s">
        <v>17</v>
      </c>
      <c r="W40" s="775">
        <f t="shared" si="14"/>
        <v>100</v>
      </c>
      <c r="X40" s="1815"/>
      <c r="Y40" s="3167"/>
      <c r="Z40" s="1816" t="str">
        <f t="shared" si="15"/>
        <v>单套建筑面积</v>
      </c>
      <c r="AA40" s="1813">
        <f t="shared" si="3"/>
        <v>1</v>
      </c>
      <c r="AB40" s="1813">
        <f t="shared" si="4"/>
        <v>1</v>
      </c>
      <c r="AC40" s="1813">
        <f t="shared" si="5"/>
        <v>1</v>
      </c>
    </row>
    <row r="41" spans="1:29" s="471" customFormat="1" ht="15">
      <c r="A41" s="468"/>
      <c r="B41" s="1814"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1"/>
      <c r="Q41" s="776" t="str">
        <f t="shared" si="11"/>
        <v>进深比</v>
      </c>
      <c r="R41" s="777" t="s">
        <v>17</v>
      </c>
      <c r="S41" s="778">
        <f t="shared" si="12"/>
        <v>100</v>
      </c>
      <c r="T41" s="777" t="s">
        <v>17</v>
      </c>
      <c r="U41" s="778">
        <f t="shared" si="13"/>
        <v>100</v>
      </c>
      <c r="V41" s="777" t="s">
        <v>17</v>
      </c>
      <c r="W41" s="778">
        <f t="shared" si="14"/>
        <v>100</v>
      </c>
      <c r="X41" s="779"/>
      <c r="Y41" s="3167"/>
      <c r="Z41" s="780" t="str">
        <f t="shared" si="15"/>
        <v>进深比</v>
      </c>
      <c r="AA41" s="1813">
        <f t="shared" si="3"/>
        <v>1</v>
      </c>
      <c r="AB41" s="1813">
        <f t="shared" si="4"/>
        <v>1</v>
      </c>
      <c r="AC41" s="1813">
        <f t="shared" si="5"/>
        <v>1</v>
      </c>
    </row>
    <row r="42" spans="1:29" ht="15">
      <c r="A42" s="472"/>
      <c r="B42" s="422" t="s">
        <v>2660</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43"/>
      <c r="M42" s="1134"/>
      <c r="N42" s="1134"/>
      <c r="O42" s="1134"/>
      <c r="P42" s="3201"/>
      <c r="Q42" s="1812" t="str">
        <f t="shared" si="11"/>
        <v>内部装修</v>
      </c>
      <c r="R42" s="774" t="s">
        <v>17</v>
      </c>
      <c r="S42" s="775">
        <f t="shared" si="12"/>
        <v>100</v>
      </c>
      <c r="T42" s="774" t="s">
        <v>17</v>
      </c>
      <c r="U42" s="775">
        <f t="shared" si="13"/>
        <v>100</v>
      </c>
      <c r="V42" s="774" t="s">
        <v>17</v>
      </c>
      <c r="W42" s="775">
        <f t="shared" si="14"/>
        <v>100</v>
      </c>
      <c r="X42" s="1815"/>
      <c r="Y42" s="3167"/>
      <c r="Z42" s="1816" t="str">
        <f t="shared" si="15"/>
        <v>内部装修</v>
      </c>
      <c r="AA42" s="1813">
        <f t="shared" si="3"/>
        <v>1</v>
      </c>
      <c r="AB42" s="1813">
        <f t="shared" si="4"/>
        <v>1</v>
      </c>
      <c r="AC42" s="1813">
        <f t="shared" si="5"/>
        <v>1</v>
      </c>
    </row>
    <row r="43" spans="1:29" ht="15">
      <c r="A43" s="472"/>
      <c r="B43" s="422" t="s">
        <v>2568</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43"/>
      <c r="M43" s="1134"/>
      <c r="N43" s="1134"/>
      <c r="O43" s="1134"/>
      <c r="P43" s="3201"/>
      <c r="Q43" s="1812" t="str">
        <f t="shared" si="11"/>
        <v>内部装修维护情况</v>
      </c>
      <c r="R43" s="774" t="s">
        <v>17</v>
      </c>
      <c r="S43" s="775">
        <f t="shared" si="12"/>
        <v>100</v>
      </c>
      <c r="T43" s="774" t="s">
        <v>17</v>
      </c>
      <c r="U43" s="775">
        <f t="shared" si="13"/>
        <v>100</v>
      </c>
      <c r="V43" s="774" t="s">
        <v>17</v>
      </c>
      <c r="W43" s="775">
        <f t="shared" si="14"/>
        <v>100</v>
      </c>
      <c r="X43" s="1815"/>
      <c r="Y43" s="3167"/>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1"/>
      <c r="Q44" s="1797">
        <f t="shared" si="11"/>
        <v>111</v>
      </c>
      <c r="R44" s="770" t="s">
        <v>17</v>
      </c>
      <c r="S44" s="771">
        <f t="shared" si="12"/>
        <v>100</v>
      </c>
      <c r="T44" s="770" t="s">
        <v>17</v>
      </c>
      <c r="U44" s="771">
        <f t="shared" si="13"/>
        <v>100</v>
      </c>
      <c r="V44" s="770" t="s">
        <v>17</v>
      </c>
      <c r="W44" s="771">
        <f t="shared" si="14"/>
        <v>100</v>
      </c>
      <c r="X44" s="772"/>
      <c r="Y44" s="316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1"/>
      <c r="Q45" s="1812">
        <f t="shared" si="11"/>
        <v>111</v>
      </c>
      <c r="R45" s="774" t="s">
        <v>17</v>
      </c>
      <c r="S45" s="775">
        <f t="shared" si="12"/>
        <v>100</v>
      </c>
      <c r="T45" s="774" t="s">
        <v>17</v>
      </c>
      <c r="U45" s="775">
        <f t="shared" si="13"/>
        <v>100</v>
      </c>
      <c r="V45" s="774" t="s">
        <v>17</v>
      </c>
      <c r="W45" s="775">
        <f t="shared" si="14"/>
        <v>100</v>
      </c>
      <c r="X45" s="1815"/>
      <c r="Y45" s="3167"/>
      <c r="Z45" s="1816">
        <f t="shared" si="15"/>
        <v>111</v>
      </c>
      <c r="AA45" s="1813">
        <f t="shared" si="3"/>
        <v>1</v>
      </c>
      <c r="AB45" s="1813">
        <f t="shared" si="4"/>
        <v>1</v>
      </c>
      <c r="AC45" s="1813">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2"/>
      <c r="Q46" s="1812">
        <f t="shared" si="11"/>
        <v>111</v>
      </c>
      <c r="R46" s="774" t="s">
        <v>17</v>
      </c>
      <c r="S46" s="775">
        <f t="shared" si="12"/>
        <v>100</v>
      </c>
      <c r="T46" s="774" t="s">
        <v>17</v>
      </c>
      <c r="U46" s="775">
        <f t="shared" si="13"/>
        <v>100</v>
      </c>
      <c r="V46" s="774" t="s">
        <v>17</v>
      </c>
      <c r="W46" s="775">
        <f t="shared" si="14"/>
        <v>100</v>
      </c>
      <c r="X46" s="1815"/>
      <c r="Y46" s="3203"/>
      <c r="Z46" s="1816">
        <f t="shared" si="15"/>
        <v>111</v>
      </c>
      <c r="AA46" s="1813">
        <f t="shared" si="3"/>
        <v>1</v>
      </c>
      <c r="AB46" s="1813">
        <f t="shared" si="4"/>
        <v>1</v>
      </c>
      <c r="AC46" s="1813">
        <f t="shared" si="5"/>
        <v>1</v>
      </c>
    </row>
    <row r="47" spans="1:29" ht="15">
      <c r="A47" s="479" t="s">
        <v>2569</v>
      </c>
      <c r="B47" s="480"/>
      <c r="C47" s="1410" t="s">
        <v>1</v>
      </c>
      <c r="D47" s="1411"/>
      <c r="E47" s="1412"/>
      <c r="F47" s="1413"/>
      <c r="G47" s="1414"/>
      <c r="H47" s="1415"/>
      <c r="I47" s="1412"/>
      <c r="J47" s="1415"/>
      <c r="K47" s="783"/>
      <c r="L47" s="1146"/>
      <c r="M47" s="1147"/>
      <c r="N47" s="1134"/>
      <c r="O47" s="1147"/>
      <c r="P47" s="3162" t="str">
        <f>A47</f>
        <v>成交单价（元/平方米）</v>
      </c>
      <c r="Q47" s="3162"/>
      <c r="R47" s="3168">
        <f>E47</f>
        <v>0</v>
      </c>
      <c r="S47" s="3168"/>
      <c r="T47" s="3168">
        <f>G47</f>
        <v>0</v>
      </c>
      <c r="U47" s="3168"/>
      <c r="V47" s="3168">
        <f>I47</f>
        <v>0</v>
      </c>
      <c r="W47" s="3168"/>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162" t="str">
        <f>A48</f>
        <v>比较价值（元/平方米）</v>
      </c>
      <c r="Q48" s="3162"/>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156" t="str">
        <f>A49</f>
        <v>估价对象XX用房的比较价值（楼面单价，元/平方米）</v>
      </c>
      <c r="Q49" s="3157"/>
      <c r="R49" s="3198" t="e">
        <f>IF(F1="售价",ROUND(AVERAGE(R48:V48),0),ROUND(AVERAGE(R48:V48),1))</f>
        <v>#DIV/0!</v>
      </c>
      <c r="S49" s="3198"/>
      <c r="T49" s="3198"/>
      <c r="U49" s="3198"/>
      <c r="V49" s="3198"/>
      <c r="W49" s="319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62"/>
      <c r="Q57" s="2663"/>
      <c r="R57" s="759"/>
      <c r="S57" s="759"/>
      <c r="T57" s="759"/>
      <c r="U57" s="759"/>
      <c r="V57" s="759"/>
      <c r="W57" s="759"/>
      <c r="X57" s="759"/>
      <c r="Y57" s="759"/>
      <c r="Z57" s="759"/>
      <c r="AA57" s="759"/>
      <c r="AB57" s="759"/>
      <c r="AC57" s="759"/>
    </row>
    <row r="58" spans="1:29" s="508" customFormat="1" ht="15">
      <c r="A58" s="505" t="s">
        <v>2540</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23"/>
    </row>
    <row r="60" spans="1:29" s="117" customFormat="1" ht="15.75" thickBot="1">
      <c r="A60" s="515" t="s">
        <v>2577</v>
      </c>
      <c r="B60" s="516"/>
      <c r="C60" s="517"/>
      <c r="D60" s="518"/>
      <c r="E60" s="518"/>
      <c r="F60" s="518"/>
      <c r="G60" s="518"/>
      <c r="H60" s="518"/>
      <c r="I60" s="518"/>
      <c r="J60" s="518"/>
      <c r="K60" s="518"/>
      <c r="L60" s="518"/>
      <c r="M60" s="519"/>
      <c r="N60" s="518"/>
      <c r="O60" s="519"/>
      <c r="P60" s="2623"/>
      <c r="Q60" s="504"/>
    </row>
    <row r="61" spans="1:29" s="117" customFormat="1" ht="15">
      <c r="A61" s="521" t="s">
        <v>2542</v>
      </c>
      <c r="B61" s="510"/>
      <c r="C61" s="522" t="s">
        <v>2644</v>
      </c>
      <c r="D61" s="523"/>
      <c r="E61" s="523"/>
      <c r="F61" s="523"/>
      <c r="G61" s="523"/>
      <c r="H61" s="523"/>
      <c r="I61" s="523"/>
      <c r="J61" s="523"/>
      <c r="K61" s="523"/>
      <c r="L61" s="524"/>
      <c r="M61" s="525"/>
      <c r="N61" s="1154"/>
      <c r="O61" s="1154"/>
      <c r="P61" s="2624"/>
      <c r="Q61" s="504"/>
    </row>
    <row r="62" spans="1:29" s="117" customFormat="1" ht="15.75" thickBot="1">
      <c r="A62" s="521"/>
      <c r="B62" s="510"/>
      <c r="C62" s="511">
        <v>100</v>
      </c>
      <c r="D62" s="512"/>
      <c r="E62" s="512"/>
      <c r="F62" s="512"/>
      <c r="G62" s="512"/>
      <c r="H62" s="512"/>
      <c r="I62" s="512"/>
      <c r="J62" s="512"/>
      <c r="K62" s="512"/>
      <c r="L62" s="512"/>
      <c r="M62" s="514"/>
      <c r="N62" s="1154"/>
      <c r="O62" s="1154"/>
      <c r="P62" s="2623"/>
      <c r="Q62" s="504"/>
    </row>
    <row r="63" spans="1:29">
      <c r="A63" s="527" t="s">
        <v>2580</v>
      </c>
      <c r="B63" s="528" t="s">
        <v>2546</v>
      </c>
      <c r="C63" s="529">
        <f>C9</f>
        <v>0</v>
      </c>
      <c r="D63" s="530"/>
      <c r="E63" s="530"/>
      <c r="F63" s="530"/>
      <c r="G63" s="530"/>
      <c r="H63" s="530"/>
      <c r="I63" s="530"/>
      <c r="J63" s="530"/>
      <c r="K63" s="531"/>
      <c r="L63" s="532"/>
      <c r="M63" s="533"/>
      <c r="N63" s="1155"/>
      <c r="O63" s="1155"/>
      <c r="P63" s="2625"/>
      <c r="Q63" s="504"/>
    </row>
    <row r="64" spans="1:29" ht="15.75" thickBot="1">
      <c r="A64" s="534"/>
      <c r="B64" s="535"/>
      <c r="C64" s="536">
        <v>100</v>
      </c>
      <c r="D64" s="536"/>
      <c r="E64" s="536"/>
      <c r="F64" s="536"/>
      <c r="G64" s="536"/>
      <c r="H64" s="536"/>
      <c r="I64" s="536"/>
      <c r="J64" s="536"/>
      <c r="K64" s="536"/>
      <c r="L64" s="536"/>
      <c r="M64" s="537"/>
      <c r="N64" s="1156"/>
      <c r="O64" s="1156"/>
      <c r="P64" s="262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5"/>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5"/>
      <c r="Q67" s="504"/>
    </row>
    <row r="68" spans="1:17" ht="15">
      <c r="A68" s="534"/>
      <c r="B68" s="548"/>
      <c r="C68" s="549"/>
      <c r="D68" s="549"/>
      <c r="E68" s="549"/>
      <c r="F68" s="549"/>
      <c r="G68" s="549"/>
      <c r="H68" s="549"/>
      <c r="I68" s="549"/>
      <c r="J68" s="549"/>
      <c r="K68" s="550"/>
      <c r="L68" s="551"/>
      <c r="M68" s="552"/>
      <c r="N68" s="1155"/>
      <c r="O68" s="1155"/>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5"/>
      <c r="Q69" s="504"/>
    </row>
    <row r="70" spans="1:17" s="471" customFormat="1" ht="15.75" thickTop="1">
      <c r="A70" s="553"/>
      <c r="B70" s="538">
        <f>B12</f>
        <v>111</v>
      </c>
      <c r="C70" s="554"/>
      <c r="D70" s="554"/>
      <c r="E70" s="554"/>
      <c r="F70" s="554"/>
      <c r="G70" s="554"/>
      <c r="H70" s="555"/>
      <c r="I70" s="555"/>
      <c r="J70" s="555"/>
      <c r="K70" s="555"/>
      <c r="L70" s="556"/>
      <c r="M70" s="557"/>
      <c r="N70" s="1157"/>
      <c r="O70" s="1157"/>
      <c r="P70" s="2626"/>
      <c r="Q70" s="559"/>
    </row>
    <row r="71" spans="1:17" s="471" customFormat="1" ht="15.75" thickBot="1">
      <c r="A71" s="553"/>
      <c r="B71" s="543"/>
      <c r="C71" s="560"/>
      <c r="D71" s="536"/>
      <c r="E71" s="536"/>
      <c r="F71" s="536"/>
      <c r="G71" s="536"/>
      <c r="H71" s="536"/>
      <c r="I71" s="536"/>
      <c r="J71" s="536"/>
      <c r="K71" s="536"/>
      <c r="L71" s="536"/>
      <c r="M71" s="537"/>
      <c r="N71" s="1156"/>
      <c r="O71" s="1156"/>
      <c r="P71" s="2626"/>
      <c r="Q71" s="559"/>
    </row>
    <row r="72" spans="1:17" s="471" customFormat="1" ht="15.75" thickTop="1">
      <c r="A72" s="553"/>
      <c r="B72" s="538">
        <f>B13</f>
        <v>111</v>
      </c>
      <c r="C72" s="554"/>
      <c r="D72" s="554"/>
      <c r="E72" s="554"/>
      <c r="F72" s="554"/>
      <c r="G72" s="554"/>
      <c r="H72" s="555"/>
      <c r="I72" s="555"/>
      <c r="J72" s="555"/>
      <c r="K72" s="555"/>
      <c r="L72" s="556"/>
      <c r="M72" s="557"/>
      <c r="N72" s="1157"/>
      <c r="O72" s="1157"/>
      <c r="P72" s="2627"/>
      <c r="Q72" s="561"/>
    </row>
    <row r="73" spans="1:17" s="471" customFormat="1" ht="15.75" thickBot="1">
      <c r="A73" s="553"/>
      <c r="B73" s="543"/>
      <c r="C73" s="560"/>
      <c r="D73" s="536"/>
      <c r="E73" s="536"/>
      <c r="F73" s="536"/>
      <c r="G73" s="560"/>
      <c r="H73" s="562"/>
      <c r="I73" s="562"/>
      <c r="J73" s="562"/>
      <c r="K73" s="562"/>
      <c r="L73" s="562"/>
      <c r="M73" s="563"/>
      <c r="N73" s="1157"/>
      <c r="O73" s="1157"/>
      <c r="P73" s="2626"/>
      <c r="Q73" s="559"/>
    </row>
    <row r="74" spans="1:17" s="471" customFormat="1" ht="15.75" thickTop="1">
      <c r="A74" s="553"/>
      <c r="B74" s="546">
        <f>B14</f>
        <v>111</v>
      </c>
      <c r="C74" s="554"/>
      <c r="D74" s="554"/>
      <c r="E74" s="554"/>
      <c r="F74" s="554"/>
      <c r="G74" s="523"/>
      <c r="H74" s="564"/>
      <c r="I74" s="564"/>
      <c r="J74" s="564"/>
      <c r="K74" s="564"/>
      <c r="L74" s="565"/>
      <c r="M74" s="566"/>
      <c r="N74" s="1157"/>
      <c r="O74" s="1157"/>
      <c r="P74" s="2628"/>
      <c r="Q74" s="559"/>
    </row>
    <row r="75" spans="1:17" s="471" customFormat="1" ht="15.75" thickBot="1">
      <c r="A75" s="568"/>
      <c r="B75" s="569"/>
      <c r="C75" s="570"/>
      <c r="D75" s="570"/>
      <c r="E75" s="570"/>
      <c r="F75" s="570"/>
      <c r="G75" s="570"/>
      <c r="H75" s="571"/>
      <c r="I75" s="571"/>
      <c r="J75" s="571"/>
      <c r="K75" s="571"/>
      <c r="L75" s="571"/>
      <c r="M75" s="572"/>
      <c r="N75" s="1157"/>
      <c r="O75" s="1157"/>
      <c r="P75" s="262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5"/>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5"/>
      <c r="Q85" s="504"/>
    </row>
    <row r="86" spans="1:17" s="117" customFormat="1" ht="15.75" thickTop="1">
      <c r="A86" s="579"/>
      <c r="B86" s="538" t="s">
        <v>2672</v>
      </c>
      <c r="C86" s="554"/>
      <c r="D86" s="554"/>
      <c r="E86" s="554"/>
      <c r="F86" s="554"/>
      <c r="G86" s="554"/>
      <c r="H86" s="554"/>
      <c r="I86" s="554"/>
      <c r="J86" s="554"/>
      <c r="K86" s="554"/>
      <c r="L86" s="580"/>
      <c r="M86" s="581"/>
      <c r="N86" s="1154"/>
      <c r="O86" s="1154"/>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4"/>
      <c r="O88" s="1154"/>
      <c r="P88" s="2625"/>
      <c r="Q88" s="504"/>
    </row>
    <row r="89" spans="1:17" s="117" customFormat="1" ht="15.75" thickBot="1">
      <c r="A89" s="579"/>
      <c r="B89" s="543"/>
      <c r="C89" s="560"/>
      <c r="D89" s="536"/>
      <c r="E89" s="536"/>
      <c r="F89" s="536"/>
      <c r="G89" s="536"/>
      <c r="H89" s="536"/>
      <c r="I89" s="536"/>
      <c r="J89" s="536"/>
      <c r="K89" s="536"/>
      <c r="L89" s="536"/>
      <c r="M89" s="536"/>
      <c r="N89" s="1156"/>
      <c r="O89" s="1156"/>
      <c r="P89" s="262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6"/>
      <c r="Q91" s="559"/>
    </row>
    <row r="92" spans="1:17" ht="15.75" thickTop="1">
      <c r="A92" s="534"/>
      <c r="B92" s="538" t="str">
        <f>B28</f>
        <v>楼层</v>
      </c>
      <c r="C92" s="554"/>
      <c r="D92" s="554"/>
      <c r="E92" s="554"/>
      <c r="F92" s="554"/>
      <c r="G92" s="554"/>
      <c r="H92" s="554"/>
      <c r="I92" s="554"/>
      <c r="J92" s="554"/>
      <c r="K92" s="554"/>
      <c r="L92" s="580"/>
      <c r="M92" s="581"/>
      <c r="N92" s="1155"/>
      <c r="O92" s="1155"/>
      <c r="P92" s="2625"/>
      <c r="Q92" s="504"/>
    </row>
    <row r="93" spans="1:17" ht="15.75" thickBot="1">
      <c r="A93" s="534"/>
      <c r="B93" s="543"/>
      <c r="C93" s="536"/>
      <c r="D93" s="536"/>
      <c r="E93" s="536"/>
      <c r="F93" s="536"/>
      <c r="G93" s="536"/>
      <c r="H93" s="536"/>
      <c r="I93" s="536"/>
      <c r="J93" s="536"/>
      <c r="K93" s="536"/>
      <c r="L93" s="536"/>
      <c r="M93" s="537"/>
      <c r="N93" s="1156"/>
      <c r="O93" s="1156"/>
      <c r="P93" s="2625"/>
      <c r="Q93" s="504"/>
    </row>
    <row r="94" spans="1:17" ht="15.75" thickTop="1">
      <c r="A94" s="534"/>
      <c r="B94" s="538">
        <f>B29</f>
        <v>111</v>
      </c>
      <c r="C94" s="554"/>
      <c r="D94" s="554"/>
      <c r="E94" s="554"/>
      <c r="F94" s="554"/>
      <c r="G94" s="583"/>
      <c r="H94" s="583"/>
      <c r="I94" s="583"/>
      <c r="J94" s="583"/>
      <c r="K94" s="584"/>
      <c r="L94" s="585"/>
      <c r="M94" s="586"/>
      <c r="N94" s="1155"/>
      <c r="O94" s="1155"/>
      <c r="P94" s="2625"/>
      <c r="Q94" s="504"/>
    </row>
    <row r="95" spans="1:17" ht="15.75" thickBot="1">
      <c r="A95" s="534"/>
      <c r="B95" s="543"/>
      <c r="C95" s="560"/>
      <c r="D95" s="536"/>
      <c r="E95" s="536"/>
      <c r="F95" s="536"/>
      <c r="G95" s="536"/>
      <c r="H95" s="536"/>
      <c r="I95" s="536"/>
      <c r="J95" s="536"/>
      <c r="K95" s="536"/>
      <c r="L95" s="536"/>
      <c r="M95" s="537"/>
      <c r="N95" s="1156"/>
      <c r="O95" s="1156"/>
      <c r="P95" s="2625"/>
      <c r="Q95" s="504"/>
    </row>
    <row r="96" spans="1:17" ht="15.75" thickTop="1">
      <c r="A96" s="534"/>
      <c r="B96" s="538">
        <f>B30</f>
        <v>111</v>
      </c>
      <c r="C96" s="554"/>
      <c r="D96" s="554"/>
      <c r="E96" s="554"/>
      <c r="F96" s="554"/>
      <c r="G96" s="583"/>
      <c r="H96" s="583"/>
      <c r="I96" s="583"/>
      <c r="J96" s="583"/>
      <c r="K96" s="584"/>
      <c r="L96" s="585"/>
      <c r="M96" s="586"/>
      <c r="N96" s="1155"/>
      <c r="O96" s="1155"/>
      <c r="P96" s="2625"/>
      <c r="Q96" s="504"/>
    </row>
    <row r="97" spans="1:17" ht="15.75" thickBot="1">
      <c r="A97" s="534"/>
      <c r="B97" s="543"/>
      <c r="C97" s="560"/>
      <c r="D97" s="536"/>
      <c r="E97" s="536"/>
      <c r="F97" s="536"/>
      <c r="G97" s="536"/>
      <c r="H97" s="536"/>
      <c r="I97" s="536"/>
      <c r="J97" s="536"/>
      <c r="K97" s="536"/>
      <c r="L97" s="536"/>
      <c r="M97" s="537"/>
      <c r="N97" s="1156"/>
      <c r="O97" s="1156"/>
      <c r="P97" s="2625"/>
      <c r="Q97" s="504"/>
    </row>
    <row r="98" spans="1:17" ht="15.75" thickTop="1">
      <c r="A98" s="534"/>
      <c r="B98" s="546">
        <f>B31</f>
        <v>111</v>
      </c>
      <c r="C98" s="554"/>
      <c r="D98" s="554"/>
      <c r="E98" s="554"/>
      <c r="F98" s="554"/>
      <c r="G98" s="587"/>
      <c r="H98" s="587"/>
      <c r="I98" s="587"/>
      <c r="J98" s="587"/>
      <c r="K98" s="588"/>
      <c r="L98" s="589"/>
      <c r="M98" s="590"/>
      <c r="N98" s="1155"/>
      <c r="O98" s="1155"/>
      <c r="P98" s="2625"/>
      <c r="Q98" s="504"/>
    </row>
    <row r="99" spans="1:17" ht="15.75" thickBot="1">
      <c r="A99" s="2631"/>
      <c r="B99" s="569"/>
      <c r="C99" s="570"/>
      <c r="D99" s="570"/>
      <c r="E99" s="570"/>
      <c r="F99" s="570"/>
      <c r="G99" s="591"/>
      <c r="H99" s="591"/>
      <c r="I99" s="591"/>
      <c r="J99" s="591"/>
      <c r="K99" s="591"/>
      <c r="L99" s="591"/>
      <c r="M99" s="592"/>
      <c r="N99" s="1156"/>
      <c r="O99" s="1156"/>
      <c r="P99" s="2625"/>
      <c r="Q99" s="504"/>
    </row>
    <row r="100" spans="1:17">
      <c r="A100" s="527" t="s">
        <v>2555</v>
      </c>
      <c r="B100" s="528" t="s">
        <v>2673</v>
      </c>
      <c r="C100" s="530"/>
      <c r="D100" s="530"/>
      <c r="E100" s="530"/>
      <c r="F100" s="530"/>
      <c r="G100" s="530"/>
      <c r="H100" s="530"/>
      <c r="I100" s="530"/>
      <c r="J100" s="530"/>
      <c r="K100" s="531"/>
      <c r="L100" s="532"/>
      <c r="M100" s="533"/>
      <c r="N100" s="1155"/>
      <c r="O100" s="1155"/>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5"/>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5"/>
      <c r="Q102" s="504"/>
    </row>
    <row r="103" spans="1:17" s="471" customFormat="1">
      <c r="A103" s="593"/>
      <c r="B103" s="594"/>
      <c r="C103" s="595"/>
      <c r="D103" s="595"/>
      <c r="E103" s="595"/>
      <c r="F103" s="595"/>
      <c r="G103" s="595"/>
      <c r="H103" s="595"/>
      <c r="I103" s="595"/>
      <c r="J103" s="596"/>
      <c r="K103" s="596"/>
      <c r="L103" s="597"/>
      <c r="M103" s="598"/>
      <c r="N103" s="1157"/>
      <c r="O103" s="1157"/>
      <c r="P103" s="262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6"/>
      <c r="Q104" s="559"/>
    </row>
    <row r="105" spans="1:17" ht="15" thickTop="1">
      <c r="A105" s="599"/>
      <c r="B105" s="538" t="s">
        <v>2606</v>
      </c>
      <c r="C105" s="554"/>
      <c r="D105" s="554"/>
      <c r="E105" s="583"/>
      <c r="F105" s="583"/>
      <c r="G105" s="583"/>
      <c r="H105" s="583"/>
      <c r="I105" s="583"/>
      <c r="J105" s="583"/>
      <c r="K105" s="584"/>
      <c r="L105" s="585"/>
      <c r="M105" s="586"/>
      <c r="N105" s="1155"/>
      <c r="O105" s="1155"/>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5"/>
      <c r="Q106" s="504"/>
    </row>
    <row r="107" spans="1:17" ht="15" thickTop="1">
      <c r="A107" s="599"/>
      <c r="B107" s="538" t="s">
        <v>2608</v>
      </c>
      <c r="C107" s="554"/>
      <c r="D107" s="554"/>
      <c r="E107" s="554"/>
      <c r="F107" s="583"/>
      <c r="G107" s="583"/>
      <c r="H107" s="583"/>
      <c r="I107" s="583"/>
      <c r="J107" s="583"/>
      <c r="K107" s="584"/>
      <c r="L107" s="585"/>
      <c r="M107" s="586"/>
      <c r="N107" s="1155"/>
      <c r="O107" s="1155"/>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5"/>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6"/>
      <c r="Q113" s="559"/>
    </row>
    <row r="114" spans="1:17" ht="15" thickTop="1">
      <c r="A114" s="599"/>
      <c r="B114" s="538" t="s">
        <v>2674</v>
      </c>
      <c r="C114" s="554"/>
      <c r="D114" s="554"/>
      <c r="E114" s="583"/>
      <c r="F114" s="583"/>
      <c r="G114" s="583"/>
      <c r="H114" s="583"/>
      <c r="I114" s="583"/>
      <c r="J114" s="583"/>
      <c r="K114" s="584"/>
      <c r="L114" s="585"/>
      <c r="M114" s="586"/>
      <c r="N114" s="1155"/>
      <c r="O114" s="1155"/>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5"/>
      <c r="Q115" s="504"/>
    </row>
    <row r="116" spans="1:17" ht="15" thickTop="1">
      <c r="A116" s="599"/>
      <c r="B116" s="538" t="s">
        <v>2675</v>
      </c>
      <c r="C116" s="554"/>
      <c r="D116" s="554"/>
      <c r="E116" s="554"/>
      <c r="F116" s="554"/>
      <c r="G116" s="554"/>
      <c r="H116" s="583"/>
      <c r="I116" s="583"/>
      <c r="J116" s="583"/>
      <c r="K116" s="584"/>
      <c r="L116" s="585"/>
      <c r="M116" s="586"/>
      <c r="N116" s="1155"/>
      <c r="O116" s="1155"/>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5"/>
      <c r="Q117" s="504"/>
    </row>
    <row r="118" spans="1:17" ht="15" thickTop="1">
      <c r="A118" s="599"/>
      <c r="B118" s="538" t="s">
        <v>2676</v>
      </c>
      <c r="C118" s="627"/>
      <c r="D118" s="627"/>
      <c r="E118" s="627"/>
      <c r="F118" s="627"/>
      <c r="G118" s="627"/>
      <c r="H118" s="555"/>
      <c r="I118" s="555"/>
      <c r="J118" s="555"/>
      <c r="K118" s="555"/>
      <c r="L118" s="556"/>
      <c r="M118" s="557"/>
      <c r="N118" s="1155"/>
      <c r="O118" s="1155"/>
      <c r="P118" s="2625"/>
      <c r="Q118" s="504"/>
    </row>
    <row r="119" spans="1:17" ht="15.75" thickBot="1">
      <c r="A119" s="534"/>
      <c r="B119" s="543"/>
      <c r="C119" s="560"/>
      <c r="D119" s="536"/>
      <c r="E119" s="536"/>
      <c r="F119" s="536"/>
      <c r="G119" s="536"/>
      <c r="H119" s="536"/>
      <c r="I119" s="536"/>
      <c r="J119" s="536"/>
      <c r="K119" s="536"/>
      <c r="L119" s="536"/>
      <c r="M119" s="537"/>
      <c r="N119" s="1156"/>
      <c r="O119" s="1156"/>
      <c r="P119" s="2625"/>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6"/>
      <c r="Q121" s="559"/>
    </row>
    <row r="122" spans="1:17" ht="15" thickTop="1">
      <c r="A122" s="599"/>
      <c r="B122" s="538" t="s">
        <v>2612</v>
      </c>
      <c r="C122" s="554"/>
      <c r="D122" s="554"/>
      <c r="E122" s="554"/>
      <c r="F122" s="583"/>
      <c r="G122" s="583"/>
      <c r="H122" s="583"/>
      <c r="I122" s="583"/>
      <c r="J122" s="583"/>
      <c r="K122" s="584"/>
      <c r="L122" s="585"/>
      <c r="M122" s="586"/>
      <c r="N122" s="1155"/>
      <c r="O122" s="1155"/>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6"/>
      <c r="Q127" s="559"/>
    </row>
    <row r="128" spans="1:17" ht="15" thickTop="1">
      <c r="A128" s="599"/>
      <c r="B128" s="538">
        <f>B45</f>
        <v>111</v>
      </c>
      <c r="C128" s="554"/>
      <c r="D128" s="554"/>
      <c r="E128" s="554"/>
      <c r="F128" s="554"/>
      <c r="G128" s="583"/>
      <c r="H128" s="583"/>
      <c r="I128" s="583"/>
      <c r="J128" s="583"/>
      <c r="K128" s="584"/>
      <c r="L128" s="585"/>
      <c r="M128" s="586"/>
      <c r="N128" s="1155"/>
      <c r="O128" s="1155"/>
      <c r="P128" s="2625"/>
      <c r="Q128" s="504"/>
    </row>
    <row r="129" spans="1:17" ht="15.75" thickBot="1">
      <c r="A129" s="534"/>
      <c r="B129" s="543"/>
      <c r="C129" s="560"/>
      <c r="D129" s="536"/>
      <c r="E129" s="536"/>
      <c r="F129" s="536"/>
      <c r="G129" s="536"/>
      <c r="H129" s="536"/>
      <c r="I129" s="536"/>
      <c r="J129" s="536"/>
      <c r="K129" s="536"/>
      <c r="L129" s="536"/>
      <c r="M129" s="537"/>
      <c r="N129" s="1156"/>
      <c r="O129" s="1156"/>
      <c r="P129" s="2625"/>
      <c r="Q129" s="504"/>
    </row>
    <row r="130" spans="1:17" ht="15" thickTop="1">
      <c r="A130" s="599"/>
      <c r="B130" s="546">
        <f>B46</f>
        <v>111</v>
      </c>
      <c r="C130" s="554"/>
      <c r="D130" s="554"/>
      <c r="E130" s="554"/>
      <c r="F130" s="554"/>
      <c r="G130" s="587"/>
      <c r="H130" s="587"/>
      <c r="I130" s="587"/>
      <c r="J130" s="587"/>
      <c r="K130" s="523"/>
      <c r="L130" s="524"/>
      <c r="M130" s="590"/>
      <c r="N130" s="1155"/>
      <c r="O130" s="1155"/>
      <c r="P130" s="2625"/>
      <c r="Q130" s="504"/>
    </row>
    <row r="131" spans="1:17" ht="15.75" thickBot="1">
      <c r="A131" s="2631"/>
      <c r="B131" s="569"/>
      <c r="C131" s="570"/>
      <c r="D131" s="570"/>
      <c r="E131" s="570"/>
      <c r="F131" s="570"/>
      <c r="G131" s="591"/>
      <c r="H131" s="591"/>
      <c r="I131" s="591"/>
      <c r="J131" s="591"/>
      <c r="K131" s="591"/>
      <c r="L131" s="591"/>
      <c r="M131" s="592"/>
      <c r="N131" s="1156"/>
      <c r="O131" s="1156"/>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64" t="s">
        <v>2678</v>
      </c>
      <c r="C1" s="1622" t="s">
        <v>2522</v>
      </c>
      <c r="D1" s="1623"/>
      <c r="E1" s="1632"/>
      <c r="F1" s="258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2322</v>
      </c>
      <c r="B2" s="1421" t="e">
        <f ca="1">IF(C2="——",ROUND(C50*D3/10000,0),ROUND(C50*D3/10000,0)-D2)</f>
        <v>#DIV/0!</v>
      </c>
      <c r="C2" s="2582"/>
      <c r="D2" s="1368" t="e">
        <f ca="1">SUMIF(INDIRECT("'"&amp;F2&amp;"'"&amp;"!A:A"),"承租人权益价值",INDIRECT("'"&amp;F2&amp;"'"&amp;"!c:c"))</f>
        <v>#REF!</v>
      </c>
      <c r="E2" s="2583" t="s">
        <v>2323</v>
      </c>
      <c r="F2" s="258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2636</v>
      </c>
      <c r="D3" s="399">
        <f>IF(D1="",'数据-汇总表'!E3,SUMIF('数据-汇总表'!$C19:$C33,D1,'数据-汇总表'!$E19:$E33))</f>
        <v>67341.78</v>
      </c>
      <c r="E3" s="265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159" t="s">
        <v>2638</v>
      </c>
      <c r="D4" s="3172"/>
      <c r="E4" s="3173" t="s">
        <v>2639</v>
      </c>
      <c r="F4" s="3174"/>
      <c r="G4" s="3159" t="s">
        <v>2640</v>
      </c>
      <c r="H4" s="3172"/>
      <c r="I4" s="3159" t="s">
        <v>2641</v>
      </c>
      <c r="J4" s="3172"/>
      <c r="K4" s="610" t="s">
        <v>2642</v>
      </c>
      <c r="L4" s="1133"/>
      <c r="M4" s="1134"/>
      <c r="N4" s="1134"/>
      <c r="O4" s="1134"/>
      <c r="P4" s="3243" t="s">
        <v>2643</v>
      </c>
      <c r="Q4" s="3244"/>
      <c r="R4" s="3247" t="s">
        <v>2639</v>
      </c>
      <c r="S4" s="3248"/>
      <c r="T4" s="3247" t="s">
        <v>2640</v>
      </c>
      <c r="U4" s="3248"/>
      <c r="V4" s="3249" t="s">
        <v>2641</v>
      </c>
      <c r="W4" s="3249"/>
      <c r="X4" s="2665"/>
      <c r="Y4" s="3247" t="s">
        <v>2643</v>
      </c>
      <c r="Z4" s="3248"/>
      <c r="AA4" s="3251" t="s">
        <v>2639</v>
      </c>
      <c r="AB4" s="3251" t="s">
        <v>2640</v>
      </c>
      <c r="AC4" s="3240" t="s">
        <v>2641</v>
      </c>
    </row>
    <row r="5" spans="1:29" ht="15">
      <c r="A5" s="404"/>
      <c r="B5" s="405"/>
      <c r="C5" s="3234" t="s">
        <v>2534</v>
      </c>
      <c r="D5" s="3190"/>
      <c r="E5" s="3236" t="s">
        <v>2535</v>
      </c>
      <c r="F5" s="3197"/>
      <c r="G5" s="3234" t="s">
        <v>2536</v>
      </c>
      <c r="H5" s="3190"/>
      <c r="I5" s="3234" t="s">
        <v>2537</v>
      </c>
      <c r="J5" s="3190"/>
      <c r="K5" s="610"/>
      <c r="L5" s="1133"/>
      <c r="M5" s="1134"/>
      <c r="N5" s="1134"/>
      <c r="O5" s="1134"/>
      <c r="P5" s="3245"/>
      <c r="Q5" s="3178"/>
      <c r="R5" s="3183"/>
      <c r="S5" s="3184"/>
      <c r="T5" s="3183"/>
      <c r="U5" s="3184"/>
      <c r="V5" s="3168"/>
      <c r="W5" s="3168"/>
      <c r="X5" s="1815"/>
      <c r="Y5" s="3183"/>
      <c r="Z5" s="3184"/>
      <c r="AA5" s="3170"/>
      <c r="AB5" s="3170"/>
      <c r="AC5" s="3241"/>
    </row>
    <row r="6" spans="1:29" ht="15.75" thickBot="1">
      <c r="A6" s="406"/>
      <c r="B6" s="407"/>
      <c r="C6" s="3206" t="s">
        <v>2538</v>
      </c>
      <c r="D6" s="3188"/>
      <c r="E6" s="3235" t="s">
        <v>2538</v>
      </c>
      <c r="F6" s="3195"/>
      <c r="G6" s="3206" t="s">
        <v>2538</v>
      </c>
      <c r="H6" s="3188"/>
      <c r="I6" s="3206" t="s">
        <v>2538</v>
      </c>
      <c r="J6" s="3188"/>
      <c r="K6" s="610" t="s">
        <v>2539</v>
      </c>
      <c r="L6" s="1133"/>
      <c r="M6" s="1134"/>
      <c r="N6" s="1134"/>
      <c r="O6" s="1134"/>
      <c r="P6" s="3246"/>
      <c r="Q6" s="3180"/>
      <c r="R6" s="3183"/>
      <c r="S6" s="3184"/>
      <c r="T6" s="3185"/>
      <c r="U6" s="3186"/>
      <c r="V6" s="3168"/>
      <c r="W6" s="3168"/>
      <c r="X6" s="1815"/>
      <c r="Y6" s="3185"/>
      <c r="Z6" s="3186"/>
      <c r="AA6" s="3171"/>
      <c r="AB6" s="3171"/>
      <c r="AC6" s="3242"/>
    </row>
    <row r="7" spans="1:29" s="117" customFormat="1" ht="15.75" thickBot="1">
      <c r="A7" s="408" t="s">
        <v>2540</v>
      </c>
      <c r="B7" s="409"/>
      <c r="C7" s="410">
        <f>'数据-取费表'!B2</f>
        <v>43279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0" t="s">
        <v>2541</v>
      </c>
      <c r="Q7" s="3193"/>
      <c r="R7" s="770" t="s">
        <v>17</v>
      </c>
      <c r="S7" s="771">
        <f t="shared" ref="S7:S15" si="0">F7</f>
        <v>0</v>
      </c>
      <c r="T7" s="770" t="s">
        <v>17</v>
      </c>
      <c r="U7" s="771">
        <f t="shared" ref="U7:U15" si="1">H7</f>
        <v>0</v>
      </c>
      <c r="V7" s="770" t="s">
        <v>17</v>
      </c>
      <c r="W7" s="771">
        <f t="shared" ref="W7:W15" si="2">J7</f>
        <v>0</v>
      </c>
      <c r="X7" s="772"/>
      <c r="Y7" s="3191" t="s">
        <v>2541</v>
      </c>
      <c r="Z7" s="3192"/>
      <c r="AA7" s="773" t="e">
        <f>D7/F7</f>
        <v>#DIV/0!</v>
      </c>
      <c r="AB7" s="773" t="e">
        <f>D7/H7</f>
        <v>#DIV/0!</v>
      </c>
      <c r="AC7" s="2666"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0" t="s">
        <v>2544</v>
      </c>
      <c r="Q8" s="3192"/>
      <c r="R8" s="770" t="s">
        <v>17</v>
      </c>
      <c r="S8" s="771">
        <f t="shared" si="0"/>
        <v>0</v>
      </c>
      <c r="T8" s="770" t="s">
        <v>17</v>
      </c>
      <c r="U8" s="771">
        <f t="shared" si="1"/>
        <v>0</v>
      </c>
      <c r="V8" s="770" t="s">
        <v>17</v>
      </c>
      <c r="W8" s="771">
        <f t="shared" si="2"/>
        <v>0</v>
      </c>
      <c r="X8" s="772"/>
      <c r="Y8" s="3191" t="s">
        <v>2544</v>
      </c>
      <c r="Z8" s="3192"/>
      <c r="AA8" s="773" t="e">
        <f t="shared" ref="AA8:AA47" si="3">D8/F8</f>
        <v>#DIV/0!</v>
      </c>
      <c r="AB8" s="773" t="e">
        <f t="shared" ref="AB8:AB47" si="4">D8/H8</f>
        <v>#DIV/0!</v>
      </c>
      <c r="AC8" s="2666"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1" t="s">
        <v>2547</v>
      </c>
      <c r="Q9" s="1797"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2666">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1"/>
      <c r="Q10" s="179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2666">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1"/>
      <c r="Q11" s="1797"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5"/>
      <c r="M12" s="1136"/>
      <c r="N12" s="1136"/>
      <c r="O12" s="1136"/>
      <c r="P12" s="3161"/>
      <c r="Q12" s="179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3"/>
      <c r="M13" s="1134"/>
      <c r="N13" s="1134"/>
      <c r="O13" s="1134"/>
      <c r="P13" s="3161"/>
      <c r="Q13" s="179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3"/>
      <c r="M14" s="1134"/>
      <c r="N14" s="1134"/>
      <c r="O14" s="1134"/>
      <c r="P14" s="3161"/>
      <c r="Q14" s="1797">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2666">
        <f t="shared" si="5"/>
        <v>1</v>
      </c>
    </row>
    <row r="15" spans="1:29" ht="15">
      <c r="A15" s="440" t="s">
        <v>2551</v>
      </c>
      <c r="B15" s="629" t="s">
        <v>2679</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4" t="s">
        <v>2552</v>
      </c>
      <c r="Q15" s="1812" t="str">
        <f t="shared" si="6"/>
        <v>办公集聚程度</v>
      </c>
      <c r="R15" s="774" t="s">
        <v>17</v>
      </c>
      <c r="S15" s="775">
        <f t="shared" si="0"/>
        <v>100</v>
      </c>
      <c r="T15" s="774" t="s">
        <v>17</v>
      </c>
      <c r="U15" s="775">
        <f t="shared" si="1"/>
        <v>100</v>
      </c>
      <c r="V15" s="774" t="s">
        <v>17</v>
      </c>
      <c r="W15" s="775">
        <f t="shared" si="2"/>
        <v>100</v>
      </c>
      <c r="X15" s="1815"/>
      <c r="Y15" s="3164" t="s">
        <v>2552</v>
      </c>
      <c r="Z15" s="1816" t="str">
        <f t="shared" si="7"/>
        <v>办公集聚程度</v>
      </c>
      <c r="AA15" s="1813">
        <f t="shared" si="3"/>
        <v>1</v>
      </c>
      <c r="AB15" s="1813">
        <f t="shared" si="4"/>
        <v>1</v>
      </c>
      <c r="AC15" s="2669">
        <f t="shared" si="5"/>
        <v>1</v>
      </c>
    </row>
    <row r="16" spans="1:29" ht="15">
      <c r="A16" s="428"/>
      <c r="B16" s="630"/>
      <c r="C16" s="2606"/>
      <c r="D16" s="448"/>
      <c r="E16" s="447"/>
      <c r="F16" s="448"/>
      <c r="G16" s="2606"/>
      <c r="H16" s="450"/>
      <c r="I16" s="447"/>
      <c r="J16" s="448"/>
      <c r="K16" s="615"/>
      <c r="L16" s="1143"/>
      <c r="M16" s="1134"/>
      <c r="N16" s="1134"/>
      <c r="O16" s="1134"/>
      <c r="P16" s="3205"/>
      <c r="Q16" s="1812"/>
      <c r="R16" s="774"/>
      <c r="S16" s="775"/>
      <c r="T16" s="774"/>
      <c r="U16" s="775"/>
      <c r="V16" s="774"/>
      <c r="W16" s="775"/>
      <c r="X16" s="1815"/>
      <c r="Y16" s="3165"/>
      <c r="Z16" s="1816"/>
      <c r="AA16" s="1813">
        <v>1</v>
      </c>
      <c r="AB16" s="1813">
        <v>1</v>
      </c>
      <c r="AC16" s="2669">
        <v>1</v>
      </c>
    </row>
    <row r="17" spans="1:29" ht="142.5">
      <c r="A17" s="428"/>
      <c r="B17" s="631" t="s">
        <v>2091</v>
      </c>
      <c r="C17" s="2670" t="str">
        <f>估价对象房地状况!C6</f>
        <v>估价对象紧邻城市支路——大新路、安阳道，周边路网密集程度一般、公共交通通达情况一般，有821、529路等公共交通，停车便捷程度一般，综合评价交通便捷度一般。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5"/>
      <c r="Q17" s="1812" t="str">
        <f>B17</f>
        <v>交通便捷度</v>
      </c>
      <c r="R17" s="774" t="s">
        <v>17</v>
      </c>
      <c r="S17" s="775">
        <f>F17</f>
        <v>100</v>
      </c>
      <c r="T17" s="774" t="s">
        <v>17</v>
      </c>
      <c r="U17" s="775">
        <f>H17</f>
        <v>100</v>
      </c>
      <c r="V17" s="774" t="s">
        <v>17</v>
      </c>
      <c r="W17" s="775">
        <f>J17</f>
        <v>100</v>
      </c>
      <c r="X17" s="1815"/>
      <c r="Y17" s="3165"/>
      <c r="Z17" s="1816" t="str">
        <f>Q17</f>
        <v>交通便捷度</v>
      </c>
      <c r="AA17" s="1813">
        <f t="shared" si="3"/>
        <v>1</v>
      </c>
      <c r="AB17" s="1813">
        <f t="shared" si="4"/>
        <v>1</v>
      </c>
      <c r="AC17" s="2669">
        <f t="shared" si="5"/>
        <v>1</v>
      </c>
    </row>
    <row r="18" spans="1:29" ht="15">
      <c r="A18" s="428"/>
      <c r="B18" s="632"/>
      <c r="C18" s="2671"/>
      <c r="D18" s="450"/>
      <c r="E18" s="2604"/>
      <c r="F18" s="450"/>
      <c r="G18" s="2605"/>
      <c r="H18" s="448"/>
      <c r="I18" s="2605"/>
      <c r="J18" s="448"/>
      <c r="K18" s="615"/>
      <c r="L18" s="1143"/>
      <c r="M18" s="1134"/>
      <c r="N18" s="1134"/>
      <c r="O18" s="1134"/>
      <c r="P18" s="3205"/>
      <c r="Q18" s="1812"/>
      <c r="R18" s="774"/>
      <c r="S18" s="775"/>
      <c r="T18" s="774"/>
      <c r="U18" s="775"/>
      <c r="V18" s="774"/>
      <c r="W18" s="775"/>
      <c r="X18" s="1815"/>
      <c r="Y18" s="3165"/>
      <c r="Z18" s="1816"/>
      <c r="AA18" s="1813">
        <v>1</v>
      </c>
      <c r="AB18" s="1813">
        <v>1</v>
      </c>
      <c r="AC18" s="2669">
        <v>1</v>
      </c>
    </row>
    <row r="19" spans="1:29" ht="185.25">
      <c r="A19" s="428"/>
      <c r="B19" s="631" t="s">
        <v>2680</v>
      </c>
      <c r="C19" s="2670"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5"/>
      <c r="Q19" s="1812" t="str">
        <f>B19</f>
        <v>公共配套设施</v>
      </c>
      <c r="R19" s="774" t="s">
        <v>17</v>
      </c>
      <c r="S19" s="775">
        <f>F19</f>
        <v>100</v>
      </c>
      <c r="T19" s="774" t="s">
        <v>17</v>
      </c>
      <c r="U19" s="775">
        <f>H19</f>
        <v>100</v>
      </c>
      <c r="V19" s="774" t="s">
        <v>17</v>
      </c>
      <c r="W19" s="775">
        <f>J19</f>
        <v>100</v>
      </c>
      <c r="X19" s="1815"/>
      <c r="Y19" s="3165"/>
      <c r="Z19" s="1816" t="str">
        <f>Q19</f>
        <v>公共配套设施</v>
      </c>
      <c r="AA19" s="1813">
        <f t="shared" si="3"/>
        <v>1</v>
      </c>
      <c r="AB19" s="1813">
        <f t="shared" si="4"/>
        <v>1</v>
      </c>
      <c r="AC19" s="2669">
        <f t="shared" si="5"/>
        <v>1</v>
      </c>
    </row>
    <row r="20" spans="1:29" ht="15">
      <c r="A20" s="428"/>
      <c r="B20" s="632"/>
      <c r="C20" s="2606"/>
      <c r="D20" s="448"/>
      <c r="E20" s="2599"/>
      <c r="F20" s="448"/>
      <c r="G20" s="2600"/>
      <c r="H20" s="448"/>
      <c r="I20" s="2600"/>
      <c r="J20" s="448"/>
      <c r="K20" s="615"/>
      <c r="L20" s="1143"/>
      <c r="M20" s="1134"/>
      <c r="N20" s="1134"/>
      <c r="O20" s="1134"/>
      <c r="P20" s="3205"/>
      <c r="Q20" s="1812"/>
      <c r="R20" s="774"/>
      <c r="S20" s="775"/>
      <c r="T20" s="774"/>
      <c r="U20" s="775"/>
      <c r="V20" s="774"/>
      <c r="W20" s="775"/>
      <c r="X20" s="1815"/>
      <c r="Y20" s="3165"/>
      <c r="Z20" s="1816"/>
      <c r="AA20" s="1813">
        <v>1</v>
      </c>
      <c r="AB20" s="1813">
        <v>1</v>
      </c>
      <c r="AC20" s="2669">
        <v>1</v>
      </c>
    </row>
    <row r="21" spans="1:29" ht="42.75">
      <c r="A21" s="428"/>
      <c r="B21" s="633" t="s">
        <v>2681</v>
      </c>
      <c r="C21" s="2670"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5"/>
      <c r="Q21" s="1812" t="str">
        <f>B21</f>
        <v>基础设施水平</v>
      </c>
      <c r="R21" s="774" t="s">
        <v>17</v>
      </c>
      <c r="S21" s="775">
        <f>F21</f>
        <v>100</v>
      </c>
      <c r="T21" s="774" t="s">
        <v>17</v>
      </c>
      <c r="U21" s="775">
        <f>H21</f>
        <v>100</v>
      </c>
      <c r="V21" s="774" t="s">
        <v>17</v>
      </c>
      <c r="W21" s="775">
        <f>J21</f>
        <v>100</v>
      </c>
      <c r="X21" s="1815"/>
      <c r="Y21" s="3165"/>
      <c r="Z21" s="1816" t="str">
        <f>Q21</f>
        <v>基础设施水平</v>
      </c>
      <c r="AA21" s="1813">
        <f t="shared" ref="AA21" si="8">D21/F21</f>
        <v>1</v>
      </c>
      <c r="AB21" s="1813">
        <f t="shared" ref="AB21" si="9">D21/H21</f>
        <v>1</v>
      </c>
      <c r="AC21" s="2669">
        <f t="shared" ref="AC21" si="10">D21/J21</f>
        <v>1</v>
      </c>
    </row>
    <row r="22" spans="1:29" ht="15">
      <c r="A22" s="428"/>
      <c r="B22" s="633"/>
      <c r="C22" s="2671"/>
      <c r="D22" s="448"/>
      <c r="E22" s="447"/>
      <c r="F22" s="448"/>
      <c r="G22" s="2606"/>
      <c r="H22" s="448"/>
      <c r="I22" s="2606"/>
      <c r="J22" s="448"/>
      <c r="K22" s="1386"/>
      <c r="L22" s="1143"/>
      <c r="M22" s="1134"/>
      <c r="N22" s="1134"/>
      <c r="O22" s="1134"/>
      <c r="P22" s="3205"/>
      <c r="Q22" s="1812"/>
      <c r="R22" s="774"/>
      <c r="S22" s="775"/>
      <c r="T22" s="774"/>
      <c r="U22" s="775"/>
      <c r="V22" s="774"/>
      <c r="W22" s="775"/>
      <c r="X22" s="1815"/>
      <c r="Y22" s="3165"/>
      <c r="Z22" s="1816"/>
      <c r="AA22" s="1813">
        <v>1</v>
      </c>
      <c r="AB22" s="1813">
        <v>1</v>
      </c>
      <c r="AC22" s="2669">
        <v>1</v>
      </c>
    </row>
    <row r="23" spans="1:29" ht="85.5">
      <c r="A23" s="428"/>
      <c r="B23" s="631" t="s">
        <v>2682</v>
      </c>
      <c r="C23" s="2670" t="str">
        <f>估价对象房地状况!C9</f>
        <v>区域自然环境：彩带公园；人文环境：无博物馆、展览馆等人文景观；综合评价环境状况一般。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5"/>
      <c r="Q23" s="1812" t="str">
        <f>B23</f>
        <v>环境质量</v>
      </c>
      <c r="R23" s="774" t="s">
        <v>17</v>
      </c>
      <c r="S23" s="775">
        <f>F23</f>
        <v>100</v>
      </c>
      <c r="T23" s="774" t="s">
        <v>17</v>
      </c>
      <c r="U23" s="775">
        <f>H23</f>
        <v>100</v>
      </c>
      <c r="V23" s="774" t="s">
        <v>17</v>
      </c>
      <c r="W23" s="775">
        <f>J23</f>
        <v>100</v>
      </c>
      <c r="X23" s="1815"/>
      <c r="Y23" s="3165"/>
      <c r="Z23" s="1816" t="str">
        <f>Q23</f>
        <v>环境质量</v>
      </c>
      <c r="AA23" s="1813">
        <f t="shared" si="3"/>
        <v>1</v>
      </c>
      <c r="AB23" s="1813">
        <f t="shared" si="4"/>
        <v>1</v>
      </c>
      <c r="AC23" s="2669">
        <f t="shared" si="5"/>
        <v>1</v>
      </c>
    </row>
    <row r="24" spans="1:29" ht="15">
      <c r="A24" s="428"/>
      <c r="B24" s="633"/>
      <c r="C24" s="2606"/>
      <c r="D24" s="448"/>
      <c r="E24" s="2599"/>
      <c r="F24" s="448"/>
      <c r="G24" s="2600"/>
      <c r="H24" s="448"/>
      <c r="I24" s="2600"/>
      <c r="J24" s="448"/>
      <c r="K24" s="615"/>
      <c r="L24" s="1143"/>
      <c r="M24" s="1134"/>
      <c r="N24" s="1134"/>
      <c r="O24" s="1134"/>
      <c r="P24" s="3205"/>
      <c r="Q24" s="1812"/>
      <c r="R24" s="774"/>
      <c r="S24" s="775"/>
      <c r="T24" s="774"/>
      <c r="U24" s="775"/>
      <c r="V24" s="774"/>
      <c r="W24" s="775"/>
      <c r="X24" s="1815"/>
      <c r="Y24" s="3165"/>
      <c r="Z24" s="1816"/>
      <c r="AA24" s="1813">
        <v>1</v>
      </c>
      <c r="AB24" s="1813">
        <v>1</v>
      </c>
      <c r="AC24" s="2669">
        <v>1</v>
      </c>
    </row>
    <row r="25" spans="1:29" ht="27">
      <c r="A25" s="404"/>
      <c r="B25" s="631" t="s">
        <v>2683</v>
      </c>
      <c r="C25" s="2610"/>
      <c r="D25" s="435">
        <v>100</v>
      </c>
      <c r="E25" s="434"/>
      <c r="F25" s="435">
        <f>SUMIF(87:87,E26,88:88)-SUMIF(87:87,C26,88:88)+100</f>
        <v>100</v>
      </c>
      <c r="G25" s="2610"/>
      <c r="H25" s="435">
        <f>SUMIF(87:87,G26,88:88)-SUMIF(87:87,C26,88:88)+100</f>
        <v>100</v>
      </c>
      <c r="I25" s="434"/>
      <c r="J25" s="435">
        <f>SUMIF(87:87,I26,88:88)-SUMIF(87:87,C26,88:88)+100</f>
        <v>100</v>
      </c>
      <c r="K25" s="614"/>
      <c r="L25" s="1143"/>
      <c r="M25" s="1134"/>
      <c r="N25" s="1134"/>
      <c r="O25" s="1134"/>
      <c r="P25" s="3205"/>
      <c r="Q25" s="1812" t="str">
        <f>B25</f>
        <v>毗邻道路的类型与等级</v>
      </c>
      <c r="R25" s="774" t="s">
        <v>17</v>
      </c>
      <c r="S25" s="775">
        <f>F25</f>
        <v>100</v>
      </c>
      <c r="T25" s="774" t="s">
        <v>17</v>
      </c>
      <c r="U25" s="775">
        <f>H25</f>
        <v>100</v>
      </c>
      <c r="V25" s="774" t="s">
        <v>17</v>
      </c>
      <c r="W25" s="775">
        <f>J25</f>
        <v>100</v>
      </c>
      <c r="X25" s="1815"/>
      <c r="Y25" s="3165"/>
      <c r="Z25" s="1816" t="str">
        <f>Q25</f>
        <v>毗邻道路的类型与等级</v>
      </c>
      <c r="AA25" s="1813">
        <f t="shared" si="3"/>
        <v>1</v>
      </c>
      <c r="AB25" s="1813">
        <f t="shared" si="4"/>
        <v>1</v>
      </c>
      <c r="AC25" s="2669">
        <f t="shared" si="5"/>
        <v>1</v>
      </c>
    </row>
    <row r="26" spans="1:29" ht="15">
      <c r="A26" s="404"/>
      <c r="B26" s="632"/>
      <c r="C26" s="634"/>
      <c r="D26" s="435"/>
      <c r="E26" s="616"/>
      <c r="F26" s="435"/>
      <c r="G26" s="634"/>
      <c r="H26" s="435"/>
      <c r="I26" s="616"/>
      <c r="J26" s="435"/>
      <c r="K26" s="615"/>
      <c r="L26" s="1143"/>
      <c r="M26" s="1134"/>
      <c r="N26" s="1134"/>
      <c r="O26" s="1134"/>
      <c r="P26" s="3205"/>
      <c r="Q26" s="1812"/>
      <c r="R26" s="774"/>
      <c r="S26" s="775"/>
      <c r="T26" s="774"/>
      <c r="U26" s="775"/>
      <c r="V26" s="774"/>
      <c r="W26" s="775"/>
      <c r="X26" s="1815"/>
      <c r="Y26" s="3165"/>
      <c r="Z26" s="1816"/>
      <c r="AA26" s="1813">
        <v>1</v>
      </c>
      <c r="AB26" s="1813">
        <v>1</v>
      </c>
      <c r="AC26" s="2669">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5"/>
      <c r="Q27" s="1812" t="str">
        <f t="shared" ref="Q27:Q47" si="11">B27</f>
        <v>楼层</v>
      </c>
      <c r="R27" s="774" t="s">
        <v>17</v>
      </c>
      <c r="S27" s="775">
        <f>F27</f>
        <v>100</v>
      </c>
      <c r="T27" s="774" t="s">
        <v>17</v>
      </c>
      <c r="U27" s="775">
        <f>H27</f>
        <v>100</v>
      </c>
      <c r="V27" s="774" t="s">
        <v>17</v>
      </c>
      <c r="W27" s="775">
        <f>J27</f>
        <v>100</v>
      </c>
      <c r="X27" s="1815"/>
      <c r="Y27" s="3165"/>
      <c r="Z27" s="1816" t="str">
        <f>Q27</f>
        <v>楼层</v>
      </c>
      <c r="AA27" s="1813">
        <f t="shared" si="3"/>
        <v>1</v>
      </c>
      <c r="AB27" s="1813">
        <f t="shared" si="4"/>
        <v>1</v>
      </c>
      <c r="AC27" s="2669">
        <f t="shared" si="5"/>
        <v>1</v>
      </c>
    </row>
    <row r="28" spans="1:29" s="117" customFormat="1" ht="15">
      <c r="A28" s="431"/>
      <c r="B28" s="631" t="s">
        <v>2684</v>
      </c>
      <c r="C28" s="2672"/>
      <c r="D28" s="462">
        <v>100</v>
      </c>
      <c r="E28" s="2660"/>
      <c r="F28" s="462">
        <f>SUMIF(91:91,E28,92:92)-SUMIF(91:91,C28,92:92)+100</f>
        <v>100</v>
      </c>
      <c r="G28" s="2672"/>
      <c r="H28" s="462">
        <f>SUMIF(91:91,G28,92:92)-SUMIF(91:91,C28,92:92)+100</f>
        <v>100</v>
      </c>
      <c r="I28" s="2660"/>
      <c r="J28" s="462">
        <f>SUMIF(91:91,I28,92:92)-SUMIF(91:91,C28,92:92)+100</f>
        <v>100</v>
      </c>
      <c r="K28" s="612"/>
      <c r="L28" s="1135"/>
      <c r="M28" s="1136"/>
      <c r="N28" s="1136"/>
      <c r="O28" s="1136"/>
      <c r="P28" s="3205"/>
      <c r="Q28" s="1797" t="str">
        <f t="shared" si="11"/>
        <v>朝向</v>
      </c>
      <c r="R28" s="770" t="s">
        <v>17</v>
      </c>
      <c r="S28" s="771">
        <f>F28</f>
        <v>100</v>
      </c>
      <c r="T28" s="770" t="s">
        <v>17</v>
      </c>
      <c r="U28" s="771">
        <f>H28</f>
        <v>100</v>
      </c>
      <c r="V28" s="770" t="s">
        <v>17</v>
      </c>
      <c r="W28" s="771">
        <f>J28</f>
        <v>100</v>
      </c>
      <c r="X28" s="772"/>
      <c r="Y28" s="3165"/>
      <c r="Z28" s="55" t="str">
        <f>Q28</f>
        <v>朝向</v>
      </c>
      <c r="AA28" s="1813">
        <f>D28/F28</f>
        <v>1</v>
      </c>
      <c r="AB28" s="1813">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3"/>
      <c r="M29" s="1134"/>
      <c r="N29" s="1134"/>
      <c r="O29" s="1134"/>
      <c r="P29" s="3205"/>
      <c r="Q29" s="1812">
        <f t="shared" si="11"/>
        <v>111</v>
      </c>
      <c r="R29" s="774" t="s">
        <v>17</v>
      </c>
      <c r="S29" s="775">
        <f t="shared" ref="S29:S47" si="12">F29</f>
        <v>100</v>
      </c>
      <c r="T29" s="774" t="s">
        <v>17</v>
      </c>
      <c r="U29" s="775">
        <f t="shared" ref="U29:U47" si="13">H29</f>
        <v>100</v>
      </c>
      <c r="V29" s="774" t="s">
        <v>17</v>
      </c>
      <c r="W29" s="775">
        <f t="shared" ref="W29:W47" si="14">J29</f>
        <v>100</v>
      </c>
      <c r="X29" s="1815"/>
      <c r="Y29" s="3165"/>
      <c r="Z29" s="1816">
        <f t="shared" ref="Z29:Z47" si="15">Q29</f>
        <v>111</v>
      </c>
      <c r="AA29" s="1813">
        <f t="shared" si="3"/>
        <v>1</v>
      </c>
      <c r="AB29" s="1813">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3"/>
      <c r="M30" s="1134"/>
      <c r="N30" s="1134"/>
      <c r="O30" s="1134"/>
      <c r="P30" s="3205"/>
      <c r="Q30" s="1812">
        <f t="shared" si="11"/>
        <v>111</v>
      </c>
      <c r="R30" s="774" t="s">
        <v>17</v>
      </c>
      <c r="S30" s="775">
        <f t="shared" si="12"/>
        <v>100</v>
      </c>
      <c r="T30" s="774" t="s">
        <v>17</v>
      </c>
      <c r="U30" s="775">
        <f t="shared" si="13"/>
        <v>100</v>
      </c>
      <c r="V30" s="774" t="s">
        <v>17</v>
      </c>
      <c r="W30" s="775">
        <f t="shared" si="14"/>
        <v>100</v>
      </c>
      <c r="X30" s="1815"/>
      <c r="Y30" s="3165"/>
      <c r="Z30" s="1816">
        <f t="shared" si="15"/>
        <v>111</v>
      </c>
      <c r="AA30" s="1813">
        <f t="shared" si="3"/>
        <v>1</v>
      </c>
      <c r="AB30" s="1813">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3"/>
      <c r="M31" s="1134"/>
      <c r="N31" s="1134"/>
      <c r="O31" s="1134"/>
      <c r="P31" s="3205"/>
      <c r="Q31" s="1812">
        <f t="shared" si="11"/>
        <v>111</v>
      </c>
      <c r="R31" s="774" t="s">
        <v>17</v>
      </c>
      <c r="S31" s="775">
        <f t="shared" si="12"/>
        <v>100</v>
      </c>
      <c r="T31" s="774" t="s">
        <v>17</v>
      </c>
      <c r="U31" s="775">
        <f t="shared" si="13"/>
        <v>100</v>
      </c>
      <c r="V31" s="774" t="s">
        <v>17</v>
      </c>
      <c r="W31" s="775">
        <f t="shared" si="14"/>
        <v>100</v>
      </c>
      <c r="X31" s="1815"/>
      <c r="Y31" s="3165"/>
      <c r="Z31" s="1816">
        <f t="shared" si="15"/>
        <v>111</v>
      </c>
      <c r="AA31" s="1813">
        <f t="shared" si="3"/>
        <v>1</v>
      </c>
      <c r="AB31" s="1813">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3"/>
      <c r="M32" s="1134"/>
      <c r="N32" s="1134"/>
      <c r="O32" s="1134"/>
      <c r="P32" s="3205"/>
      <c r="Q32" s="1812">
        <f t="shared" si="11"/>
        <v>111</v>
      </c>
      <c r="R32" s="774" t="s">
        <v>17</v>
      </c>
      <c r="S32" s="775">
        <f t="shared" si="12"/>
        <v>100</v>
      </c>
      <c r="T32" s="774" t="s">
        <v>17</v>
      </c>
      <c r="U32" s="775">
        <f t="shared" si="13"/>
        <v>100</v>
      </c>
      <c r="V32" s="774" t="s">
        <v>17</v>
      </c>
      <c r="W32" s="775">
        <f t="shared" si="14"/>
        <v>100</v>
      </c>
      <c r="X32" s="1815"/>
      <c r="Y32" s="3165"/>
      <c r="Z32" s="1816">
        <f t="shared" si="15"/>
        <v>111</v>
      </c>
      <c r="AA32" s="1813">
        <f t="shared" si="3"/>
        <v>1</v>
      </c>
      <c r="AB32" s="1813">
        <f t="shared" si="4"/>
        <v>1</v>
      </c>
      <c r="AC32" s="2669">
        <f t="shared" si="5"/>
        <v>1</v>
      </c>
    </row>
    <row r="33" spans="1:29" ht="15">
      <c r="A33" s="440" t="s">
        <v>2555</v>
      </c>
      <c r="B33" s="71" t="s">
        <v>2685</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3"/>
      <c r="M33" s="1134"/>
      <c r="N33" s="1134"/>
      <c r="O33" s="1134"/>
      <c r="P33" s="3200" t="s">
        <v>2557</v>
      </c>
      <c r="Q33" s="1812" t="str">
        <f t="shared" si="11"/>
        <v>建筑类型</v>
      </c>
      <c r="R33" s="774" t="s">
        <v>17</v>
      </c>
      <c r="S33" s="775">
        <f t="shared" si="12"/>
        <v>100</v>
      </c>
      <c r="T33" s="774" t="s">
        <v>17</v>
      </c>
      <c r="U33" s="775">
        <f t="shared" si="13"/>
        <v>100</v>
      </c>
      <c r="V33" s="774" t="s">
        <v>17</v>
      </c>
      <c r="W33" s="775">
        <f t="shared" si="14"/>
        <v>100</v>
      </c>
      <c r="X33" s="1815"/>
      <c r="Y33" s="3167" t="s">
        <v>2557</v>
      </c>
      <c r="Z33" s="1816" t="str">
        <f t="shared" si="15"/>
        <v>建筑类型</v>
      </c>
      <c r="AA33" s="1813">
        <f t="shared" si="3"/>
        <v>1</v>
      </c>
      <c r="AB33" s="1813">
        <f t="shared" si="4"/>
        <v>1</v>
      </c>
      <c r="AC33" s="2669">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1"/>
      <c r="Q34" s="776" t="str">
        <f t="shared" si="11"/>
        <v>项目建筑规模</v>
      </c>
      <c r="R34" s="777" t="s">
        <v>17</v>
      </c>
      <c r="S34" s="778" t="e">
        <f t="shared" si="12"/>
        <v>#N/A</v>
      </c>
      <c r="T34" s="777" t="s">
        <v>17</v>
      </c>
      <c r="U34" s="778" t="e">
        <f t="shared" si="13"/>
        <v>#N/A</v>
      </c>
      <c r="V34" s="777" t="s">
        <v>17</v>
      </c>
      <c r="W34" s="778" t="e">
        <f t="shared" si="14"/>
        <v>#N/A</v>
      </c>
      <c r="X34" s="779"/>
      <c r="Y34" s="3167"/>
      <c r="Z34" s="780" t="str">
        <f t="shared" si="15"/>
        <v>项目建筑规模</v>
      </c>
      <c r="AA34" s="1813" t="e">
        <f t="shared" si="3"/>
        <v>#N/A</v>
      </c>
      <c r="AB34" s="1813" t="e">
        <f t="shared" si="4"/>
        <v>#N/A</v>
      </c>
      <c r="AC34" s="2669"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1"/>
      <c r="Q35" s="1812" t="str">
        <f t="shared" si="11"/>
        <v>建筑结构</v>
      </c>
      <c r="R35" s="774" t="s">
        <v>17</v>
      </c>
      <c r="S35" s="775">
        <f t="shared" si="12"/>
        <v>100</v>
      </c>
      <c r="T35" s="774" t="s">
        <v>17</v>
      </c>
      <c r="U35" s="775">
        <f t="shared" si="13"/>
        <v>100</v>
      </c>
      <c r="V35" s="774" t="s">
        <v>17</v>
      </c>
      <c r="W35" s="775">
        <f t="shared" si="14"/>
        <v>100</v>
      </c>
      <c r="X35" s="1815"/>
      <c r="Y35" s="3167"/>
      <c r="Z35" s="1816" t="str">
        <f t="shared" si="15"/>
        <v>建筑结构</v>
      </c>
      <c r="AA35" s="1813">
        <f t="shared" si="3"/>
        <v>1</v>
      </c>
      <c r="AB35" s="1813">
        <f t="shared" si="4"/>
        <v>1</v>
      </c>
      <c r="AC35" s="2669">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1"/>
      <c r="Q36" s="1812" t="str">
        <f t="shared" si="11"/>
        <v>公共部分装修</v>
      </c>
      <c r="R36" s="774" t="s">
        <v>17</v>
      </c>
      <c r="S36" s="775">
        <f t="shared" si="12"/>
        <v>100</v>
      </c>
      <c r="T36" s="774" t="s">
        <v>17</v>
      </c>
      <c r="U36" s="775">
        <f t="shared" si="13"/>
        <v>100</v>
      </c>
      <c r="V36" s="774" t="s">
        <v>17</v>
      </c>
      <c r="W36" s="775">
        <f t="shared" si="14"/>
        <v>100</v>
      </c>
      <c r="X36" s="1815"/>
      <c r="Y36" s="3167"/>
      <c r="Z36" s="1816" t="str">
        <f t="shared" si="15"/>
        <v>公共部分装修</v>
      </c>
      <c r="AA36" s="1813">
        <f t="shared" si="3"/>
        <v>1</v>
      </c>
      <c r="AB36" s="1813">
        <f t="shared" si="4"/>
        <v>1</v>
      </c>
      <c r="AC36" s="2669">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1"/>
      <c r="Q37" s="1812" t="str">
        <f t="shared" si="11"/>
        <v>成新度</v>
      </c>
      <c r="R37" s="774" t="s">
        <v>17</v>
      </c>
      <c r="S37" s="775" t="e">
        <f t="shared" si="12"/>
        <v>#N/A</v>
      </c>
      <c r="T37" s="774" t="s">
        <v>17</v>
      </c>
      <c r="U37" s="775" t="e">
        <f t="shared" si="13"/>
        <v>#N/A</v>
      </c>
      <c r="V37" s="774" t="s">
        <v>17</v>
      </c>
      <c r="W37" s="775" t="e">
        <f t="shared" si="14"/>
        <v>#N/A</v>
      </c>
      <c r="X37" s="1815"/>
      <c r="Y37" s="3167"/>
      <c r="Z37" s="1816" t="str">
        <f t="shared" si="15"/>
        <v>成新度</v>
      </c>
      <c r="AA37" s="1813" t="e">
        <f t="shared" si="3"/>
        <v>#N/A</v>
      </c>
      <c r="AB37" s="1813" t="e">
        <f t="shared" si="4"/>
        <v>#N/A</v>
      </c>
      <c r="AC37" s="2669"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1"/>
      <c r="Q38" s="1797" t="str">
        <f t="shared" si="11"/>
        <v>写字楼等级</v>
      </c>
      <c r="R38" s="770" t="s">
        <v>17</v>
      </c>
      <c r="S38" s="771">
        <f t="shared" si="12"/>
        <v>100</v>
      </c>
      <c r="T38" s="770" t="s">
        <v>17</v>
      </c>
      <c r="U38" s="771">
        <f t="shared" si="13"/>
        <v>100</v>
      </c>
      <c r="V38" s="770" t="s">
        <v>17</v>
      </c>
      <c r="W38" s="771">
        <f t="shared" si="14"/>
        <v>100</v>
      </c>
      <c r="X38" s="772"/>
      <c r="Y38" s="3167"/>
      <c r="Z38" s="55" t="str">
        <f t="shared" si="15"/>
        <v>写字楼等级</v>
      </c>
      <c r="AA38" s="773">
        <f t="shared" si="3"/>
        <v>1</v>
      </c>
      <c r="AB38" s="773">
        <f t="shared" si="4"/>
        <v>1</v>
      </c>
      <c r="AC38" s="2666">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1" t="s">
        <v>2557</v>
      </c>
      <c r="Q39" s="1812" t="str">
        <f t="shared" si="11"/>
        <v>物业管理</v>
      </c>
      <c r="R39" s="774" t="s">
        <v>17</v>
      </c>
      <c r="S39" s="775">
        <f t="shared" si="12"/>
        <v>100</v>
      </c>
      <c r="T39" s="774" t="s">
        <v>17</v>
      </c>
      <c r="U39" s="775">
        <f t="shared" si="13"/>
        <v>100</v>
      </c>
      <c r="V39" s="774" t="s">
        <v>17</v>
      </c>
      <c r="W39" s="775">
        <f t="shared" si="14"/>
        <v>100</v>
      </c>
      <c r="X39" s="1815"/>
      <c r="Y39" s="3167" t="s">
        <v>2557</v>
      </c>
      <c r="Z39" s="1816" t="str">
        <f t="shared" si="15"/>
        <v>物业管理</v>
      </c>
      <c r="AA39" s="1813">
        <f t="shared" si="3"/>
        <v>1</v>
      </c>
      <c r="AB39" s="1813">
        <f t="shared" si="4"/>
        <v>1</v>
      </c>
      <c r="AC39" s="2669">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1"/>
      <c r="Q40" s="1812" t="str">
        <f t="shared" si="11"/>
        <v>市政基础设施</v>
      </c>
      <c r="R40" s="774" t="s">
        <v>17</v>
      </c>
      <c r="S40" s="775">
        <f t="shared" si="12"/>
        <v>100</v>
      </c>
      <c r="T40" s="774" t="s">
        <v>17</v>
      </c>
      <c r="U40" s="775">
        <f t="shared" si="13"/>
        <v>100</v>
      </c>
      <c r="V40" s="774" t="s">
        <v>17</v>
      </c>
      <c r="W40" s="775">
        <f t="shared" si="14"/>
        <v>100</v>
      </c>
      <c r="X40" s="1815"/>
      <c r="Y40" s="3167"/>
      <c r="Z40" s="1816" t="str">
        <f t="shared" si="15"/>
        <v>市政基础设施</v>
      </c>
      <c r="AA40" s="1813">
        <f t="shared" si="3"/>
        <v>1</v>
      </c>
      <c r="AB40" s="1813">
        <f t="shared" si="4"/>
        <v>1</v>
      </c>
      <c r="AC40" s="2669">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1"/>
      <c r="Q41" s="1812" t="str">
        <f t="shared" si="11"/>
        <v>层高</v>
      </c>
      <c r="R41" s="774" t="s">
        <v>17</v>
      </c>
      <c r="S41" s="775">
        <f t="shared" si="12"/>
        <v>100</v>
      </c>
      <c r="T41" s="774" t="s">
        <v>17</v>
      </c>
      <c r="U41" s="775">
        <f t="shared" si="13"/>
        <v>100</v>
      </c>
      <c r="V41" s="774" t="s">
        <v>17</v>
      </c>
      <c r="W41" s="775">
        <f t="shared" si="14"/>
        <v>100</v>
      </c>
      <c r="X41" s="1815"/>
      <c r="Y41" s="3167"/>
      <c r="Z41" s="1816" t="str">
        <f t="shared" si="15"/>
        <v>层高</v>
      </c>
      <c r="AA41" s="1813">
        <f t="shared" si="3"/>
        <v>1</v>
      </c>
      <c r="AB41" s="1813">
        <f t="shared" si="4"/>
        <v>1</v>
      </c>
      <c r="AC41" s="2669">
        <f t="shared" si="5"/>
        <v>1</v>
      </c>
    </row>
    <row r="42" spans="1:29" s="471" customFormat="1" ht="15">
      <c r="A42" s="468"/>
      <c r="B42" s="1814"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1"/>
      <c r="Q42" s="776" t="str">
        <f t="shared" si="11"/>
        <v>单套建筑面积</v>
      </c>
      <c r="R42" s="777" t="s">
        <v>17</v>
      </c>
      <c r="S42" s="778">
        <f t="shared" si="12"/>
        <v>100</v>
      </c>
      <c r="T42" s="777" t="s">
        <v>17</v>
      </c>
      <c r="U42" s="778">
        <f t="shared" si="13"/>
        <v>100</v>
      </c>
      <c r="V42" s="777" t="s">
        <v>17</v>
      </c>
      <c r="W42" s="778">
        <f t="shared" si="14"/>
        <v>100</v>
      </c>
      <c r="X42" s="779"/>
      <c r="Y42" s="3167"/>
      <c r="Z42" s="780" t="str">
        <f t="shared" si="15"/>
        <v>单套建筑面积</v>
      </c>
      <c r="AA42" s="1813">
        <f t="shared" si="3"/>
        <v>1</v>
      </c>
      <c r="AB42" s="1813">
        <f t="shared" si="4"/>
        <v>1</v>
      </c>
      <c r="AC42" s="2669">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1"/>
      <c r="Q43" s="1812" t="str">
        <f t="shared" si="11"/>
        <v>内部装修</v>
      </c>
      <c r="R43" s="774" t="s">
        <v>17</v>
      </c>
      <c r="S43" s="775">
        <f t="shared" si="12"/>
        <v>100</v>
      </c>
      <c r="T43" s="774" t="s">
        <v>17</v>
      </c>
      <c r="U43" s="775">
        <f t="shared" si="13"/>
        <v>100</v>
      </c>
      <c r="V43" s="774" t="s">
        <v>17</v>
      </c>
      <c r="W43" s="775">
        <f t="shared" si="14"/>
        <v>100</v>
      </c>
      <c r="X43" s="1815"/>
      <c r="Y43" s="3167"/>
      <c r="Z43" s="1816" t="str">
        <f t="shared" si="15"/>
        <v>内部装修</v>
      </c>
      <c r="AA43" s="1813">
        <f t="shared" si="3"/>
        <v>1</v>
      </c>
      <c r="AB43" s="1813">
        <f t="shared" si="4"/>
        <v>1</v>
      </c>
      <c r="AC43" s="2669">
        <f t="shared" si="5"/>
        <v>1</v>
      </c>
    </row>
    <row r="44" spans="1:29" ht="15">
      <c r="A44" s="472"/>
      <c r="B44" s="422" t="s">
        <v>2568</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3"/>
      <c r="M44" s="1134"/>
      <c r="N44" s="1134"/>
      <c r="O44" s="1134"/>
      <c r="P44" s="3201"/>
      <c r="Q44" s="1812" t="str">
        <f t="shared" si="11"/>
        <v>内部装修维护情况</v>
      </c>
      <c r="R44" s="774" t="s">
        <v>17</v>
      </c>
      <c r="S44" s="775">
        <f t="shared" si="12"/>
        <v>100</v>
      </c>
      <c r="T44" s="774" t="s">
        <v>17</v>
      </c>
      <c r="U44" s="775">
        <f t="shared" si="13"/>
        <v>100</v>
      </c>
      <c r="V44" s="774" t="s">
        <v>17</v>
      </c>
      <c r="W44" s="775">
        <f t="shared" si="14"/>
        <v>100</v>
      </c>
      <c r="X44" s="1815"/>
      <c r="Y44" s="3167"/>
      <c r="Z44" s="1816" t="str">
        <f t="shared" si="15"/>
        <v>内部装修维护情况</v>
      </c>
      <c r="AA44" s="1813">
        <f t="shared" si="3"/>
        <v>1</v>
      </c>
      <c r="AB44" s="1813">
        <f t="shared" si="4"/>
        <v>1</v>
      </c>
      <c r="AC44" s="266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1"/>
      <c r="Q45" s="1797">
        <f t="shared" si="11"/>
        <v>111</v>
      </c>
      <c r="R45" s="770" t="s">
        <v>17</v>
      </c>
      <c r="S45" s="771">
        <f t="shared" si="12"/>
        <v>100</v>
      </c>
      <c r="T45" s="770" t="s">
        <v>17</v>
      </c>
      <c r="U45" s="771">
        <f t="shared" si="13"/>
        <v>100</v>
      </c>
      <c r="V45" s="770" t="s">
        <v>17</v>
      </c>
      <c r="W45" s="771">
        <f t="shared" si="14"/>
        <v>100</v>
      </c>
      <c r="X45" s="772"/>
      <c r="Y45" s="3167"/>
      <c r="Z45" s="55">
        <f t="shared" si="15"/>
        <v>111</v>
      </c>
      <c r="AA45" s="773">
        <f t="shared" si="3"/>
        <v>1</v>
      </c>
      <c r="AB45" s="773">
        <f t="shared" si="4"/>
        <v>1</v>
      </c>
      <c r="AC45" s="266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1"/>
      <c r="Q46" s="1812">
        <f t="shared" si="11"/>
        <v>111</v>
      </c>
      <c r="R46" s="774" t="s">
        <v>17</v>
      </c>
      <c r="S46" s="775">
        <f t="shared" si="12"/>
        <v>100</v>
      </c>
      <c r="T46" s="774" t="s">
        <v>17</v>
      </c>
      <c r="U46" s="775">
        <f t="shared" si="13"/>
        <v>100</v>
      </c>
      <c r="V46" s="774" t="s">
        <v>17</v>
      </c>
      <c r="W46" s="775">
        <f t="shared" si="14"/>
        <v>100</v>
      </c>
      <c r="X46" s="1815"/>
      <c r="Y46" s="3167"/>
      <c r="Z46" s="1816">
        <f t="shared" si="15"/>
        <v>111</v>
      </c>
      <c r="AA46" s="1813">
        <f t="shared" si="3"/>
        <v>1</v>
      </c>
      <c r="AB46" s="1813">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2"/>
      <c r="Q47" s="1812">
        <f t="shared" si="11"/>
        <v>111</v>
      </c>
      <c r="R47" s="774" t="s">
        <v>17</v>
      </c>
      <c r="S47" s="775">
        <f t="shared" si="12"/>
        <v>100</v>
      </c>
      <c r="T47" s="774" t="s">
        <v>17</v>
      </c>
      <c r="U47" s="775">
        <f t="shared" si="13"/>
        <v>100</v>
      </c>
      <c r="V47" s="774" t="s">
        <v>17</v>
      </c>
      <c r="W47" s="775">
        <f t="shared" si="14"/>
        <v>100</v>
      </c>
      <c r="X47" s="1815"/>
      <c r="Y47" s="3203"/>
      <c r="Z47" s="1816">
        <f t="shared" si="15"/>
        <v>111</v>
      </c>
      <c r="AA47" s="1813">
        <f t="shared" si="3"/>
        <v>1</v>
      </c>
      <c r="AB47" s="1813">
        <f t="shared" si="4"/>
        <v>1</v>
      </c>
      <c r="AC47" s="2669">
        <f t="shared" si="5"/>
        <v>1</v>
      </c>
    </row>
    <row r="48" spans="1:29" ht="15">
      <c r="A48" s="479" t="s">
        <v>2569</v>
      </c>
      <c r="B48" s="480"/>
      <c r="C48" s="1410" t="s">
        <v>1</v>
      </c>
      <c r="D48" s="1411"/>
      <c r="E48" s="1412"/>
      <c r="F48" s="1413"/>
      <c r="G48" s="1414"/>
      <c r="H48" s="1415"/>
      <c r="I48" s="1412"/>
      <c r="J48" s="485"/>
      <c r="K48" s="783"/>
      <c r="L48" s="1146"/>
      <c r="M48" s="1134"/>
      <c r="N48" s="1134"/>
      <c r="O48" s="1134"/>
      <c r="P48" s="3161" t="str">
        <f>A48</f>
        <v>成交单价（元/平方米）</v>
      </c>
      <c r="Q48" s="3162"/>
      <c r="R48" s="3199">
        <f>E48</f>
        <v>0</v>
      </c>
      <c r="S48" s="3199"/>
      <c r="T48" s="3199">
        <f>G48</f>
        <v>0</v>
      </c>
      <c r="U48" s="3199"/>
      <c r="V48" s="3199">
        <f>I48</f>
        <v>0</v>
      </c>
      <c r="W48" s="3199"/>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161" t="str">
        <f>A49</f>
        <v>比较价值（元/平方米）</v>
      </c>
      <c r="Q49" s="3162"/>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37" t="str">
        <f>A50</f>
        <v>估价对象XX用房的比较价值（楼面单价，元/平方米）</v>
      </c>
      <c r="Q50" s="3238"/>
      <c r="R50" s="3239" t="e">
        <f>IF(F1="售价",ROUND(AVERAGE(R49:V49),0),ROUND(AVERAGE(R49:V49),1))</f>
        <v>#DIV/0!</v>
      </c>
      <c r="S50" s="3239"/>
      <c r="T50" s="3239"/>
      <c r="U50" s="3239"/>
      <c r="V50" s="3239"/>
      <c r="W50" s="3239"/>
      <c r="X50" s="2649"/>
      <c r="Y50" s="2649"/>
      <c r="Z50" s="2649"/>
      <c r="AA50" s="2649"/>
      <c r="AB50" s="2649"/>
      <c r="AC50" s="265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5"/>
    </row>
    <row r="56" spans="1:29" s="502" customFormat="1">
      <c r="A56" s="1148"/>
      <c r="B56" s="1149"/>
      <c r="C56" s="1153"/>
      <c r="D56" s="1148"/>
      <c r="E56" s="1148"/>
      <c r="F56" s="1148"/>
      <c r="G56" s="1148"/>
      <c r="H56" s="1148"/>
      <c r="I56" s="1148"/>
      <c r="J56" s="1148"/>
      <c r="K56" s="1151"/>
      <c r="L56" s="1152"/>
      <c r="M56" s="1148"/>
      <c r="N56" s="1148"/>
      <c r="O56" s="1148"/>
      <c r="P56" s="2675"/>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76"/>
      <c r="Q58" s="504"/>
    </row>
    <row r="59" spans="1:29" s="508" customFormat="1" ht="15">
      <c r="A59" s="505" t="s">
        <v>2540</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77"/>
    </row>
    <row r="61" spans="1:29" s="117" customFormat="1" ht="15.75" thickBot="1">
      <c r="A61" s="515" t="s">
        <v>2577</v>
      </c>
      <c r="B61" s="516"/>
      <c r="C61" s="517"/>
      <c r="D61" s="518"/>
      <c r="E61" s="518"/>
      <c r="F61" s="518"/>
      <c r="G61" s="518"/>
      <c r="H61" s="518"/>
      <c r="I61" s="518"/>
      <c r="J61" s="518"/>
      <c r="K61" s="518"/>
      <c r="L61" s="518"/>
      <c r="M61" s="519"/>
      <c r="N61" s="518"/>
      <c r="O61" s="519"/>
      <c r="P61" s="2677"/>
      <c r="Q61" s="504"/>
    </row>
    <row r="62" spans="1:29" s="117" customFormat="1" ht="15">
      <c r="A62" s="521" t="s">
        <v>2542</v>
      </c>
      <c r="B62" s="510"/>
      <c r="C62" s="522" t="s">
        <v>2644</v>
      </c>
      <c r="D62" s="523"/>
      <c r="E62" s="523"/>
      <c r="F62" s="523"/>
      <c r="G62" s="523"/>
      <c r="H62" s="523"/>
      <c r="I62" s="523"/>
      <c r="J62" s="523"/>
      <c r="K62" s="523"/>
      <c r="L62" s="524"/>
      <c r="M62" s="525"/>
      <c r="N62" s="1154"/>
      <c r="O62" s="1154"/>
      <c r="P62" s="2678"/>
      <c r="Q62" s="504"/>
    </row>
    <row r="63" spans="1:29" s="117" customFormat="1" ht="15.75" thickBot="1">
      <c r="A63" s="521"/>
      <c r="B63" s="510"/>
      <c r="C63" s="511">
        <v>100</v>
      </c>
      <c r="D63" s="512"/>
      <c r="E63" s="512"/>
      <c r="F63" s="512"/>
      <c r="G63" s="512"/>
      <c r="H63" s="512"/>
      <c r="I63" s="512"/>
      <c r="J63" s="512"/>
      <c r="K63" s="512"/>
      <c r="L63" s="512"/>
      <c r="M63" s="514"/>
      <c r="N63" s="1154"/>
      <c r="O63" s="1154"/>
      <c r="P63" s="2677"/>
      <c r="Q63" s="504"/>
    </row>
    <row r="64" spans="1:29">
      <c r="A64" s="527" t="s">
        <v>2580</v>
      </c>
      <c r="B64" s="528" t="s">
        <v>2546</v>
      </c>
      <c r="C64" s="529">
        <f>C9</f>
        <v>0</v>
      </c>
      <c r="D64" s="530"/>
      <c r="E64" s="530"/>
      <c r="F64" s="530"/>
      <c r="G64" s="530"/>
      <c r="H64" s="530"/>
      <c r="I64" s="530"/>
      <c r="J64" s="530"/>
      <c r="K64" s="531"/>
      <c r="L64" s="532"/>
      <c r="M64" s="533"/>
      <c r="N64" s="1155"/>
      <c r="O64" s="1155"/>
      <c r="P64" s="2679"/>
      <c r="Q64" s="504"/>
    </row>
    <row r="65" spans="1:17" ht="15.75" thickBot="1">
      <c r="A65" s="534"/>
      <c r="B65" s="535"/>
      <c r="C65" s="536">
        <v>100</v>
      </c>
      <c r="D65" s="536"/>
      <c r="E65" s="536"/>
      <c r="F65" s="536"/>
      <c r="G65" s="536"/>
      <c r="H65" s="536"/>
      <c r="I65" s="536"/>
      <c r="J65" s="536"/>
      <c r="K65" s="536"/>
      <c r="L65" s="536"/>
      <c r="M65" s="537"/>
      <c r="N65" s="1156"/>
      <c r="O65" s="1156"/>
      <c r="P65" s="2679"/>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79"/>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79"/>
      <c r="Q68" s="504"/>
    </row>
    <row r="69" spans="1:17" ht="15">
      <c r="A69" s="534"/>
      <c r="B69" s="548"/>
      <c r="C69" s="549"/>
      <c r="D69" s="549"/>
      <c r="E69" s="549"/>
      <c r="F69" s="549"/>
      <c r="G69" s="549"/>
      <c r="H69" s="549"/>
      <c r="I69" s="549"/>
      <c r="J69" s="549"/>
      <c r="K69" s="550"/>
      <c r="L69" s="551"/>
      <c r="M69" s="552"/>
      <c r="N69" s="1155"/>
      <c r="O69" s="1155"/>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79"/>
      <c r="Q70" s="504"/>
    </row>
    <row r="71" spans="1:17" s="471" customFormat="1" ht="15.75" thickTop="1">
      <c r="A71" s="553"/>
      <c r="B71" s="538">
        <f>B12</f>
        <v>111</v>
      </c>
      <c r="C71" s="554"/>
      <c r="D71" s="554"/>
      <c r="E71" s="554"/>
      <c r="F71" s="554"/>
      <c r="G71" s="554"/>
      <c r="H71" s="555"/>
      <c r="I71" s="555"/>
      <c r="J71" s="555"/>
      <c r="K71" s="555"/>
      <c r="L71" s="556"/>
      <c r="M71" s="557"/>
      <c r="N71" s="1157"/>
      <c r="O71" s="1157"/>
      <c r="P71" s="2680"/>
      <c r="Q71" s="559"/>
    </row>
    <row r="72" spans="1:17" s="471" customFormat="1" ht="15.75" thickBot="1">
      <c r="A72" s="553"/>
      <c r="B72" s="543"/>
      <c r="C72" s="560"/>
      <c r="D72" s="536"/>
      <c r="E72" s="536"/>
      <c r="F72" s="536"/>
      <c r="G72" s="536"/>
      <c r="H72" s="536"/>
      <c r="I72" s="536"/>
      <c r="J72" s="536"/>
      <c r="K72" s="536"/>
      <c r="L72" s="536"/>
      <c r="M72" s="537"/>
      <c r="N72" s="1156"/>
      <c r="O72" s="1156"/>
      <c r="P72" s="2680"/>
      <c r="Q72" s="559"/>
    </row>
    <row r="73" spans="1:17" s="471" customFormat="1" ht="15.75" thickTop="1">
      <c r="A73" s="553"/>
      <c r="B73" s="538">
        <f>B13</f>
        <v>111</v>
      </c>
      <c r="C73" s="554"/>
      <c r="D73" s="554"/>
      <c r="E73" s="554"/>
      <c r="F73" s="554"/>
      <c r="G73" s="554"/>
      <c r="H73" s="555"/>
      <c r="I73" s="555"/>
      <c r="J73" s="555"/>
      <c r="K73" s="555"/>
      <c r="L73" s="556"/>
      <c r="M73" s="557"/>
      <c r="N73" s="1157"/>
      <c r="O73" s="1157"/>
      <c r="P73" s="2681"/>
      <c r="Q73" s="561"/>
    </row>
    <row r="74" spans="1:17" s="471" customFormat="1" ht="15.75" thickBot="1">
      <c r="A74" s="553"/>
      <c r="B74" s="543"/>
      <c r="C74" s="560"/>
      <c r="D74" s="560"/>
      <c r="E74" s="560"/>
      <c r="F74" s="560"/>
      <c r="G74" s="560"/>
      <c r="H74" s="562"/>
      <c r="I74" s="562"/>
      <c r="J74" s="562"/>
      <c r="K74" s="562"/>
      <c r="L74" s="562"/>
      <c r="M74" s="563"/>
      <c r="N74" s="1157"/>
      <c r="O74" s="1157"/>
      <c r="P74" s="2680"/>
      <c r="Q74" s="559"/>
    </row>
    <row r="75" spans="1:17" s="471" customFormat="1" ht="15.75" thickTop="1">
      <c r="A75" s="553"/>
      <c r="B75" s="546">
        <f>B14</f>
        <v>111</v>
      </c>
      <c r="C75" s="523"/>
      <c r="D75" s="523"/>
      <c r="E75" s="523"/>
      <c r="F75" s="523"/>
      <c r="G75" s="523"/>
      <c r="H75" s="564"/>
      <c r="I75" s="564"/>
      <c r="J75" s="564"/>
      <c r="K75" s="564"/>
      <c r="L75" s="565"/>
      <c r="M75" s="566"/>
      <c r="N75" s="1157"/>
      <c r="O75" s="1157"/>
      <c r="P75" s="2682"/>
      <c r="Q75" s="559"/>
    </row>
    <row r="76" spans="1:17" s="471" customFormat="1" ht="15.75" thickBot="1">
      <c r="A76" s="568"/>
      <c r="B76" s="569"/>
      <c r="C76" s="570"/>
      <c r="D76" s="570"/>
      <c r="E76" s="570"/>
      <c r="F76" s="570"/>
      <c r="G76" s="570"/>
      <c r="H76" s="571"/>
      <c r="I76" s="571"/>
      <c r="J76" s="571"/>
      <c r="K76" s="571"/>
      <c r="L76" s="571"/>
      <c r="M76" s="572"/>
      <c r="N76" s="1157"/>
      <c r="O76" s="1157"/>
      <c r="P76" s="2680"/>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79"/>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79"/>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79"/>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79"/>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79"/>
      <c r="Q86" s="504"/>
    </row>
    <row r="87" spans="1:17" s="117" customFormat="1" ht="27.75" thickTop="1">
      <c r="A87" s="579"/>
      <c r="B87" s="538" t="s">
        <v>2691</v>
      </c>
      <c r="C87" s="554"/>
      <c r="D87" s="554"/>
      <c r="E87" s="554"/>
      <c r="F87" s="554"/>
      <c r="G87" s="554"/>
      <c r="H87" s="554"/>
      <c r="I87" s="554"/>
      <c r="J87" s="554"/>
      <c r="K87" s="554"/>
      <c r="L87" s="580"/>
      <c r="M87" s="581"/>
      <c r="N87" s="1154"/>
      <c r="O87" s="1154"/>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79"/>
      <c r="Q88" s="504"/>
    </row>
    <row r="89" spans="1:17" s="117" customFormat="1" ht="15.75" thickTop="1">
      <c r="A89" s="579"/>
      <c r="B89" s="538" t="str">
        <f>B27</f>
        <v>楼层</v>
      </c>
      <c r="C89" s="554"/>
      <c r="D89" s="554"/>
      <c r="E89" s="554"/>
      <c r="F89" s="2630"/>
      <c r="G89" s="554"/>
      <c r="H89" s="554"/>
      <c r="I89" s="554"/>
      <c r="J89" s="554"/>
      <c r="K89" s="554"/>
      <c r="L89" s="554"/>
      <c r="M89" s="581"/>
      <c r="N89" s="1154"/>
      <c r="O89" s="1154"/>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7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0"/>
      <c r="Q92" s="559"/>
    </row>
    <row r="93" spans="1:17" ht="15.75" thickTop="1">
      <c r="A93" s="534"/>
      <c r="B93" s="538">
        <f>B29</f>
        <v>111</v>
      </c>
      <c r="C93" s="554"/>
      <c r="D93" s="554"/>
      <c r="E93" s="554"/>
      <c r="F93" s="554"/>
      <c r="G93" s="554"/>
      <c r="H93" s="554"/>
      <c r="I93" s="554"/>
      <c r="J93" s="554"/>
      <c r="K93" s="554"/>
      <c r="L93" s="580"/>
      <c r="M93" s="581"/>
      <c r="N93" s="1155"/>
      <c r="O93" s="1155"/>
      <c r="P93" s="2679"/>
      <c r="Q93" s="504"/>
    </row>
    <row r="94" spans="1:17" ht="15.75" thickBot="1">
      <c r="A94" s="534"/>
      <c r="B94" s="543"/>
      <c r="C94" s="560"/>
      <c r="D94" s="536"/>
      <c r="E94" s="536"/>
      <c r="F94" s="536"/>
      <c r="G94" s="536"/>
      <c r="H94" s="536"/>
      <c r="I94" s="536"/>
      <c r="J94" s="536"/>
      <c r="K94" s="536"/>
      <c r="L94" s="536"/>
      <c r="M94" s="537"/>
      <c r="N94" s="1156"/>
      <c r="O94" s="1156"/>
      <c r="P94" s="2679"/>
      <c r="Q94" s="504"/>
    </row>
    <row r="95" spans="1:17" ht="15.75" thickTop="1">
      <c r="A95" s="534"/>
      <c r="B95" s="538">
        <f>B30</f>
        <v>111</v>
      </c>
      <c r="C95" s="554"/>
      <c r="D95" s="554"/>
      <c r="E95" s="554"/>
      <c r="F95" s="554"/>
      <c r="G95" s="583"/>
      <c r="H95" s="583"/>
      <c r="I95" s="583"/>
      <c r="J95" s="583"/>
      <c r="K95" s="584"/>
      <c r="L95" s="585"/>
      <c r="M95" s="586"/>
      <c r="N95" s="1155"/>
      <c r="O95" s="1155"/>
      <c r="P95" s="2679"/>
      <c r="Q95" s="504"/>
    </row>
    <row r="96" spans="1:17" ht="15.75" thickBot="1">
      <c r="A96" s="534"/>
      <c r="B96" s="543"/>
      <c r="C96" s="560"/>
      <c r="D96" s="560"/>
      <c r="E96" s="560"/>
      <c r="F96" s="560"/>
      <c r="G96" s="536"/>
      <c r="H96" s="536"/>
      <c r="I96" s="536"/>
      <c r="J96" s="536"/>
      <c r="K96" s="536"/>
      <c r="L96" s="536"/>
      <c r="M96" s="537"/>
      <c r="N96" s="1156"/>
      <c r="O96" s="1156"/>
      <c r="P96" s="2679"/>
      <c r="Q96" s="504"/>
    </row>
    <row r="97" spans="1:17" ht="15.75" thickTop="1">
      <c r="A97" s="534"/>
      <c r="B97" s="538">
        <f>B31</f>
        <v>111</v>
      </c>
      <c r="C97" s="554"/>
      <c r="D97" s="554"/>
      <c r="E97" s="554"/>
      <c r="F97" s="554"/>
      <c r="G97" s="583"/>
      <c r="H97" s="583"/>
      <c r="I97" s="583"/>
      <c r="J97" s="583"/>
      <c r="K97" s="584"/>
      <c r="L97" s="585"/>
      <c r="M97" s="586"/>
      <c r="N97" s="1155"/>
      <c r="O97" s="1155"/>
      <c r="P97" s="2679"/>
      <c r="Q97" s="504"/>
    </row>
    <row r="98" spans="1:17" ht="15.75" thickBot="1">
      <c r="A98" s="534"/>
      <c r="B98" s="543"/>
      <c r="C98" s="560"/>
      <c r="D98" s="536"/>
      <c r="E98" s="536"/>
      <c r="F98" s="536"/>
      <c r="G98" s="536"/>
      <c r="H98" s="536"/>
      <c r="I98" s="536"/>
      <c r="J98" s="536"/>
      <c r="K98" s="536"/>
      <c r="L98" s="536"/>
      <c r="M98" s="537"/>
      <c r="N98" s="1156"/>
      <c r="O98" s="1156"/>
      <c r="P98" s="2679"/>
      <c r="Q98" s="504"/>
    </row>
    <row r="99" spans="1:17" ht="15.75" thickTop="1">
      <c r="A99" s="534"/>
      <c r="B99" s="546">
        <f>B32</f>
        <v>111</v>
      </c>
      <c r="C99" s="523"/>
      <c r="D99" s="523"/>
      <c r="E99" s="523"/>
      <c r="F99" s="523"/>
      <c r="G99" s="587"/>
      <c r="H99" s="587"/>
      <c r="I99" s="587"/>
      <c r="J99" s="587"/>
      <c r="K99" s="588"/>
      <c r="L99" s="589"/>
      <c r="M99" s="590"/>
      <c r="N99" s="1155"/>
      <c r="O99" s="1155"/>
      <c r="P99" s="2679"/>
      <c r="Q99" s="504"/>
    </row>
    <row r="100" spans="1:17" ht="15.75" thickBot="1">
      <c r="A100" s="2631"/>
      <c r="B100" s="569"/>
      <c r="C100" s="570"/>
      <c r="D100" s="570"/>
      <c r="E100" s="570"/>
      <c r="F100" s="570"/>
      <c r="G100" s="591"/>
      <c r="H100" s="591"/>
      <c r="I100" s="591"/>
      <c r="J100" s="591"/>
      <c r="K100" s="591"/>
      <c r="L100" s="591"/>
      <c r="M100" s="592"/>
      <c r="N100" s="1156"/>
      <c r="O100" s="1156"/>
      <c r="P100" s="2679"/>
      <c r="Q100" s="504"/>
    </row>
    <row r="101" spans="1:17">
      <c r="A101" s="527" t="s">
        <v>2555</v>
      </c>
      <c r="B101" s="528" t="s">
        <v>2604</v>
      </c>
      <c r="C101" s="530"/>
      <c r="D101" s="530"/>
      <c r="E101" s="530"/>
      <c r="F101" s="530"/>
      <c r="G101" s="530"/>
      <c r="H101" s="530"/>
      <c r="I101" s="530"/>
      <c r="J101" s="530"/>
      <c r="K101" s="531"/>
      <c r="L101" s="532"/>
      <c r="M101" s="533"/>
      <c r="N101" s="1155"/>
      <c r="O101" s="1155"/>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79"/>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79"/>
      <c r="Q103" s="504"/>
    </row>
    <row r="104" spans="1:17" s="471" customFormat="1">
      <c r="A104" s="593"/>
      <c r="B104" s="594"/>
      <c r="C104" s="595"/>
      <c r="D104" s="595"/>
      <c r="E104" s="595"/>
      <c r="F104" s="595"/>
      <c r="G104" s="595"/>
      <c r="H104" s="595"/>
      <c r="I104" s="595"/>
      <c r="J104" s="596"/>
      <c r="K104" s="596"/>
      <c r="L104" s="597"/>
      <c r="M104" s="598"/>
      <c r="N104" s="1157"/>
      <c r="O104" s="1157"/>
      <c r="P104" s="268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0"/>
      <c r="Q105" s="559"/>
    </row>
    <row r="106" spans="1:17" ht="15" thickTop="1">
      <c r="A106" s="599"/>
      <c r="B106" s="538" t="s">
        <v>2606</v>
      </c>
      <c r="C106" s="554"/>
      <c r="D106" s="554"/>
      <c r="E106" s="583"/>
      <c r="F106" s="583"/>
      <c r="G106" s="583"/>
      <c r="H106" s="583"/>
      <c r="I106" s="583"/>
      <c r="J106" s="583"/>
      <c r="K106" s="584"/>
      <c r="L106" s="585"/>
      <c r="M106" s="586"/>
      <c r="N106" s="1155"/>
      <c r="O106" s="1155"/>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79"/>
      <c r="Q107" s="504"/>
    </row>
    <row r="108" spans="1:17" ht="15" thickTop="1">
      <c r="A108" s="599"/>
      <c r="B108" s="538" t="s">
        <v>2608</v>
      </c>
      <c r="C108" s="554"/>
      <c r="D108" s="554"/>
      <c r="E108" s="554"/>
      <c r="F108" s="583"/>
      <c r="G108" s="583"/>
      <c r="H108" s="583"/>
      <c r="I108" s="583"/>
      <c r="J108" s="583"/>
      <c r="K108" s="584"/>
      <c r="L108" s="585"/>
      <c r="M108" s="586"/>
      <c r="N108" s="1155"/>
      <c r="O108" s="1155"/>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7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79"/>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0"/>
      <c r="Q114" s="559"/>
    </row>
    <row r="115" spans="1:17" ht="15" thickTop="1">
      <c r="A115" s="599"/>
      <c r="B115" s="538" t="s">
        <v>2609</v>
      </c>
      <c r="C115" s="554"/>
      <c r="D115" s="554"/>
      <c r="E115" s="583"/>
      <c r="F115" s="583"/>
      <c r="G115" s="583"/>
      <c r="H115" s="583"/>
      <c r="I115" s="583"/>
      <c r="J115" s="583"/>
      <c r="K115" s="584"/>
      <c r="L115" s="585"/>
      <c r="M115" s="586"/>
      <c r="N115" s="1155"/>
      <c r="O115" s="1155"/>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79"/>
      <c r="Q116" s="504"/>
    </row>
    <row r="117" spans="1:17" ht="15" thickTop="1">
      <c r="A117" s="599"/>
      <c r="B117" s="538" t="s">
        <v>2610</v>
      </c>
      <c r="C117" s="554"/>
      <c r="D117" s="554"/>
      <c r="E117" s="554"/>
      <c r="F117" s="554"/>
      <c r="G117" s="554"/>
      <c r="H117" s="583"/>
      <c r="I117" s="583"/>
      <c r="J117" s="583"/>
      <c r="K117" s="584"/>
      <c r="L117" s="585"/>
      <c r="M117" s="586"/>
      <c r="N117" s="1155"/>
      <c r="O117" s="1155"/>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79"/>
      <c r="Q118" s="504"/>
    </row>
    <row r="119" spans="1:17" ht="15" thickTop="1">
      <c r="A119" s="599"/>
      <c r="B119" s="636" t="s">
        <v>2693</v>
      </c>
      <c r="C119" s="583"/>
      <c r="D119" s="583"/>
      <c r="E119" s="583"/>
      <c r="F119" s="583"/>
      <c r="G119" s="583"/>
      <c r="H119" s="583"/>
      <c r="I119" s="583"/>
      <c r="J119" s="583"/>
      <c r="K119" s="583"/>
      <c r="L119" s="2684"/>
      <c r="M119" s="2685"/>
      <c r="N119" s="1156"/>
      <c r="O119" s="1156"/>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79"/>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8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0"/>
      <c r="Q122" s="559"/>
    </row>
    <row r="123" spans="1:17" ht="15" thickTop="1">
      <c r="A123" s="599"/>
      <c r="B123" s="538" t="s">
        <v>2612</v>
      </c>
      <c r="C123" s="554"/>
      <c r="D123" s="554"/>
      <c r="E123" s="554"/>
      <c r="F123" s="583"/>
      <c r="G123" s="583"/>
      <c r="H123" s="583"/>
      <c r="I123" s="583"/>
      <c r="J123" s="583"/>
      <c r="K123" s="584"/>
      <c r="L123" s="585"/>
      <c r="M123" s="586"/>
      <c r="N123" s="1155"/>
      <c r="O123" s="1155"/>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79"/>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7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0"/>
      <c r="Q128" s="559"/>
    </row>
    <row r="129" spans="1:17" ht="15" thickTop="1">
      <c r="A129" s="599"/>
      <c r="B129" s="538">
        <f>B46</f>
        <v>111</v>
      </c>
      <c r="C129" s="554"/>
      <c r="D129" s="554"/>
      <c r="E129" s="554"/>
      <c r="F129" s="554"/>
      <c r="G129" s="583"/>
      <c r="H129" s="583"/>
      <c r="I129" s="583"/>
      <c r="J129" s="583"/>
      <c r="K129" s="584"/>
      <c r="L129" s="585"/>
      <c r="M129" s="586"/>
      <c r="N129" s="1155"/>
      <c r="O129" s="1155"/>
      <c r="P129" s="2679"/>
      <c r="Q129" s="504"/>
    </row>
    <row r="130" spans="1:17" ht="15.75" thickBot="1">
      <c r="A130" s="534"/>
      <c r="B130" s="543"/>
      <c r="C130" s="560"/>
      <c r="D130" s="560"/>
      <c r="E130" s="560"/>
      <c r="F130" s="560"/>
      <c r="G130" s="536"/>
      <c r="H130" s="536"/>
      <c r="I130" s="536"/>
      <c r="J130" s="536"/>
      <c r="K130" s="536"/>
      <c r="L130" s="536"/>
      <c r="M130" s="537"/>
      <c r="N130" s="1156"/>
      <c r="O130" s="1156"/>
      <c r="P130" s="2679"/>
      <c r="Q130" s="504"/>
    </row>
    <row r="131" spans="1:17" ht="15" thickTop="1">
      <c r="A131" s="599"/>
      <c r="B131" s="546">
        <f>B47</f>
        <v>111</v>
      </c>
      <c r="C131" s="523"/>
      <c r="D131" s="523"/>
      <c r="E131" s="523"/>
      <c r="F131" s="523"/>
      <c r="G131" s="587"/>
      <c r="H131" s="587"/>
      <c r="I131" s="587"/>
      <c r="J131" s="587"/>
      <c r="K131" s="523"/>
      <c r="L131" s="524"/>
      <c r="M131" s="590"/>
      <c r="N131" s="1155"/>
      <c r="O131" s="1155"/>
      <c r="P131" s="2679"/>
      <c r="Q131" s="504"/>
    </row>
    <row r="132" spans="1:17" ht="15.75" thickBot="1">
      <c r="A132" s="2631"/>
      <c r="B132" s="569"/>
      <c r="C132" s="570"/>
      <c r="D132" s="570"/>
      <c r="E132" s="570"/>
      <c r="F132" s="570"/>
      <c r="G132" s="591"/>
      <c r="H132" s="591"/>
      <c r="I132" s="591"/>
      <c r="J132" s="591"/>
      <c r="K132" s="591"/>
      <c r="L132" s="591"/>
      <c r="M132" s="592"/>
      <c r="N132" s="1156"/>
      <c r="O132" s="1156"/>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天津弘盛房地产开发有限公司：</v>
      </c>
    </row>
    <row r="4" spans="1:1" ht="18">
      <c r="A4" s="1950" t="e">
        <f>"受贵公司委托，我公司对"&amp;项目基本情况!S1&amp;"进行了预评估。"</f>
        <v>#REF!</v>
      </c>
    </row>
    <row r="5" spans="1:1" ht="18.75">
      <c r="A5" s="1951" t="s">
        <v>1612</v>
      </c>
    </row>
    <row r="6" spans="1:1" ht="18.75">
      <c r="A6" s="1952" t="s">
        <v>1613</v>
      </c>
    </row>
    <row r="7" spans="1:1" ht="18">
      <c r="A7" s="195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#REF!</v>
      </c>
    </row>
    <row r="8" spans="1:1" ht="57.75">
      <c r="A8" s="1953" t="s">
        <v>1614</v>
      </c>
    </row>
    <row r="9" spans="1:1" ht="18.75">
      <c r="A9" s="1952" t="s">
        <v>1615</v>
      </c>
    </row>
    <row r="10" spans="1:1" ht="18">
      <c r="A10" s="195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#REF!</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2018年6月28日（评估专业人员实地查勘之日）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28日，估价对象规划用途为住宅、商业、地下车库，土地取得方式为出让，出让国有建设用地使用权剩余土地使用年限为住宅68.7年、商业38.7年、地下车库48.7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红线内场地平整条件下，剩余土地使用年限为住宅68.7年、商业38.7年、地下车库48.7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64" t="s">
        <v>2694</v>
      </c>
      <c r="C1" s="1622" t="s">
        <v>2522</v>
      </c>
      <c r="D1" s="1623"/>
      <c r="E1" s="1632"/>
      <c r="F1" s="258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2322</v>
      </c>
      <c r="B2" s="1421" t="e">
        <f ca="1">IF(C2="——",ROUND(C43*D3/10000,0),ROUND(C43*D3/10000,0)-D2)</f>
        <v>#DIV/0!</v>
      </c>
      <c r="C2" s="2582"/>
      <c r="D2" s="1127" t="e">
        <f ca="1">SUMIF(INDIRECT("'"&amp;F2&amp;"'"&amp;"!A:A"),"承租人权益价值",INDIRECT("'"&amp;F2&amp;"'"&amp;"!c:c"))</f>
        <v>#REF!</v>
      </c>
      <c r="E2" s="2583" t="s">
        <v>2323</v>
      </c>
      <c r="F2" s="258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2636</v>
      </c>
      <c r="D3" s="399">
        <f>IF(D1="",'数据-汇总表'!E3,SUMIF('数据-汇总表'!$C19:$C33,D1,'数据-汇总表'!$E19:$E33))</f>
        <v>67341.78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9" t="s">
        <v>2638</v>
      </c>
      <c r="D4" s="3172"/>
      <c r="E4" s="3173" t="s">
        <v>2639</v>
      </c>
      <c r="F4" s="3174"/>
      <c r="G4" s="3159" t="s">
        <v>2640</v>
      </c>
      <c r="H4" s="3172"/>
      <c r="I4" s="3159" t="s">
        <v>2641</v>
      </c>
      <c r="J4" s="3172"/>
      <c r="K4" s="610" t="s">
        <v>2642</v>
      </c>
      <c r="L4" s="1133"/>
      <c r="M4" s="1134"/>
      <c r="N4" s="1134"/>
      <c r="O4" s="1134"/>
      <c r="P4" s="3175" t="s">
        <v>2643</v>
      </c>
      <c r="Q4" s="3176"/>
      <c r="R4" s="3181" t="s">
        <v>2639</v>
      </c>
      <c r="S4" s="3182"/>
      <c r="T4" s="3181" t="s">
        <v>2640</v>
      </c>
      <c r="U4" s="3182"/>
      <c r="V4" s="3168" t="s">
        <v>2641</v>
      </c>
      <c r="W4" s="3168"/>
      <c r="X4" s="1815"/>
      <c r="Y4" s="3181" t="s">
        <v>2643</v>
      </c>
      <c r="Z4" s="3182"/>
      <c r="AA4" s="3169" t="s">
        <v>2639</v>
      </c>
      <c r="AB4" s="3170" t="s">
        <v>2640</v>
      </c>
      <c r="AC4" s="3169" t="s">
        <v>2641</v>
      </c>
    </row>
    <row r="5" spans="1:29" ht="15">
      <c r="A5" s="404"/>
      <c r="B5" s="405"/>
      <c r="C5" s="3234" t="s">
        <v>2534</v>
      </c>
      <c r="D5" s="3190"/>
      <c r="E5" s="3236" t="s">
        <v>2535</v>
      </c>
      <c r="F5" s="3197"/>
      <c r="G5" s="3234" t="s">
        <v>2536</v>
      </c>
      <c r="H5" s="3190"/>
      <c r="I5" s="3234" t="s">
        <v>2537</v>
      </c>
      <c r="J5" s="3190"/>
      <c r="K5" s="610"/>
      <c r="L5" s="1133"/>
      <c r="M5" s="1134"/>
      <c r="N5" s="1134"/>
      <c r="O5" s="1134"/>
      <c r="P5" s="3177"/>
      <c r="Q5" s="3178"/>
      <c r="R5" s="3183"/>
      <c r="S5" s="3184"/>
      <c r="T5" s="3183"/>
      <c r="U5" s="3184"/>
      <c r="V5" s="3168"/>
      <c r="W5" s="3168"/>
      <c r="X5" s="1815"/>
      <c r="Y5" s="3183"/>
      <c r="Z5" s="3184"/>
      <c r="AA5" s="3170"/>
      <c r="AB5" s="3170"/>
      <c r="AC5" s="3170"/>
    </row>
    <row r="6" spans="1:29" ht="15.75" thickBot="1">
      <c r="A6" s="406"/>
      <c r="B6" s="407"/>
      <c r="C6" s="3206" t="s">
        <v>2538</v>
      </c>
      <c r="D6" s="3188"/>
      <c r="E6" s="3235" t="s">
        <v>2538</v>
      </c>
      <c r="F6" s="3195"/>
      <c r="G6" s="3206" t="s">
        <v>2538</v>
      </c>
      <c r="H6" s="3188"/>
      <c r="I6" s="3206" t="s">
        <v>2538</v>
      </c>
      <c r="J6" s="3188"/>
      <c r="K6" s="610" t="s">
        <v>2539</v>
      </c>
      <c r="L6" s="1133"/>
      <c r="M6" s="1134"/>
      <c r="N6" s="1134"/>
      <c r="O6" s="1134"/>
      <c r="P6" s="3179"/>
      <c r="Q6" s="3180"/>
      <c r="R6" s="3183"/>
      <c r="S6" s="3184"/>
      <c r="T6" s="3185"/>
      <c r="U6" s="3186"/>
      <c r="V6" s="3168"/>
      <c r="W6" s="3168"/>
      <c r="X6" s="1815"/>
      <c r="Y6" s="3185"/>
      <c r="Z6" s="3186"/>
      <c r="AA6" s="3171"/>
      <c r="AB6" s="3171"/>
      <c r="AC6" s="3171"/>
    </row>
    <row r="7" spans="1:29" s="117" customFormat="1" ht="15.75" thickBot="1">
      <c r="A7" s="408" t="s">
        <v>2540</v>
      </c>
      <c r="B7" s="409"/>
      <c r="C7" s="410">
        <f>'数据-取费表'!B2</f>
        <v>43279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1" t="s">
        <v>2541</v>
      </c>
      <c r="Q7" s="3193"/>
      <c r="R7" s="770" t="s">
        <v>17</v>
      </c>
      <c r="S7" s="771">
        <f t="shared" ref="S7:S15" si="0">F7</f>
        <v>0</v>
      </c>
      <c r="T7" s="770" t="s">
        <v>17</v>
      </c>
      <c r="U7" s="771">
        <f t="shared" ref="U7:U15" si="1">H7</f>
        <v>0</v>
      </c>
      <c r="V7" s="770" t="s">
        <v>17</v>
      </c>
      <c r="W7" s="771">
        <f t="shared" ref="W7:W15" si="2">J7</f>
        <v>0</v>
      </c>
      <c r="X7" s="772"/>
      <c r="Y7" s="3191" t="s">
        <v>2541</v>
      </c>
      <c r="Z7" s="3192"/>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1" t="s">
        <v>2544</v>
      </c>
      <c r="Q8" s="3192"/>
      <c r="R8" s="770" t="s">
        <v>17</v>
      </c>
      <c r="S8" s="771">
        <f t="shared" si="0"/>
        <v>0</v>
      </c>
      <c r="T8" s="770" t="s">
        <v>17</v>
      </c>
      <c r="U8" s="771">
        <f t="shared" si="1"/>
        <v>0</v>
      </c>
      <c r="V8" s="770" t="s">
        <v>17</v>
      </c>
      <c r="W8" s="771">
        <f t="shared" si="2"/>
        <v>0</v>
      </c>
      <c r="X8" s="772"/>
      <c r="Y8" s="3191" t="s">
        <v>2544</v>
      </c>
      <c r="Z8" s="3192"/>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2" t="s">
        <v>2547</v>
      </c>
      <c r="Q9" s="1797"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2"/>
      <c r="Q10" s="179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2"/>
      <c r="Q11" s="1797"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5"/>
      <c r="M12" s="1136"/>
      <c r="N12" s="1136"/>
      <c r="O12" s="1137"/>
      <c r="P12" s="3162"/>
      <c r="Q12" s="179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3"/>
      <c r="M14" s="1134"/>
      <c r="N14" s="1134"/>
      <c r="O14" s="1142"/>
      <c r="P14" s="3162"/>
      <c r="Q14" s="1797">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2551</v>
      </c>
      <c r="B15" s="69" t="s">
        <v>2695</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4" t="s">
        <v>2552</v>
      </c>
      <c r="Q15" s="1812" t="str">
        <f t="shared" si="6"/>
        <v>产业集聚程度</v>
      </c>
      <c r="R15" s="774" t="s">
        <v>17</v>
      </c>
      <c r="S15" s="775">
        <f t="shared" si="0"/>
        <v>100</v>
      </c>
      <c r="T15" s="774" t="s">
        <v>17</v>
      </c>
      <c r="U15" s="775">
        <f t="shared" si="1"/>
        <v>100</v>
      </c>
      <c r="V15" s="774" t="s">
        <v>17</v>
      </c>
      <c r="W15" s="775">
        <f t="shared" si="2"/>
        <v>100</v>
      </c>
      <c r="X15" s="1815"/>
      <c r="Y15" s="3164" t="s">
        <v>2552</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65"/>
      <c r="Q16" s="1812"/>
      <c r="R16" s="774"/>
      <c r="S16" s="775"/>
      <c r="T16" s="774"/>
      <c r="U16" s="775"/>
      <c r="V16" s="774"/>
      <c r="W16" s="775"/>
      <c r="X16" s="1815"/>
      <c r="Y16" s="3165"/>
      <c r="Z16" s="1816"/>
      <c r="AA16" s="1813">
        <v>1</v>
      </c>
      <c r="AB16" s="1813">
        <v>1</v>
      </c>
      <c r="AC16" s="1813">
        <v>1</v>
      </c>
    </row>
    <row r="17" spans="1:29" ht="85.5">
      <c r="A17" s="428"/>
      <c r="B17" s="451" t="s">
        <v>2091</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5"/>
      <c r="Q17" s="1812" t="str">
        <f>B17</f>
        <v>交通便捷度</v>
      </c>
      <c r="R17" s="774" t="s">
        <v>17</v>
      </c>
      <c r="S17" s="775">
        <f>F17</f>
        <v>100</v>
      </c>
      <c r="T17" s="774" t="s">
        <v>17</v>
      </c>
      <c r="U17" s="775">
        <f>H17</f>
        <v>100</v>
      </c>
      <c r="V17" s="774" t="s">
        <v>17</v>
      </c>
      <c r="W17" s="775">
        <f>J17</f>
        <v>100</v>
      </c>
      <c r="X17" s="1815"/>
      <c r="Y17" s="3165"/>
      <c r="Z17" s="1816" t="str">
        <f>Q17</f>
        <v>交通便捷度</v>
      </c>
      <c r="AA17" s="1813">
        <f t="shared" si="3"/>
        <v>1</v>
      </c>
      <c r="AB17" s="1813">
        <f t="shared" si="4"/>
        <v>1</v>
      </c>
      <c r="AC17" s="1813">
        <f t="shared" si="5"/>
        <v>1</v>
      </c>
    </row>
    <row r="18" spans="1:29" ht="15">
      <c r="A18" s="428"/>
      <c r="B18" s="456"/>
      <c r="C18" s="2603"/>
      <c r="D18" s="450"/>
      <c r="E18" s="2605"/>
      <c r="F18" s="453"/>
      <c r="G18" s="2604"/>
      <c r="H18" s="448"/>
      <c r="I18" s="2605"/>
      <c r="J18" s="448"/>
      <c r="K18" s="615"/>
      <c r="L18" s="1143"/>
      <c r="M18" s="1134"/>
      <c r="N18" s="1134"/>
      <c r="O18" s="1142"/>
      <c r="P18" s="3165"/>
      <c r="Q18" s="1812"/>
      <c r="R18" s="774"/>
      <c r="S18" s="775"/>
      <c r="T18" s="774"/>
      <c r="U18" s="775"/>
      <c r="V18" s="774"/>
      <c r="W18" s="775"/>
      <c r="X18" s="1815"/>
      <c r="Y18" s="3165"/>
      <c r="Z18" s="1816"/>
      <c r="AA18" s="1813">
        <v>1</v>
      </c>
      <c r="AB18" s="1813">
        <v>1</v>
      </c>
      <c r="AC18" s="1813">
        <v>1</v>
      </c>
    </row>
    <row r="19" spans="1:29" ht="42.75">
      <c r="A19" s="428"/>
      <c r="B19" s="451" t="s">
        <v>2680</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5"/>
      <c r="Q19" s="1812" t="str">
        <f>B19</f>
        <v>公共配套设施</v>
      </c>
      <c r="R19" s="774" t="s">
        <v>17</v>
      </c>
      <c r="S19" s="775">
        <f>F19</f>
        <v>100</v>
      </c>
      <c r="T19" s="774" t="s">
        <v>17</v>
      </c>
      <c r="U19" s="775">
        <f>H19</f>
        <v>100</v>
      </c>
      <c r="V19" s="774" t="s">
        <v>17</v>
      </c>
      <c r="W19" s="775">
        <f>J19</f>
        <v>100</v>
      </c>
      <c r="X19" s="1815"/>
      <c r="Y19" s="3165"/>
      <c r="Z19" s="1816" t="str">
        <f>Q19</f>
        <v>公共配套设施</v>
      </c>
      <c r="AA19" s="1813">
        <f t="shared" si="3"/>
        <v>1</v>
      </c>
      <c r="AB19" s="1813">
        <f t="shared" si="4"/>
        <v>1</v>
      </c>
      <c r="AC19" s="1813">
        <f t="shared" si="5"/>
        <v>1</v>
      </c>
    </row>
    <row r="20" spans="1:29" ht="15">
      <c r="A20" s="428"/>
      <c r="B20" s="456"/>
      <c r="C20" s="447"/>
      <c r="D20" s="448"/>
      <c r="E20" s="2600"/>
      <c r="F20" s="449"/>
      <c r="G20" s="2599"/>
      <c r="H20" s="448"/>
      <c r="I20" s="2600"/>
      <c r="J20" s="448"/>
      <c r="K20" s="615"/>
      <c r="L20" s="1143"/>
      <c r="M20" s="1134"/>
      <c r="N20" s="1134"/>
      <c r="O20" s="1142"/>
      <c r="P20" s="3165"/>
      <c r="Q20" s="1812"/>
      <c r="R20" s="774"/>
      <c r="S20" s="775"/>
      <c r="T20" s="774"/>
      <c r="U20" s="775"/>
      <c r="V20" s="774"/>
      <c r="W20" s="775"/>
      <c r="X20" s="1815"/>
      <c r="Y20" s="3165"/>
      <c r="Z20" s="1816"/>
      <c r="AA20" s="1813">
        <v>1</v>
      </c>
      <c r="AB20" s="1813">
        <v>1</v>
      </c>
      <c r="AC20" s="1813">
        <v>1</v>
      </c>
    </row>
    <row r="21" spans="1:29" ht="28.5">
      <c r="A21" s="428"/>
      <c r="B21" s="1387" t="s">
        <v>2681</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5"/>
      <c r="Q21" s="1812" t="str">
        <f>B21</f>
        <v>基础设施水平</v>
      </c>
      <c r="R21" s="774" t="s">
        <v>17</v>
      </c>
      <c r="S21" s="775">
        <f>F21</f>
        <v>100</v>
      </c>
      <c r="T21" s="774" t="s">
        <v>17</v>
      </c>
      <c r="U21" s="775">
        <f>H21</f>
        <v>100</v>
      </c>
      <c r="V21" s="774" t="s">
        <v>17</v>
      </c>
      <c r="W21" s="775">
        <f>J21</f>
        <v>100</v>
      </c>
      <c r="X21" s="1815"/>
      <c r="Y21" s="3165"/>
      <c r="Z21" s="1816" t="str">
        <f>Q21</f>
        <v>基础设施水平</v>
      </c>
      <c r="AA21" s="1813">
        <f t="shared" ref="AA21" si="8">D21/F21</f>
        <v>1</v>
      </c>
      <c r="AB21" s="1813">
        <f t="shared" ref="AB21" si="9">D21/H21</f>
        <v>1</v>
      </c>
      <c r="AC21" s="1813">
        <f t="shared" ref="AC21" si="10">D21/J21</f>
        <v>1</v>
      </c>
    </row>
    <row r="22" spans="1:29" ht="15">
      <c r="A22" s="428"/>
      <c r="B22" s="1387"/>
      <c r="C22" s="2603"/>
      <c r="D22" s="448"/>
      <c r="E22" s="447"/>
      <c r="F22" s="449"/>
      <c r="G22" s="447"/>
      <c r="H22" s="448"/>
      <c r="I22" s="447"/>
      <c r="J22" s="448"/>
      <c r="K22" s="1386"/>
      <c r="L22" s="1143"/>
      <c r="M22" s="1134"/>
      <c r="N22" s="1134"/>
      <c r="O22" s="1142"/>
      <c r="P22" s="3165"/>
      <c r="Q22" s="1812"/>
      <c r="R22" s="774"/>
      <c r="S22" s="775"/>
      <c r="T22" s="774"/>
      <c r="U22" s="775"/>
      <c r="V22" s="774"/>
      <c r="W22" s="775"/>
      <c r="X22" s="1815"/>
      <c r="Y22" s="3165"/>
      <c r="Z22" s="1816"/>
      <c r="AA22" s="1813">
        <v>1</v>
      </c>
      <c r="AB22" s="1813">
        <v>1</v>
      </c>
      <c r="AC22" s="1813">
        <v>1</v>
      </c>
    </row>
    <row r="23" spans="1:29" ht="71.25">
      <c r="A23" s="428"/>
      <c r="B23" s="451" t="s">
        <v>2682</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5"/>
      <c r="Q23" s="1812" t="str">
        <f>B23</f>
        <v>环境质量</v>
      </c>
      <c r="R23" s="774" t="s">
        <v>17</v>
      </c>
      <c r="S23" s="775">
        <f>F23</f>
        <v>100</v>
      </c>
      <c r="T23" s="774" t="s">
        <v>17</v>
      </c>
      <c r="U23" s="775">
        <f>H23</f>
        <v>100</v>
      </c>
      <c r="V23" s="774" t="s">
        <v>17</v>
      </c>
      <c r="W23" s="775">
        <f>J23</f>
        <v>100</v>
      </c>
      <c r="X23" s="1815"/>
      <c r="Y23" s="3165"/>
      <c r="Z23" s="1816" t="str">
        <f>Q23</f>
        <v>环境质量</v>
      </c>
      <c r="AA23" s="1813">
        <f t="shared" si="3"/>
        <v>1</v>
      </c>
      <c r="AB23" s="1813">
        <f t="shared" si="4"/>
        <v>1</v>
      </c>
      <c r="AC23" s="1813">
        <f t="shared" si="5"/>
        <v>1</v>
      </c>
    </row>
    <row r="24" spans="1:29" ht="15">
      <c r="A24" s="428"/>
      <c r="B24" s="1387"/>
      <c r="C24" s="447"/>
      <c r="D24" s="448"/>
      <c r="E24" s="2600"/>
      <c r="F24" s="449"/>
      <c r="G24" s="2599"/>
      <c r="H24" s="448"/>
      <c r="I24" s="2600"/>
      <c r="J24" s="448"/>
      <c r="K24" s="615"/>
      <c r="L24" s="1143"/>
      <c r="M24" s="1134"/>
      <c r="N24" s="1134"/>
      <c r="O24" s="1142"/>
      <c r="P24" s="3165"/>
      <c r="Q24" s="1812"/>
      <c r="R24" s="774"/>
      <c r="S24" s="775"/>
      <c r="T24" s="774"/>
      <c r="U24" s="775"/>
      <c r="V24" s="774"/>
      <c r="W24" s="775"/>
      <c r="X24" s="1815"/>
      <c r="Y24" s="3165"/>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5"/>
      <c r="Q25" s="1812">
        <f>B25</f>
        <v>111</v>
      </c>
      <c r="R25" s="774" t="s">
        <v>17</v>
      </c>
      <c r="S25" s="775">
        <f>F25</f>
        <v>100</v>
      </c>
      <c r="T25" s="774" t="s">
        <v>17</v>
      </c>
      <c r="U25" s="775">
        <f>H25</f>
        <v>100</v>
      </c>
      <c r="V25" s="774" t="s">
        <v>17</v>
      </c>
      <c r="W25" s="775">
        <f>J25</f>
        <v>100</v>
      </c>
      <c r="X25" s="1815"/>
      <c r="Y25" s="3165"/>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5"/>
      <c r="Q26" s="1812">
        <f t="shared" ref="Q26:Q40" si="11">B26</f>
        <v>111</v>
      </c>
      <c r="R26" s="774" t="s">
        <v>17</v>
      </c>
      <c r="S26" s="775">
        <f>F26</f>
        <v>100</v>
      </c>
      <c r="T26" s="774" t="s">
        <v>17</v>
      </c>
      <c r="U26" s="775">
        <f>H26</f>
        <v>100</v>
      </c>
      <c r="V26" s="774" t="s">
        <v>17</v>
      </c>
      <c r="W26" s="775">
        <f>J26</f>
        <v>100</v>
      </c>
      <c r="X26" s="1815"/>
      <c r="Y26" s="3165"/>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5"/>
      <c r="Q27" s="1797">
        <f t="shared" si="11"/>
        <v>111</v>
      </c>
      <c r="R27" s="770" t="s">
        <v>17</v>
      </c>
      <c r="S27" s="771">
        <f>F27</f>
        <v>100</v>
      </c>
      <c r="T27" s="770" t="s">
        <v>17</v>
      </c>
      <c r="U27" s="771">
        <f>H27</f>
        <v>100</v>
      </c>
      <c r="V27" s="770" t="s">
        <v>17</v>
      </c>
      <c r="W27" s="771">
        <f>J27</f>
        <v>100</v>
      </c>
      <c r="X27" s="772"/>
      <c r="Y27" s="3165"/>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5"/>
      <c r="Q28" s="1812">
        <f t="shared" si="11"/>
        <v>111</v>
      </c>
      <c r="R28" s="774" t="s">
        <v>17</v>
      </c>
      <c r="S28" s="775">
        <f t="shared" ref="S28:S40" si="12">F28</f>
        <v>100</v>
      </c>
      <c r="T28" s="774" t="s">
        <v>17</v>
      </c>
      <c r="U28" s="775">
        <f t="shared" ref="U28:U40" si="13">H28</f>
        <v>100</v>
      </c>
      <c r="V28" s="774" t="s">
        <v>17</v>
      </c>
      <c r="W28" s="775">
        <f t="shared" ref="W28:W40" si="14">J28</f>
        <v>100</v>
      </c>
      <c r="X28" s="1815"/>
      <c r="Y28" s="3165"/>
      <c r="Z28" s="1816">
        <f t="shared" ref="Z28:Z40" si="15">Q28</f>
        <v>111</v>
      </c>
      <c r="AA28" s="1813">
        <f t="shared" si="3"/>
        <v>1</v>
      </c>
      <c r="AB28" s="1813">
        <f t="shared" si="4"/>
        <v>1</v>
      </c>
      <c r="AC28" s="1813">
        <f t="shared" si="5"/>
        <v>1</v>
      </c>
    </row>
    <row r="29" spans="1:29" ht="15">
      <c r="A29" s="466" t="s">
        <v>2555</v>
      </c>
      <c r="B29" s="71" t="s">
        <v>2685</v>
      </c>
      <c r="C29" s="2674"/>
      <c r="D29" s="467">
        <v>100</v>
      </c>
      <c r="E29" s="2674"/>
      <c r="F29" s="461">
        <f>SUMIF(88:88,E29,89:89)-SUMIF(88:88,C29,89:89)+100</f>
        <v>100</v>
      </c>
      <c r="G29" s="2674"/>
      <c r="H29" s="435">
        <f>SUMIF(88:88,G29,89:89)-SUMIF(88:88,C29,89:89)+100</f>
        <v>100</v>
      </c>
      <c r="I29" s="2674"/>
      <c r="J29" s="467">
        <f>SUMIF(88:88,I29,89:89)-SUMIF(88:88,C29,89:89)+100</f>
        <v>100</v>
      </c>
      <c r="K29" s="612"/>
      <c r="L29" s="1143"/>
      <c r="M29" s="1134"/>
      <c r="N29" s="1134"/>
      <c r="O29" s="1142"/>
      <c r="P29" s="3166" t="s">
        <v>2557</v>
      </c>
      <c r="Q29" s="1812" t="str">
        <f t="shared" si="11"/>
        <v>建筑类型</v>
      </c>
      <c r="R29" s="774" t="s">
        <v>17</v>
      </c>
      <c r="S29" s="775">
        <f t="shared" si="12"/>
        <v>100</v>
      </c>
      <c r="T29" s="774" t="s">
        <v>17</v>
      </c>
      <c r="U29" s="775">
        <f t="shared" si="13"/>
        <v>100</v>
      </c>
      <c r="V29" s="774" t="s">
        <v>17</v>
      </c>
      <c r="W29" s="775">
        <f t="shared" si="14"/>
        <v>100</v>
      </c>
      <c r="X29" s="1815"/>
      <c r="Y29" s="3167" t="s">
        <v>2557</v>
      </c>
      <c r="Z29" s="1816" t="str">
        <f t="shared" si="15"/>
        <v>建筑类型</v>
      </c>
      <c r="AA29" s="1813">
        <f t="shared" si="3"/>
        <v>1</v>
      </c>
      <c r="AB29" s="1813">
        <f t="shared" si="4"/>
        <v>1</v>
      </c>
      <c r="AC29" s="1813">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7"/>
      <c r="Q30" s="776" t="str">
        <f t="shared" si="11"/>
        <v>项目建筑规模</v>
      </c>
      <c r="R30" s="777" t="s">
        <v>17</v>
      </c>
      <c r="S30" s="778" t="e">
        <f t="shared" si="12"/>
        <v>#N/A</v>
      </c>
      <c r="T30" s="777" t="s">
        <v>17</v>
      </c>
      <c r="U30" s="778" t="e">
        <f t="shared" si="13"/>
        <v>#N/A</v>
      </c>
      <c r="V30" s="777" t="s">
        <v>17</v>
      </c>
      <c r="W30" s="778" t="e">
        <f t="shared" si="14"/>
        <v>#N/A</v>
      </c>
      <c r="X30" s="779"/>
      <c r="Y30" s="3167"/>
      <c r="Z30" s="780" t="str">
        <f t="shared" si="15"/>
        <v>项目建筑规模</v>
      </c>
      <c r="AA30" s="1813" t="e">
        <f t="shared" si="3"/>
        <v>#N/A</v>
      </c>
      <c r="AB30" s="1813" t="e">
        <f t="shared" si="4"/>
        <v>#N/A</v>
      </c>
      <c r="AC30" s="1813"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7"/>
      <c r="Q31" s="1812" t="str">
        <f t="shared" si="11"/>
        <v>建筑结构</v>
      </c>
      <c r="R31" s="774" t="s">
        <v>17</v>
      </c>
      <c r="S31" s="775">
        <f t="shared" si="12"/>
        <v>100</v>
      </c>
      <c r="T31" s="774" t="s">
        <v>17</v>
      </c>
      <c r="U31" s="775">
        <f t="shared" si="13"/>
        <v>100</v>
      </c>
      <c r="V31" s="774" t="s">
        <v>17</v>
      </c>
      <c r="W31" s="775">
        <f t="shared" si="14"/>
        <v>100</v>
      </c>
      <c r="X31" s="1815"/>
      <c r="Y31" s="3167"/>
      <c r="Z31" s="1816" t="str">
        <f t="shared" si="15"/>
        <v>建筑结构</v>
      </c>
      <c r="AA31" s="1813">
        <f t="shared" si="3"/>
        <v>1</v>
      </c>
      <c r="AB31" s="1813">
        <f t="shared" si="4"/>
        <v>1</v>
      </c>
      <c r="AC31" s="1813">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7"/>
      <c r="Q32" s="1812" t="str">
        <f t="shared" si="11"/>
        <v>公共部分装修</v>
      </c>
      <c r="R32" s="774" t="s">
        <v>17</v>
      </c>
      <c r="S32" s="775">
        <f t="shared" si="12"/>
        <v>100</v>
      </c>
      <c r="T32" s="774" t="s">
        <v>17</v>
      </c>
      <c r="U32" s="775">
        <f t="shared" si="13"/>
        <v>100</v>
      </c>
      <c r="V32" s="774" t="s">
        <v>17</v>
      </c>
      <c r="W32" s="775">
        <f t="shared" si="14"/>
        <v>100</v>
      </c>
      <c r="X32" s="1815"/>
      <c r="Y32" s="3167"/>
      <c r="Z32" s="1816" t="str">
        <f t="shared" si="15"/>
        <v>公共部分装修</v>
      </c>
      <c r="AA32" s="1813">
        <f t="shared" si="3"/>
        <v>1</v>
      </c>
      <c r="AB32" s="1813">
        <f t="shared" si="4"/>
        <v>1</v>
      </c>
      <c r="AC32" s="1813">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7"/>
      <c r="Q33" s="1812" t="str">
        <f t="shared" si="11"/>
        <v>成新度</v>
      </c>
      <c r="R33" s="774" t="s">
        <v>17</v>
      </c>
      <c r="S33" s="775" t="e">
        <f t="shared" si="12"/>
        <v>#N/A</v>
      </c>
      <c r="T33" s="774" t="s">
        <v>17</v>
      </c>
      <c r="U33" s="775" t="e">
        <f t="shared" si="13"/>
        <v>#N/A</v>
      </c>
      <c r="V33" s="774" t="s">
        <v>17</v>
      </c>
      <c r="W33" s="775" t="e">
        <f t="shared" si="14"/>
        <v>#N/A</v>
      </c>
      <c r="X33" s="1815"/>
      <c r="Y33" s="3167"/>
      <c r="Z33" s="1816" t="str">
        <f t="shared" si="15"/>
        <v>成新度</v>
      </c>
      <c r="AA33" s="1813" t="e">
        <f t="shared" si="3"/>
        <v>#N/A</v>
      </c>
      <c r="AB33" s="1813" t="e">
        <f t="shared" si="4"/>
        <v>#N/A</v>
      </c>
      <c r="AC33" s="1813"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7"/>
      <c r="Q34" s="1797" t="str">
        <f t="shared" si="11"/>
        <v>物业管理</v>
      </c>
      <c r="R34" s="770" t="s">
        <v>17</v>
      </c>
      <c r="S34" s="771">
        <f t="shared" si="12"/>
        <v>100</v>
      </c>
      <c r="T34" s="770" t="s">
        <v>17</v>
      </c>
      <c r="U34" s="771">
        <f t="shared" si="13"/>
        <v>100</v>
      </c>
      <c r="V34" s="770" t="s">
        <v>17</v>
      </c>
      <c r="W34" s="771">
        <f t="shared" si="14"/>
        <v>100</v>
      </c>
      <c r="X34" s="772"/>
      <c r="Y34" s="3167"/>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7" t="s">
        <v>2557</v>
      </c>
      <c r="Q35" s="1812" t="str">
        <f t="shared" si="11"/>
        <v>市政基础设施</v>
      </c>
      <c r="R35" s="774" t="s">
        <v>17</v>
      </c>
      <c r="S35" s="775">
        <f t="shared" si="12"/>
        <v>100</v>
      </c>
      <c r="T35" s="774" t="s">
        <v>17</v>
      </c>
      <c r="U35" s="775">
        <f t="shared" si="13"/>
        <v>100</v>
      </c>
      <c r="V35" s="774" t="s">
        <v>17</v>
      </c>
      <c r="W35" s="775">
        <f t="shared" si="14"/>
        <v>100</v>
      </c>
      <c r="X35" s="1815"/>
      <c r="Y35" s="3167" t="s">
        <v>2557</v>
      </c>
      <c r="Z35" s="1816" t="str">
        <f t="shared" si="15"/>
        <v>市政基础设施</v>
      </c>
      <c r="AA35" s="1813">
        <f t="shared" si="3"/>
        <v>1</v>
      </c>
      <c r="AB35" s="1813">
        <f t="shared" si="4"/>
        <v>1</v>
      </c>
      <c r="AC35" s="1813">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7"/>
      <c r="Q36" s="1812" t="str">
        <f t="shared" si="11"/>
        <v>内部装修</v>
      </c>
      <c r="R36" s="774" t="s">
        <v>17</v>
      </c>
      <c r="S36" s="775">
        <f t="shared" si="12"/>
        <v>100</v>
      </c>
      <c r="T36" s="774" t="s">
        <v>17</v>
      </c>
      <c r="U36" s="775">
        <f t="shared" si="13"/>
        <v>100</v>
      </c>
      <c r="V36" s="774" t="s">
        <v>17</v>
      </c>
      <c r="W36" s="775">
        <f t="shared" si="14"/>
        <v>100</v>
      </c>
      <c r="X36" s="1815"/>
      <c r="Y36" s="3167"/>
      <c r="Z36" s="1816" t="str">
        <f t="shared" si="15"/>
        <v>内部装修</v>
      </c>
      <c r="AA36" s="1813">
        <f t="shared" si="3"/>
        <v>1</v>
      </c>
      <c r="AB36" s="1813">
        <f t="shared" si="4"/>
        <v>1</v>
      </c>
      <c r="AC36" s="1813">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7"/>
      <c r="Q37" s="1812" t="str">
        <f t="shared" si="11"/>
        <v>内部装修状况</v>
      </c>
      <c r="R37" s="774" t="s">
        <v>17</v>
      </c>
      <c r="S37" s="775">
        <f t="shared" si="12"/>
        <v>100</v>
      </c>
      <c r="T37" s="774" t="s">
        <v>17</v>
      </c>
      <c r="U37" s="775">
        <f t="shared" si="13"/>
        <v>100</v>
      </c>
      <c r="V37" s="774" t="s">
        <v>17</v>
      </c>
      <c r="W37" s="775">
        <f t="shared" si="14"/>
        <v>100</v>
      </c>
      <c r="X37" s="1815"/>
      <c r="Y37" s="3167"/>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7"/>
      <c r="Q38" s="776">
        <f t="shared" si="11"/>
        <v>111</v>
      </c>
      <c r="R38" s="777" t="s">
        <v>17</v>
      </c>
      <c r="S38" s="778">
        <f t="shared" si="12"/>
        <v>100</v>
      </c>
      <c r="T38" s="777" t="s">
        <v>17</v>
      </c>
      <c r="U38" s="778">
        <f t="shared" si="13"/>
        <v>100</v>
      </c>
      <c r="V38" s="777" t="s">
        <v>17</v>
      </c>
      <c r="W38" s="778">
        <f t="shared" si="14"/>
        <v>100</v>
      </c>
      <c r="X38" s="779"/>
      <c r="Y38" s="3167"/>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7"/>
      <c r="Q39" s="1812">
        <f t="shared" si="11"/>
        <v>111</v>
      </c>
      <c r="R39" s="774" t="s">
        <v>17</v>
      </c>
      <c r="S39" s="775">
        <f t="shared" si="12"/>
        <v>100</v>
      </c>
      <c r="T39" s="774" t="s">
        <v>17</v>
      </c>
      <c r="U39" s="775">
        <f t="shared" si="13"/>
        <v>100</v>
      </c>
      <c r="V39" s="774" t="s">
        <v>17</v>
      </c>
      <c r="W39" s="775">
        <f t="shared" si="14"/>
        <v>100</v>
      </c>
      <c r="X39" s="1815"/>
      <c r="Y39" s="3167"/>
      <c r="Z39" s="1816">
        <f t="shared" si="15"/>
        <v>111</v>
      </c>
      <c r="AA39" s="1813">
        <f t="shared" si="3"/>
        <v>1</v>
      </c>
      <c r="AB39" s="1813">
        <f t="shared" si="4"/>
        <v>1</v>
      </c>
      <c r="AC39" s="1813">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3"/>
      <c r="Q40" s="1812">
        <f t="shared" si="11"/>
        <v>111</v>
      </c>
      <c r="R40" s="774" t="s">
        <v>17</v>
      </c>
      <c r="S40" s="775">
        <f t="shared" si="12"/>
        <v>100</v>
      </c>
      <c r="T40" s="774" t="s">
        <v>17</v>
      </c>
      <c r="U40" s="775">
        <f t="shared" si="13"/>
        <v>100</v>
      </c>
      <c r="V40" s="774" t="s">
        <v>17</v>
      </c>
      <c r="W40" s="775">
        <f t="shared" si="14"/>
        <v>100</v>
      </c>
      <c r="X40" s="1815"/>
      <c r="Y40" s="3203"/>
      <c r="Z40" s="1816">
        <f t="shared" si="15"/>
        <v>111</v>
      </c>
      <c r="AA40" s="1813">
        <f t="shared" si="3"/>
        <v>1</v>
      </c>
      <c r="AB40" s="1813">
        <f t="shared" si="4"/>
        <v>1</v>
      </c>
      <c r="AC40" s="1813">
        <f t="shared" si="5"/>
        <v>1</v>
      </c>
    </row>
    <row r="41" spans="1:29" ht="15">
      <c r="A41" s="479" t="s">
        <v>2569</v>
      </c>
      <c r="B41" s="480"/>
      <c r="C41" s="1410" t="s">
        <v>1</v>
      </c>
      <c r="D41" s="1411"/>
      <c r="E41" s="1412"/>
      <c r="F41" s="1413"/>
      <c r="G41" s="1414"/>
      <c r="H41" s="1415"/>
      <c r="I41" s="1412"/>
      <c r="J41" s="1415"/>
      <c r="K41" s="783"/>
      <c r="L41" s="1146"/>
      <c r="M41" s="1147"/>
      <c r="N41" s="1134"/>
      <c r="O41" s="1147"/>
      <c r="P41" s="3162" t="str">
        <f>A41</f>
        <v>成交单价（元/平方米）</v>
      </c>
      <c r="Q41" s="3162"/>
      <c r="R41" s="3199">
        <f>E41</f>
        <v>0</v>
      </c>
      <c r="S41" s="3199"/>
      <c r="T41" s="3199">
        <f>G41</f>
        <v>0</v>
      </c>
      <c r="U41" s="3199"/>
      <c r="V41" s="3199">
        <f>I41</f>
        <v>0</v>
      </c>
      <c r="W41" s="3199"/>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62" t="str">
        <f>A42</f>
        <v>比较价值（元/平方米）</v>
      </c>
      <c r="Q42" s="3162"/>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156" t="str">
        <f>A43</f>
        <v>估价对象XX用房的比较价值（楼面单价，元/平方米）</v>
      </c>
      <c r="Q43" s="3157"/>
      <c r="R43" s="3198" t="e">
        <f>IF(F1="售价",ROUND(AVERAGE(R42:V42),0),ROUND(AVERAGE(R42:V42),1))</f>
        <v>#DIV/0!</v>
      </c>
      <c r="S43" s="3198"/>
      <c r="T43" s="3198"/>
      <c r="U43" s="3198"/>
      <c r="V43" s="3198"/>
      <c r="W43" s="319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1"/>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24"/>
      <c r="F1" s="2580"/>
      <c r="G1" s="1625" t="s">
        <v>2635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2322</v>
      </c>
      <c r="B2" s="1421" t="e">
        <f ca="1">IF(C2="——",IF(B37="元/平方米",ROUND(C39*D3/10000,0),ROUND(F3*C39/10000,0)),IF(B37="元/平方米",ROUND(C39*D3/10000,0),ROUND(F3*C39/10000,0))-D2)</f>
        <v>#DIV/0!</v>
      </c>
      <c r="C2" s="2582"/>
      <c r="D2" s="1127" t="e">
        <f ca="1">SUMIF(INDIRECT("'"&amp;F2&amp;"'"&amp;"!A:A"),"承租人权益价值",INDIRECT("'"&amp;F2&amp;"'"&amp;"!c:c"))</f>
        <v>#REF!</v>
      </c>
      <c r="E2" s="2583" t="s">
        <v>2323</v>
      </c>
      <c r="F2" s="258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159" t="s">
        <v>2638</v>
      </c>
      <c r="D4" s="3172"/>
      <c r="E4" s="3173" t="s">
        <v>2639</v>
      </c>
      <c r="F4" s="3174"/>
      <c r="G4" s="3159" t="s">
        <v>2640</v>
      </c>
      <c r="H4" s="3172"/>
      <c r="I4" s="3159" t="s">
        <v>2641</v>
      </c>
      <c r="J4" s="3172"/>
      <c r="K4" s="610" t="s">
        <v>2642</v>
      </c>
      <c r="L4" s="1133"/>
      <c r="M4" s="1134"/>
      <c r="N4" s="1134"/>
      <c r="O4" s="1134"/>
      <c r="P4" s="3175" t="s">
        <v>2643</v>
      </c>
      <c r="Q4" s="3176"/>
      <c r="R4" s="3181" t="s">
        <v>2639</v>
      </c>
      <c r="S4" s="3182"/>
      <c r="T4" s="3181" t="s">
        <v>2640</v>
      </c>
      <c r="U4" s="3182"/>
      <c r="V4" s="3168" t="s">
        <v>2641</v>
      </c>
      <c r="W4" s="3168"/>
      <c r="X4" s="1815"/>
      <c r="Y4" s="3181" t="s">
        <v>2643</v>
      </c>
      <c r="Z4" s="3182"/>
      <c r="AA4" s="3169" t="s">
        <v>2639</v>
      </c>
      <c r="AB4" s="3170" t="s">
        <v>2640</v>
      </c>
      <c r="AC4" s="3169" t="s">
        <v>2641</v>
      </c>
    </row>
    <row r="5" spans="1:29" ht="15">
      <c r="A5" s="404"/>
      <c r="B5" s="405"/>
      <c r="C5" s="3234" t="s">
        <v>2534</v>
      </c>
      <c r="D5" s="3190"/>
      <c r="E5" s="3236" t="s">
        <v>2535</v>
      </c>
      <c r="F5" s="3197"/>
      <c r="G5" s="3234" t="s">
        <v>2536</v>
      </c>
      <c r="H5" s="3190"/>
      <c r="I5" s="3234" t="s">
        <v>2537</v>
      </c>
      <c r="J5" s="3190"/>
      <c r="K5" s="610"/>
      <c r="L5" s="1133"/>
      <c r="M5" s="1134"/>
      <c r="N5" s="1134"/>
      <c r="O5" s="1134"/>
      <c r="P5" s="3177"/>
      <c r="Q5" s="3178"/>
      <c r="R5" s="3183"/>
      <c r="S5" s="3184"/>
      <c r="T5" s="3183"/>
      <c r="U5" s="3184"/>
      <c r="V5" s="3168"/>
      <c r="W5" s="3168"/>
      <c r="X5" s="1815"/>
      <c r="Y5" s="3183"/>
      <c r="Z5" s="3184"/>
      <c r="AA5" s="3170"/>
      <c r="AB5" s="3170"/>
      <c r="AC5" s="3170"/>
    </row>
    <row r="6" spans="1:29" ht="15.75" thickBot="1">
      <c r="A6" s="406"/>
      <c r="B6" s="407"/>
      <c r="C6" s="3206" t="s">
        <v>2538</v>
      </c>
      <c r="D6" s="3188"/>
      <c r="E6" s="3235" t="s">
        <v>2538</v>
      </c>
      <c r="F6" s="3195"/>
      <c r="G6" s="3206" t="s">
        <v>2538</v>
      </c>
      <c r="H6" s="3188"/>
      <c r="I6" s="3206" t="s">
        <v>2538</v>
      </c>
      <c r="J6" s="3188"/>
      <c r="K6" s="610" t="s">
        <v>2539</v>
      </c>
      <c r="L6" s="1133"/>
      <c r="M6" s="1134"/>
      <c r="N6" s="1134"/>
      <c r="O6" s="1134"/>
      <c r="P6" s="3179"/>
      <c r="Q6" s="3180"/>
      <c r="R6" s="3183"/>
      <c r="S6" s="3184"/>
      <c r="T6" s="3185"/>
      <c r="U6" s="3186"/>
      <c r="V6" s="3168"/>
      <c r="W6" s="3168"/>
      <c r="X6" s="1815"/>
      <c r="Y6" s="3185"/>
      <c r="Z6" s="3186"/>
      <c r="AA6" s="3171"/>
      <c r="AB6" s="3171"/>
      <c r="AC6" s="3171"/>
    </row>
    <row r="7" spans="1:29" s="117" customFormat="1" ht="15.75" thickBot="1">
      <c r="A7" s="408" t="s">
        <v>2540</v>
      </c>
      <c r="B7" s="409"/>
      <c r="C7" s="410">
        <f>'数据-取费表'!B2</f>
        <v>43279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1" t="s">
        <v>2541</v>
      </c>
      <c r="Q7" s="3193"/>
      <c r="R7" s="770" t="s">
        <v>17</v>
      </c>
      <c r="S7" s="771">
        <f t="shared" ref="S7:S14" si="0">F7</f>
        <v>0</v>
      </c>
      <c r="T7" s="770" t="s">
        <v>17</v>
      </c>
      <c r="U7" s="771">
        <f t="shared" ref="U7:U14" si="1">H7</f>
        <v>0</v>
      </c>
      <c r="V7" s="770" t="s">
        <v>17</v>
      </c>
      <c r="W7" s="771">
        <f t="shared" ref="W7:W14" si="2">J7</f>
        <v>0</v>
      </c>
      <c r="X7" s="772"/>
      <c r="Y7" s="3191" t="s">
        <v>2541</v>
      </c>
      <c r="Z7" s="3192"/>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1" t="s">
        <v>2544</v>
      </c>
      <c r="Q8" s="3192"/>
      <c r="R8" s="770" t="s">
        <v>17</v>
      </c>
      <c r="S8" s="771">
        <f t="shared" si="0"/>
        <v>0</v>
      </c>
      <c r="T8" s="770" t="s">
        <v>17</v>
      </c>
      <c r="U8" s="771">
        <f t="shared" si="1"/>
        <v>0</v>
      </c>
      <c r="V8" s="770" t="s">
        <v>17</v>
      </c>
      <c r="W8" s="771">
        <f t="shared" si="2"/>
        <v>0</v>
      </c>
      <c r="X8" s="772"/>
      <c r="Y8" s="3191" t="s">
        <v>2544</v>
      </c>
      <c r="Z8" s="3192"/>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2" t="s">
        <v>2547</v>
      </c>
      <c r="Q9" s="1797" t="str">
        <f t="shared" ref="Q9:Q14" si="6">B9</f>
        <v>用途</v>
      </c>
      <c r="R9" s="770" t="s">
        <v>17</v>
      </c>
      <c r="S9" s="771">
        <f t="shared" si="0"/>
        <v>100</v>
      </c>
      <c r="T9" s="770" t="s">
        <v>17</v>
      </c>
      <c r="U9" s="771">
        <f t="shared" si="1"/>
        <v>100</v>
      </c>
      <c r="V9" s="770" t="s">
        <v>17</v>
      </c>
      <c r="W9" s="771">
        <f t="shared" si="2"/>
        <v>100</v>
      </c>
      <c r="X9" s="772"/>
      <c r="Y9" s="3010"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2"/>
      <c r="Q10" s="179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2"/>
      <c r="Q11" s="1797">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2"/>
      <c r="Q12" s="179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2"/>
      <c r="Q13" s="179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6.75">
      <c r="A14" s="401" t="s">
        <v>2551</v>
      </c>
      <c r="B14" s="629" t="s">
        <v>2701</v>
      </c>
      <c r="C14" s="2688" t="str">
        <f>IF(B1="工业",估价对象房地状况!G4,估价对象房地状况!C6)</f>
        <v>估价对象紧邻城市支路——大新路、安阳道，周边路网密集程度一般、公共交通通达情况一般，有821、529路等公共交通，停车便捷程度一般，综合评价交通便捷度一般。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4" t="s">
        <v>2552</v>
      </c>
      <c r="Q14" s="1812" t="str">
        <f t="shared" si="6"/>
        <v>交通便捷度</v>
      </c>
      <c r="R14" s="774" t="s">
        <v>17</v>
      </c>
      <c r="S14" s="775">
        <f t="shared" si="0"/>
        <v>100</v>
      </c>
      <c r="T14" s="774" t="s">
        <v>17</v>
      </c>
      <c r="U14" s="775">
        <f t="shared" si="1"/>
        <v>100</v>
      </c>
      <c r="V14" s="774" t="s">
        <v>17</v>
      </c>
      <c r="W14" s="775">
        <f t="shared" si="2"/>
        <v>100</v>
      </c>
      <c r="X14" s="1815"/>
      <c r="Y14" s="3164" t="s">
        <v>2552</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65"/>
      <c r="Q15" s="1812"/>
      <c r="R15" s="774"/>
      <c r="S15" s="775"/>
      <c r="T15" s="774"/>
      <c r="U15" s="775"/>
      <c r="V15" s="774"/>
      <c r="W15" s="775"/>
      <c r="X15" s="1815"/>
      <c r="Y15" s="3165"/>
      <c r="Z15" s="1816"/>
      <c r="AA15" s="1813">
        <v>1</v>
      </c>
      <c r="AB15" s="1813">
        <v>1</v>
      </c>
      <c r="AC15" s="1813">
        <v>1</v>
      </c>
    </row>
    <row r="16" spans="1:29" ht="213.75">
      <c r="A16" s="404"/>
      <c r="B16" s="631" t="s">
        <v>2680</v>
      </c>
      <c r="C16" s="2602" t="str">
        <f>IF(B1="工业",估价对象房地状况!G5,估价对象房地状况!C7)</f>
        <v>估价对象所在区域2公里范围内有：银行（天津滨海惠民村镇银行、中信银行），购物（宝龙广场、保华突查百货），医院（响螺湾医院），学校（滨海新区幸福幼儿园、塘沽盐场小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5"/>
      <c r="Q16" s="1812" t="str">
        <f>B16</f>
        <v>公共配套设施</v>
      </c>
      <c r="R16" s="774" t="s">
        <v>17</v>
      </c>
      <c r="S16" s="775">
        <f>F16</f>
        <v>100</v>
      </c>
      <c r="T16" s="774" t="s">
        <v>17</v>
      </c>
      <c r="U16" s="775">
        <f>H16</f>
        <v>100</v>
      </c>
      <c r="V16" s="774" t="s">
        <v>17</v>
      </c>
      <c r="W16" s="775">
        <f>J16</f>
        <v>100</v>
      </c>
      <c r="X16" s="1815"/>
      <c r="Y16" s="3165"/>
      <c r="Z16" s="1816" t="str">
        <f>Q16</f>
        <v>公共配套设施</v>
      </c>
      <c r="AA16" s="1813">
        <f t="shared" si="3"/>
        <v>1</v>
      </c>
      <c r="AB16" s="1813">
        <f t="shared" si="4"/>
        <v>1</v>
      </c>
      <c r="AC16" s="1813">
        <f t="shared" si="5"/>
        <v>1</v>
      </c>
    </row>
    <row r="17" spans="1:29" ht="15">
      <c r="A17" s="404"/>
      <c r="B17" s="632"/>
      <c r="C17" s="2603"/>
      <c r="D17" s="448"/>
      <c r="E17" s="447"/>
      <c r="F17" s="449"/>
      <c r="G17" s="447"/>
      <c r="H17" s="448"/>
      <c r="I17" s="447"/>
      <c r="J17" s="448"/>
      <c r="K17" s="615"/>
      <c r="L17" s="1143"/>
      <c r="M17" s="1134"/>
      <c r="N17" s="1134"/>
      <c r="O17" s="1134"/>
      <c r="P17" s="3165"/>
      <c r="Q17" s="1812"/>
      <c r="R17" s="774"/>
      <c r="S17" s="775"/>
      <c r="T17" s="774"/>
      <c r="U17" s="775"/>
      <c r="V17" s="774"/>
      <c r="W17" s="775"/>
      <c r="X17" s="1815"/>
      <c r="Y17" s="3165"/>
      <c r="Z17" s="1816"/>
      <c r="AA17" s="1813">
        <v>1</v>
      </c>
      <c r="AB17" s="1813">
        <v>1</v>
      </c>
      <c r="AC17" s="1813">
        <v>1</v>
      </c>
    </row>
    <row r="18" spans="1:29" ht="42.75">
      <c r="A18" s="404"/>
      <c r="B18" s="633" t="s">
        <v>2681</v>
      </c>
      <c r="C18" s="2602"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5"/>
      <c r="Q18" s="1812" t="str">
        <f>B18</f>
        <v>基础设施水平</v>
      </c>
      <c r="R18" s="774" t="s">
        <v>17</v>
      </c>
      <c r="S18" s="775">
        <f>F18</f>
        <v>100</v>
      </c>
      <c r="T18" s="774" t="s">
        <v>17</v>
      </c>
      <c r="U18" s="775">
        <f>H18</f>
        <v>100</v>
      </c>
      <c r="V18" s="774" t="s">
        <v>17</v>
      </c>
      <c r="W18" s="775">
        <f>J18</f>
        <v>100</v>
      </c>
      <c r="X18" s="1815"/>
      <c r="Y18" s="3165"/>
      <c r="Z18" s="1816" t="str">
        <f>Q18</f>
        <v>基础设施水平</v>
      </c>
      <c r="AA18" s="1813">
        <f t="shared" ref="AA18" si="8">D18/F18</f>
        <v>1</v>
      </c>
      <c r="AB18" s="1813">
        <f t="shared" ref="AB18" si="9">D18/H18</f>
        <v>1</v>
      </c>
      <c r="AC18" s="1813">
        <f t="shared" ref="AC18" si="10">D18/J18</f>
        <v>1</v>
      </c>
    </row>
    <row r="19" spans="1:29" ht="15">
      <c r="A19" s="404"/>
      <c r="B19" s="633"/>
      <c r="C19" s="2603"/>
      <c r="D19" s="450"/>
      <c r="E19" s="2603"/>
      <c r="F19" s="453"/>
      <c r="G19" s="2603"/>
      <c r="H19" s="448"/>
      <c r="I19" s="447"/>
      <c r="J19" s="448"/>
      <c r="K19" s="1386"/>
      <c r="L19" s="1143"/>
      <c r="M19" s="1134"/>
      <c r="N19" s="1134"/>
      <c r="O19" s="1134"/>
      <c r="P19" s="3165"/>
      <c r="Q19" s="1812"/>
      <c r="R19" s="774"/>
      <c r="S19" s="775"/>
      <c r="T19" s="774"/>
      <c r="U19" s="775"/>
      <c r="V19" s="774"/>
      <c r="W19" s="775"/>
      <c r="X19" s="1815"/>
      <c r="Y19" s="3165"/>
      <c r="Z19" s="1816"/>
      <c r="AA19" s="1813">
        <v>1</v>
      </c>
      <c r="AB19" s="1813">
        <v>1</v>
      </c>
      <c r="AC19" s="1813">
        <v>1</v>
      </c>
    </row>
    <row r="20" spans="1:29" ht="85.5">
      <c r="A20" s="404"/>
      <c r="B20" s="631" t="s">
        <v>2702</v>
      </c>
      <c r="C20" s="2602" t="str">
        <f>IF(B1="工业",估价对象房地状况!G7,估价对象房地状况!C9)</f>
        <v>区域自然环境：彩带公园；人文环境：无博物馆、展览馆等人文景观；综合评价环境状况一般。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5"/>
      <c r="Q20" s="1812" t="str">
        <f>B20</f>
        <v>自然及人文环境</v>
      </c>
      <c r="R20" s="774" t="s">
        <v>17</v>
      </c>
      <c r="S20" s="775">
        <f>F20</f>
        <v>100</v>
      </c>
      <c r="T20" s="774" t="s">
        <v>17</v>
      </c>
      <c r="U20" s="775">
        <f>H20</f>
        <v>100</v>
      </c>
      <c r="V20" s="774" t="s">
        <v>17</v>
      </c>
      <c r="W20" s="775">
        <f>J20</f>
        <v>100</v>
      </c>
      <c r="X20" s="1815"/>
      <c r="Y20" s="316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65"/>
      <c r="Q21" s="1812"/>
      <c r="R21" s="774"/>
      <c r="S21" s="775"/>
      <c r="T21" s="774"/>
      <c r="U21" s="775"/>
      <c r="V21" s="774"/>
      <c r="W21" s="775"/>
      <c r="X21" s="1815"/>
      <c r="Y21" s="3165"/>
      <c r="Z21" s="1816"/>
      <c r="AA21" s="1813">
        <v>1</v>
      </c>
      <c r="AB21" s="1813">
        <v>1</v>
      </c>
      <c r="AC21" s="1813">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5"/>
      <c r="Q22" s="1812" t="str">
        <f>B22</f>
        <v>楼层</v>
      </c>
      <c r="R22" s="774" t="s">
        <v>17</v>
      </c>
      <c r="S22" s="775">
        <f>F22</f>
        <v>100</v>
      </c>
      <c r="T22" s="774" t="s">
        <v>17</v>
      </c>
      <c r="U22" s="775">
        <f>H22</f>
        <v>100</v>
      </c>
      <c r="V22" s="774" t="s">
        <v>17</v>
      </c>
      <c r="W22" s="775">
        <f>J22</f>
        <v>100</v>
      </c>
      <c r="X22" s="1815"/>
      <c r="Y22" s="316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5"/>
      <c r="Q23" s="1812">
        <f>B23</f>
        <v>111</v>
      </c>
      <c r="R23" s="774" t="s">
        <v>17</v>
      </c>
      <c r="S23" s="775">
        <f>F23</f>
        <v>100</v>
      </c>
      <c r="T23" s="774" t="s">
        <v>17</v>
      </c>
      <c r="U23" s="775">
        <f>H23</f>
        <v>100</v>
      </c>
      <c r="V23" s="774" t="s">
        <v>17</v>
      </c>
      <c r="W23" s="775">
        <f>J23</f>
        <v>100</v>
      </c>
      <c r="X23" s="1815"/>
      <c r="Y23" s="316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5"/>
      <c r="Q24" s="1812">
        <f t="shared" ref="Q24:Q36" si="11">B24</f>
        <v>111</v>
      </c>
      <c r="R24" s="774" t="s">
        <v>17</v>
      </c>
      <c r="S24" s="775">
        <f>F24</f>
        <v>100</v>
      </c>
      <c r="T24" s="774" t="s">
        <v>17</v>
      </c>
      <c r="U24" s="775">
        <f>H24</f>
        <v>100</v>
      </c>
      <c r="V24" s="774" t="s">
        <v>17</v>
      </c>
      <c r="W24" s="775">
        <f>J24</f>
        <v>100</v>
      </c>
      <c r="X24" s="1815"/>
      <c r="Y24" s="316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5"/>
      <c r="Q25" s="1797">
        <f t="shared" si="11"/>
        <v>111</v>
      </c>
      <c r="R25" s="770" t="s">
        <v>17</v>
      </c>
      <c r="S25" s="771">
        <f>F25</f>
        <v>100</v>
      </c>
      <c r="T25" s="770" t="s">
        <v>17</v>
      </c>
      <c r="U25" s="771">
        <f>H25</f>
        <v>100</v>
      </c>
      <c r="V25" s="770" t="s">
        <v>17</v>
      </c>
      <c r="W25" s="771">
        <f>J25</f>
        <v>100</v>
      </c>
      <c r="X25" s="772"/>
      <c r="Y25" s="3165"/>
      <c r="Z25" s="55">
        <f>Q25</f>
        <v>111</v>
      </c>
      <c r="AA25" s="1813">
        <f>D25/F25</f>
        <v>1</v>
      </c>
      <c r="AB25" s="1813">
        <f>D25/H25</f>
        <v>1</v>
      </c>
      <c r="AC25" s="1813">
        <f>D25/J25</f>
        <v>1</v>
      </c>
    </row>
    <row r="26" spans="1:29" ht="15">
      <c r="A26" s="652" t="s">
        <v>2555</v>
      </c>
      <c r="B26" s="70" t="s">
        <v>2704</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6" t="s">
        <v>2557</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67" t="s">
        <v>2557</v>
      </c>
      <c r="Z26" s="1816" t="str">
        <f t="shared" ref="Z26:Z36" si="15">Q26</f>
        <v>配套类型</v>
      </c>
      <c r="AA26" s="1813">
        <f t="shared" si="3"/>
        <v>1</v>
      </c>
      <c r="AB26" s="1813">
        <f t="shared" si="4"/>
        <v>1</v>
      </c>
      <c r="AC26" s="1813">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7"/>
      <c r="Q27" s="776" t="str">
        <f t="shared" si="11"/>
        <v>项目停车位配比</v>
      </c>
      <c r="R27" s="777" t="s">
        <v>17</v>
      </c>
      <c r="S27" s="778">
        <f t="shared" si="12"/>
        <v>100</v>
      </c>
      <c r="T27" s="777" t="s">
        <v>17</v>
      </c>
      <c r="U27" s="778">
        <f t="shared" si="13"/>
        <v>100</v>
      </c>
      <c r="V27" s="777" t="s">
        <v>17</v>
      </c>
      <c r="W27" s="778">
        <f t="shared" si="14"/>
        <v>100</v>
      </c>
      <c r="X27" s="779"/>
      <c r="Y27" s="3167"/>
      <c r="Z27" s="780" t="str">
        <f t="shared" si="15"/>
        <v>项目停车位配比</v>
      </c>
      <c r="AA27" s="1813">
        <f t="shared" si="3"/>
        <v>1</v>
      </c>
      <c r="AB27" s="1813">
        <f t="shared" si="4"/>
        <v>1</v>
      </c>
      <c r="AC27" s="1813">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7"/>
      <c r="Q28" s="1812" t="str">
        <f t="shared" si="11"/>
        <v>公共部分装修</v>
      </c>
      <c r="R28" s="774" t="s">
        <v>17</v>
      </c>
      <c r="S28" s="775">
        <f t="shared" si="12"/>
        <v>100</v>
      </c>
      <c r="T28" s="774" t="s">
        <v>17</v>
      </c>
      <c r="U28" s="775">
        <f t="shared" si="13"/>
        <v>100</v>
      </c>
      <c r="V28" s="774" t="s">
        <v>17</v>
      </c>
      <c r="W28" s="775">
        <f t="shared" si="14"/>
        <v>100</v>
      </c>
      <c r="X28" s="1815"/>
      <c r="Y28" s="3167"/>
      <c r="Z28" s="1816" t="str">
        <f t="shared" si="15"/>
        <v>公共部分装修</v>
      </c>
      <c r="AA28" s="1813">
        <f t="shared" si="3"/>
        <v>1</v>
      </c>
      <c r="AB28" s="1813">
        <f t="shared" si="4"/>
        <v>1</v>
      </c>
      <c r="AC28" s="1813">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7"/>
      <c r="Q29" s="1812" t="str">
        <f t="shared" si="11"/>
        <v>成新率</v>
      </c>
      <c r="R29" s="774" t="s">
        <v>17</v>
      </c>
      <c r="S29" s="775" t="e">
        <f t="shared" si="12"/>
        <v>#N/A</v>
      </c>
      <c r="T29" s="774" t="s">
        <v>17</v>
      </c>
      <c r="U29" s="775" t="e">
        <f t="shared" si="13"/>
        <v>#N/A</v>
      </c>
      <c r="V29" s="774" t="s">
        <v>17</v>
      </c>
      <c r="W29" s="775" t="e">
        <f t="shared" si="14"/>
        <v>#N/A</v>
      </c>
      <c r="X29" s="1815"/>
      <c r="Y29" s="3167"/>
      <c r="Z29" s="1816" t="str">
        <f t="shared" si="15"/>
        <v>成新率</v>
      </c>
      <c r="AA29" s="1813" t="e">
        <f t="shared" si="3"/>
        <v>#N/A</v>
      </c>
      <c r="AB29" s="1813" t="e">
        <f t="shared" si="4"/>
        <v>#N/A</v>
      </c>
      <c r="AC29" s="1813"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7"/>
      <c r="Q30" s="1812" t="str">
        <f t="shared" si="11"/>
        <v>物业等级</v>
      </c>
      <c r="R30" s="774" t="s">
        <v>17</v>
      </c>
      <c r="S30" s="775">
        <f t="shared" si="12"/>
        <v>100</v>
      </c>
      <c r="T30" s="774" t="s">
        <v>17</v>
      </c>
      <c r="U30" s="775">
        <f t="shared" si="13"/>
        <v>100</v>
      </c>
      <c r="V30" s="774" t="s">
        <v>17</v>
      </c>
      <c r="W30" s="775">
        <f t="shared" si="14"/>
        <v>100</v>
      </c>
      <c r="X30" s="1815"/>
      <c r="Y30" s="3167"/>
      <c r="Z30" s="1816" t="str">
        <f t="shared" si="15"/>
        <v>物业等级</v>
      </c>
      <c r="AA30" s="1813">
        <f t="shared" si="3"/>
        <v>1</v>
      </c>
      <c r="AB30" s="1813">
        <f t="shared" si="4"/>
        <v>1</v>
      </c>
      <c r="AC30" s="1813">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7"/>
      <c r="Q31" s="1797" t="str">
        <f t="shared" si="11"/>
        <v>停车位面积</v>
      </c>
      <c r="R31" s="770" t="s">
        <v>17</v>
      </c>
      <c r="S31" s="771" t="e">
        <f t="shared" si="12"/>
        <v>#N/A</v>
      </c>
      <c r="T31" s="770" t="s">
        <v>17</v>
      </c>
      <c r="U31" s="771" t="e">
        <f t="shared" si="13"/>
        <v>#N/A</v>
      </c>
      <c r="V31" s="770" t="s">
        <v>17</v>
      </c>
      <c r="W31" s="771" t="e">
        <f t="shared" si="14"/>
        <v>#N/A</v>
      </c>
      <c r="X31" s="772"/>
      <c r="Y31" s="3167"/>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7" t="s">
        <v>2557</v>
      </c>
      <c r="Q32" s="1812" t="str">
        <f t="shared" si="11"/>
        <v>车位类型</v>
      </c>
      <c r="R32" s="774" t="s">
        <v>17</v>
      </c>
      <c r="S32" s="775">
        <f t="shared" si="12"/>
        <v>100</v>
      </c>
      <c r="T32" s="774" t="s">
        <v>17</v>
      </c>
      <c r="U32" s="775">
        <f t="shared" si="13"/>
        <v>100</v>
      </c>
      <c r="V32" s="774" t="s">
        <v>17</v>
      </c>
      <c r="W32" s="775">
        <f t="shared" si="14"/>
        <v>100</v>
      </c>
      <c r="X32" s="1815"/>
      <c r="Y32" s="3167" t="s">
        <v>2557</v>
      </c>
      <c r="Z32" s="1816" t="str">
        <f t="shared" si="15"/>
        <v>车位类型</v>
      </c>
      <c r="AA32" s="1813">
        <f t="shared" si="3"/>
        <v>1</v>
      </c>
      <c r="AB32" s="1813">
        <f t="shared" si="4"/>
        <v>1</v>
      </c>
      <c r="AC32" s="1813">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7"/>
      <c r="Q33" s="1812" t="str">
        <f t="shared" si="11"/>
        <v>是否直接入户</v>
      </c>
      <c r="R33" s="774" t="s">
        <v>17</v>
      </c>
      <c r="S33" s="775">
        <f t="shared" si="12"/>
        <v>100</v>
      </c>
      <c r="T33" s="774" t="s">
        <v>17</v>
      </c>
      <c r="U33" s="775">
        <f t="shared" si="13"/>
        <v>100</v>
      </c>
      <c r="V33" s="774" t="s">
        <v>17</v>
      </c>
      <c r="W33" s="775">
        <f t="shared" si="14"/>
        <v>100</v>
      </c>
      <c r="X33" s="1815"/>
      <c r="Y33" s="316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7"/>
      <c r="Q34" s="1812">
        <f t="shared" si="11"/>
        <v>111</v>
      </c>
      <c r="R34" s="774" t="s">
        <v>17</v>
      </c>
      <c r="S34" s="775">
        <f t="shared" si="12"/>
        <v>100</v>
      </c>
      <c r="T34" s="774" t="s">
        <v>17</v>
      </c>
      <c r="U34" s="775">
        <f t="shared" si="13"/>
        <v>100</v>
      </c>
      <c r="V34" s="774" t="s">
        <v>17</v>
      </c>
      <c r="W34" s="775">
        <f t="shared" si="14"/>
        <v>100</v>
      </c>
      <c r="X34" s="1815"/>
      <c r="Y34" s="316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7"/>
      <c r="Q35" s="776">
        <f t="shared" si="11"/>
        <v>111</v>
      </c>
      <c r="R35" s="777" t="s">
        <v>17</v>
      </c>
      <c r="S35" s="778">
        <f t="shared" si="12"/>
        <v>100</v>
      </c>
      <c r="T35" s="777" t="s">
        <v>17</v>
      </c>
      <c r="U35" s="778">
        <f t="shared" si="13"/>
        <v>100</v>
      </c>
      <c r="V35" s="777" t="s">
        <v>17</v>
      </c>
      <c r="W35" s="778">
        <f t="shared" si="14"/>
        <v>100</v>
      </c>
      <c r="X35" s="779"/>
      <c r="Y35" s="3167"/>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7"/>
      <c r="Q36" s="1812">
        <f t="shared" si="11"/>
        <v>111</v>
      </c>
      <c r="R36" s="774" t="s">
        <v>17</v>
      </c>
      <c r="S36" s="775">
        <f t="shared" si="12"/>
        <v>100</v>
      </c>
      <c r="T36" s="774" t="s">
        <v>17</v>
      </c>
      <c r="U36" s="775">
        <f t="shared" si="13"/>
        <v>100</v>
      </c>
      <c r="V36" s="774" t="s">
        <v>17</v>
      </c>
      <c r="W36" s="775">
        <f t="shared" si="14"/>
        <v>100</v>
      </c>
      <c r="X36" s="1815"/>
      <c r="Y36" s="3167"/>
      <c r="Z36" s="1816">
        <f t="shared" si="15"/>
        <v>111</v>
      </c>
      <c r="AA36" s="1813">
        <f t="shared" si="3"/>
        <v>1</v>
      </c>
      <c r="AB36" s="1813">
        <f t="shared" si="4"/>
        <v>1</v>
      </c>
      <c r="AC36" s="1813">
        <f t="shared" si="5"/>
        <v>1</v>
      </c>
    </row>
    <row r="37" spans="1:29" ht="15">
      <c r="A37" s="479" t="s">
        <v>2712</v>
      </c>
      <c r="B37" s="2690" t="s">
        <v>2713</v>
      </c>
      <c r="C37" s="1410" t="s">
        <v>1</v>
      </c>
      <c r="D37" s="1411"/>
      <c r="E37" s="1412"/>
      <c r="F37" s="1413"/>
      <c r="G37" s="1414"/>
      <c r="H37" s="1415"/>
      <c r="I37" s="1412"/>
      <c r="J37" s="1415"/>
      <c r="K37" s="619"/>
      <c r="L37" s="1146"/>
      <c r="M37" s="1147"/>
      <c r="N37" s="1134"/>
      <c r="O37" s="1147"/>
      <c r="P37" s="3162" t="str">
        <f>A37</f>
        <v>成交单价</v>
      </c>
      <c r="Q37" s="3162"/>
      <c r="R37" s="3199">
        <f>E37</f>
        <v>0</v>
      </c>
      <c r="S37" s="3199"/>
      <c r="T37" s="3199">
        <f>G37</f>
        <v>0</v>
      </c>
      <c r="U37" s="3199"/>
      <c r="V37" s="3199">
        <f>I37</f>
        <v>0</v>
      </c>
      <c r="W37" s="3199"/>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2" t="str">
        <f>A38</f>
        <v>比较价值（元/平方米）</v>
      </c>
      <c r="Q38" s="3162"/>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156" t="str">
        <f>A39</f>
        <v>估价对象XX用房的比较价值（楼面单价，元/平方米）</v>
      </c>
      <c r="Q39" s="3157"/>
      <c r="R39" s="3198" t="e">
        <f>IF(F1="售价",ROUND(AVERAGE(R38:V38),0),ROUND(AVERAGE(R38:V38),1))</f>
        <v>#DIV/0!</v>
      </c>
      <c r="S39" s="3198"/>
      <c r="T39" s="3198"/>
      <c r="U39" s="3198"/>
      <c r="V39" s="3198"/>
      <c r="W39" s="319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32"/>
      <c r="F1" s="258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2322</v>
      </c>
      <c r="B2" s="1421" t="e">
        <f ca="1">IF(C2="——",ROUND(C37*D3/10000,0),ROUND(C37*D3/10000,0)-D2)</f>
        <v>#DIV/0!</v>
      </c>
      <c r="C2" s="2582"/>
      <c r="D2" s="1127" t="e">
        <f ca="1">SUMIF(INDIRECT("'"&amp;F2&amp;"'"&amp;"!A:A"),"承租人权益价值",INDIRECT("'"&amp;F2&amp;"'"&amp;"!c:c"))</f>
        <v>#REF!</v>
      </c>
      <c r="E2" s="2583" t="s">
        <v>2323</v>
      </c>
      <c r="F2" s="258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9" t="s">
        <v>2638</v>
      </c>
      <c r="D4" s="3172"/>
      <c r="E4" s="3173" t="s">
        <v>2639</v>
      </c>
      <c r="F4" s="3174"/>
      <c r="G4" s="3159" t="s">
        <v>2640</v>
      </c>
      <c r="H4" s="3172"/>
      <c r="I4" s="3159" t="s">
        <v>2641</v>
      </c>
      <c r="J4" s="3172"/>
      <c r="K4" s="610" t="s">
        <v>2642</v>
      </c>
      <c r="L4" s="1133"/>
      <c r="M4" s="1134"/>
      <c r="N4" s="1134"/>
      <c r="O4" s="1134"/>
      <c r="P4" s="3175" t="s">
        <v>2643</v>
      </c>
      <c r="Q4" s="3176"/>
      <c r="R4" s="3181" t="s">
        <v>2639</v>
      </c>
      <c r="S4" s="3182"/>
      <c r="T4" s="3181" t="s">
        <v>2640</v>
      </c>
      <c r="U4" s="3182"/>
      <c r="V4" s="3168" t="s">
        <v>2641</v>
      </c>
      <c r="W4" s="3168"/>
      <c r="X4" s="1815"/>
      <c r="Y4" s="3181" t="s">
        <v>2643</v>
      </c>
      <c r="Z4" s="3182"/>
      <c r="AA4" s="3169" t="s">
        <v>2639</v>
      </c>
      <c r="AB4" s="3170" t="s">
        <v>2640</v>
      </c>
      <c r="AC4" s="3169" t="s">
        <v>2641</v>
      </c>
    </row>
    <row r="5" spans="1:29" ht="15">
      <c r="A5" s="404"/>
      <c r="B5" s="405"/>
      <c r="C5" s="3234" t="s">
        <v>2534</v>
      </c>
      <c r="D5" s="3190"/>
      <c r="E5" s="3236" t="s">
        <v>2535</v>
      </c>
      <c r="F5" s="3197"/>
      <c r="G5" s="3234" t="s">
        <v>2536</v>
      </c>
      <c r="H5" s="3190"/>
      <c r="I5" s="3234" t="s">
        <v>2537</v>
      </c>
      <c r="J5" s="3190"/>
      <c r="K5" s="610"/>
      <c r="L5" s="1133"/>
      <c r="M5" s="1134"/>
      <c r="N5" s="1134"/>
      <c r="O5" s="1134"/>
      <c r="P5" s="3177"/>
      <c r="Q5" s="3178"/>
      <c r="R5" s="3183"/>
      <c r="S5" s="3184"/>
      <c r="T5" s="3183"/>
      <c r="U5" s="3184"/>
      <c r="V5" s="3168"/>
      <c r="W5" s="3168"/>
      <c r="X5" s="1815"/>
      <c r="Y5" s="3183"/>
      <c r="Z5" s="3184"/>
      <c r="AA5" s="3170"/>
      <c r="AB5" s="3170"/>
      <c r="AC5" s="3170"/>
    </row>
    <row r="6" spans="1:29" ht="15.75" thickBot="1">
      <c r="A6" s="406"/>
      <c r="B6" s="407"/>
      <c r="C6" s="3206" t="s">
        <v>2538</v>
      </c>
      <c r="D6" s="3188"/>
      <c r="E6" s="3235" t="s">
        <v>2538</v>
      </c>
      <c r="F6" s="3195"/>
      <c r="G6" s="3206" t="s">
        <v>2538</v>
      </c>
      <c r="H6" s="3188"/>
      <c r="I6" s="3206" t="s">
        <v>2538</v>
      </c>
      <c r="J6" s="3188"/>
      <c r="K6" s="610" t="s">
        <v>2539</v>
      </c>
      <c r="L6" s="1133"/>
      <c r="M6" s="1134"/>
      <c r="N6" s="1134"/>
      <c r="O6" s="1134"/>
      <c r="P6" s="3179"/>
      <c r="Q6" s="3180"/>
      <c r="R6" s="3183"/>
      <c r="S6" s="3184"/>
      <c r="T6" s="3185"/>
      <c r="U6" s="3186"/>
      <c r="V6" s="3168"/>
      <c r="W6" s="3168"/>
      <c r="X6" s="1815"/>
      <c r="Y6" s="3185"/>
      <c r="Z6" s="3186"/>
      <c r="AA6" s="3171"/>
      <c r="AB6" s="3171"/>
      <c r="AC6" s="3171"/>
    </row>
    <row r="7" spans="1:29" s="117" customFormat="1" ht="15.75" thickBot="1">
      <c r="A7" s="408" t="s">
        <v>2540</v>
      </c>
      <c r="B7" s="409"/>
      <c r="C7" s="410">
        <f>'数据-取费表'!B2</f>
        <v>43279</v>
      </c>
      <c r="D7" s="411">
        <v>100</v>
      </c>
      <c r="E7" s="412"/>
      <c r="F7" s="413">
        <f>SUMIF(46:46,YEAR(E7)&amp;"-"&amp;MONTH(E7),47:47)</f>
        <v>0</v>
      </c>
      <c r="G7" s="2691"/>
      <c r="H7" s="411">
        <f>SUMIF(46:46,YEAR(G7)&amp;"-"&amp;MONTH(G7),47:47)</f>
        <v>0</v>
      </c>
      <c r="I7" s="412"/>
      <c r="J7" s="411">
        <f>SUMIF(46:46,YEAR(I7)&amp;"-"&amp;MONTH(I7),47:47)</f>
        <v>0</v>
      </c>
      <c r="K7" s="611"/>
      <c r="L7" s="1135"/>
      <c r="M7" s="1136"/>
      <c r="N7" s="1136"/>
      <c r="O7" s="1136"/>
      <c r="P7" s="3191" t="s">
        <v>2541</v>
      </c>
      <c r="Q7" s="3193"/>
      <c r="R7" s="770" t="s">
        <v>17</v>
      </c>
      <c r="S7" s="771">
        <f t="shared" ref="S7:S14" si="0">F7</f>
        <v>0</v>
      </c>
      <c r="T7" s="770" t="s">
        <v>17</v>
      </c>
      <c r="U7" s="771">
        <f t="shared" ref="U7:U14" si="1">H7</f>
        <v>0</v>
      </c>
      <c r="V7" s="770" t="s">
        <v>17</v>
      </c>
      <c r="W7" s="771">
        <f t="shared" ref="W7:W14" si="2">J7</f>
        <v>0</v>
      </c>
      <c r="X7" s="772"/>
      <c r="Y7" s="3191" t="s">
        <v>2541</v>
      </c>
      <c r="Z7" s="3192"/>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1" t="s">
        <v>2544</v>
      </c>
      <c r="Q8" s="3192"/>
      <c r="R8" s="770" t="s">
        <v>17</v>
      </c>
      <c r="S8" s="771">
        <f t="shared" si="0"/>
        <v>0</v>
      </c>
      <c r="T8" s="770" t="s">
        <v>17</v>
      </c>
      <c r="U8" s="771">
        <f t="shared" si="1"/>
        <v>0</v>
      </c>
      <c r="V8" s="770" t="s">
        <v>17</v>
      </c>
      <c r="W8" s="771">
        <f t="shared" si="2"/>
        <v>0</v>
      </c>
      <c r="X8" s="772"/>
      <c r="Y8" s="3191" t="s">
        <v>2544</v>
      </c>
      <c r="Z8" s="3192"/>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2" t="s">
        <v>2547</v>
      </c>
      <c r="Q9" s="1797" t="str">
        <f t="shared" ref="Q9:Q14" si="6">B9</f>
        <v>用途</v>
      </c>
      <c r="R9" s="770" t="s">
        <v>17</v>
      </c>
      <c r="S9" s="771">
        <f t="shared" si="0"/>
        <v>100</v>
      </c>
      <c r="T9" s="770" t="s">
        <v>17</v>
      </c>
      <c r="U9" s="771">
        <f t="shared" si="1"/>
        <v>100</v>
      </c>
      <c r="V9" s="770" t="s">
        <v>17</v>
      </c>
      <c r="W9" s="771">
        <f t="shared" si="2"/>
        <v>100</v>
      </c>
      <c r="X9" s="772"/>
      <c r="Y9" s="3010"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2"/>
      <c r="Q10" s="179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2"/>
      <c r="Q11" s="1797">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2"/>
      <c r="Q12" s="179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6.75">
      <c r="A14" s="440" t="s">
        <v>2551</v>
      </c>
      <c r="B14" s="69" t="s">
        <v>2701</v>
      </c>
      <c r="C14" s="2688" t="str">
        <f>IF(B1="工业",估价对象房地状况!G4,估价对象房地状况!C6)</f>
        <v>估价对象紧邻城市支路——大新路、安阳道，周边路网密集程度一般、公共交通通达情况一般，有821、529路等公共交通，停车便捷程度一般，综合评价交通便捷度一般。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4" t="s">
        <v>2552</v>
      </c>
      <c r="Q14" s="1812" t="str">
        <f t="shared" si="6"/>
        <v>交通便捷度</v>
      </c>
      <c r="R14" s="774" t="s">
        <v>17</v>
      </c>
      <c r="S14" s="775">
        <f t="shared" si="0"/>
        <v>100</v>
      </c>
      <c r="T14" s="774" t="s">
        <v>17</v>
      </c>
      <c r="U14" s="775">
        <f t="shared" si="1"/>
        <v>100</v>
      </c>
      <c r="V14" s="774" t="s">
        <v>17</v>
      </c>
      <c r="W14" s="775">
        <f t="shared" si="2"/>
        <v>100</v>
      </c>
      <c r="X14" s="1815"/>
      <c r="Y14" s="3164" t="s">
        <v>2552</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65"/>
      <c r="Q15" s="1812"/>
      <c r="R15" s="774"/>
      <c r="S15" s="775"/>
      <c r="T15" s="774"/>
      <c r="U15" s="775"/>
      <c r="V15" s="774"/>
      <c r="W15" s="775"/>
      <c r="X15" s="1815"/>
      <c r="Y15" s="3165"/>
      <c r="Z15" s="1816"/>
      <c r="AA15" s="1813">
        <v>1</v>
      </c>
      <c r="AB15" s="1813">
        <v>1</v>
      </c>
      <c r="AC15" s="1813">
        <v>1</v>
      </c>
    </row>
    <row r="16" spans="1:29" ht="213.75">
      <c r="A16" s="428"/>
      <c r="B16" s="451" t="s">
        <v>2680</v>
      </c>
      <c r="C16" s="2602" t="str">
        <f>IF(B1="工业",估价对象房地状况!G5,估价对象房地状况!C7)</f>
        <v>估价对象所在区域2公里范围内有：银行（天津滨海惠民村镇银行、中信银行），购物（宝龙广场、保华突查百货），医院（响螺湾医院），学校（滨海新区幸福幼儿园、塘沽盐场小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5"/>
      <c r="Q16" s="1812" t="str">
        <f>B16</f>
        <v>公共配套设施</v>
      </c>
      <c r="R16" s="774" t="s">
        <v>17</v>
      </c>
      <c r="S16" s="775">
        <f>F16</f>
        <v>100</v>
      </c>
      <c r="T16" s="774" t="s">
        <v>17</v>
      </c>
      <c r="U16" s="775">
        <f>H16</f>
        <v>100</v>
      </c>
      <c r="V16" s="774" t="s">
        <v>17</v>
      </c>
      <c r="W16" s="775">
        <f>J16</f>
        <v>100</v>
      </c>
      <c r="X16" s="1815"/>
      <c r="Y16" s="3165"/>
      <c r="Z16" s="1816" t="str">
        <f>Q16</f>
        <v>公共配套设施</v>
      </c>
      <c r="AA16" s="1813">
        <f t="shared" si="3"/>
        <v>1</v>
      </c>
      <c r="AB16" s="1813">
        <f t="shared" si="4"/>
        <v>1</v>
      </c>
      <c r="AC16" s="1813">
        <f t="shared" si="5"/>
        <v>1</v>
      </c>
    </row>
    <row r="17" spans="1:29" ht="15">
      <c r="A17" s="428"/>
      <c r="B17" s="456"/>
      <c r="C17" s="2603"/>
      <c r="D17" s="448"/>
      <c r="E17" s="447"/>
      <c r="F17" s="449"/>
      <c r="G17" s="447"/>
      <c r="H17" s="448"/>
      <c r="I17" s="447"/>
      <c r="J17" s="448"/>
      <c r="K17" s="615"/>
      <c r="L17" s="1143"/>
      <c r="M17" s="1134"/>
      <c r="N17" s="1134"/>
      <c r="O17" s="1142"/>
      <c r="P17" s="3165"/>
      <c r="Q17" s="1812"/>
      <c r="R17" s="774"/>
      <c r="S17" s="775"/>
      <c r="T17" s="774"/>
      <c r="U17" s="775"/>
      <c r="V17" s="774"/>
      <c r="W17" s="775"/>
      <c r="X17" s="1815"/>
      <c r="Y17" s="3165"/>
      <c r="Z17" s="1816"/>
      <c r="AA17" s="1813">
        <v>1</v>
      </c>
      <c r="AB17" s="1813">
        <v>1</v>
      </c>
      <c r="AC17" s="1813">
        <v>1</v>
      </c>
    </row>
    <row r="18" spans="1:29" ht="42.75">
      <c r="A18" s="428"/>
      <c r="B18" s="1387" t="s">
        <v>2681</v>
      </c>
      <c r="C18" s="2602"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5"/>
      <c r="Q18" s="1812" t="str">
        <f>B18</f>
        <v>基础设施水平</v>
      </c>
      <c r="R18" s="774" t="s">
        <v>17</v>
      </c>
      <c r="S18" s="775">
        <f>F18</f>
        <v>100</v>
      </c>
      <c r="T18" s="774" t="s">
        <v>17</v>
      </c>
      <c r="U18" s="775">
        <f>H18</f>
        <v>100</v>
      </c>
      <c r="V18" s="774" t="s">
        <v>17</v>
      </c>
      <c r="W18" s="775">
        <f>J18</f>
        <v>100</v>
      </c>
      <c r="X18" s="1815"/>
      <c r="Y18" s="3165"/>
      <c r="Z18" s="1816" t="str">
        <f>Q18</f>
        <v>基础设施水平</v>
      </c>
      <c r="AA18" s="1813">
        <f t="shared" ref="AA18" si="8">D18/F18</f>
        <v>1</v>
      </c>
      <c r="AB18" s="1813">
        <f t="shared" ref="AB18" si="9">D18/H18</f>
        <v>1</v>
      </c>
      <c r="AC18" s="1813">
        <f t="shared" ref="AC18" si="10">D18/J18</f>
        <v>1</v>
      </c>
    </row>
    <row r="19" spans="1:29" ht="15">
      <c r="A19" s="428"/>
      <c r="B19" s="1387"/>
      <c r="C19" s="2603"/>
      <c r="D19" s="450"/>
      <c r="E19" s="2603"/>
      <c r="F19" s="453"/>
      <c r="G19" s="2603"/>
      <c r="H19" s="448"/>
      <c r="I19" s="447"/>
      <c r="J19" s="448"/>
      <c r="K19" s="1386"/>
      <c r="L19" s="1143"/>
      <c r="M19" s="1134"/>
      <c r="N19" s="1134"/>
      <c r="O19" s="1142"/>
      <c r="P19" s="3165"/>
      <c r="Q19" s="1812"/>
      <c r="R19" s="774"/>
      <c r="S19" s="775"/>
      <c r="T19" s="774"/>
      <c r="U19" s="775"/>
      <c r="V19" s="774"/>
      <c r="W19" s="775"/>
      <c r="X19" s="1815"/>
      <c r="Y19" s="3165"/>
      <c r="Z19" s="1816"/>
      <c r="AA19" s="1813">
        <v>1</v>
      </c>
      <c r="AB19" s="1813">
        <v>1</v>
      </c>
      <c r="AC19" s="1813">
        <v>1</v>
      </c>
    </row>
    <row r="20" spans="1:29" ht="85.5">
      <c r="A20" s="428"/>
      <c r="B20" s="451" t="s">
        <v>2702</v>
      </c>
      <c r="C20" s="2602" t="str">
        <f>IF(B1="工业",估价对象房地状况!G7,估价对象房地状况!C9)</f>
        <v>区域自然环境：彩带公园；人文环境：无博物馆、展览馆等人文景观；综合评价环境状况一般。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5"/>
      <c r="Q20" s="1812" t="str">
        <f>B20</f>
        <v>自然及人文环境</v>
      </c>
      <c r="R20" s="774" t="s">
        <v>17</v>
      </c>
      <c r="S20" s="775">
        <f>F20</f>
        <v>100</v>
      </c>
      <c r="T20" s="774" t="s">
        <v>17</v>
      </c>
      <c r="U20" s="775">
        <f>H20</f>
        <v>100</v>
      </c>
      <c r="V20" s="774" t="s">
        <v>17</v>
      </c>
      <c r="W20" s="775">
        <f>J20</f>
        <v>100</v>
      </c>
      <c r="X20" s="1815"/>
      <c r="Y20" s="316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65"/>
      <c r="Q21" s="1812"/>
      <c r="R21" s="774"/>
      <c r="S21" s="775"/>
      <c r="T21" s="774"/>
      <c r="U21" s="775"/>
      <c r="V21" s="774"/>
      <c r="W21" s="775"/>
      <c r="X21" s="1815"/>
      <c r="Y21" s="3165"/>
      <c r="Z21" s="1816"/>
      <c r="AA21" s="1813">
        <v>1</v>
      </c>
      <c r="AB21" s="1813">
        <v>1</v>
      </c>
      <c r="AC21" s="1813">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5"/>
      <c r="Q22" s="1812" t="str">
        <f>B22</f>
        <v>楼层</v>
      </c>
      <c r="R22" s="774" t="s">
        <v>17</v>
      </c>
      <c r="S22" s="775">
        <f>F22</f>
        <v>100</v>
      </c>
      <c r="T22" s="774" t="s">
        <v>17</v>
      </c>
      <c r="U22" s="775">
        <f>H22</f>
        <v>100</v>
      </c>
      <c r="V22" s="774" t="s">
        <v>17</v>
      </c>
      <c r="W22" s="775">
        <f>J22</f>
        <v>100</v>
      </c>
      <c r="X22" s="1815"/>
      <c r="Y22" s="3165"/>
      <c r="Z22" s="1816" t="str">
        <f>Q22</f>
        <v>楼层</v>
      </c>
      <c r="AA22" s="1813">
        <f t="shared" si="3"/>
        <v>1</v>
      </c>
      <c r="AB22" s="1813">
        <f t="shared" si="4"/>
        <v>1</v>
      </c>
      <c r="AC22" s="1813">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5"/>
      <c r="Q23" s="1812">
        <f>B23</f>
        <v>111</v>
      </c>
      <c r="R23" s="774" t="s">
        <v>17</v>
      </c>
      <c r="S23" s="775">
        <f>F23</f>
        <v>100</v>
      </c>
      <c r="T23" s="774" t="s">
        <v>17</v>
      </c>
      <c r="U23" s="775">
        <f>H23</f>
        <v>100</v>
      </c>
      <c r="V23" s="774" t="s">
        <v>17</v>
      </c>
      <c r="W23" s="775">
        <f>J23</f>
        <v>100</v>
      </c>
      <c r="X23" s="1815"/>
      <c r="Y23" s="3165"/>
      <c r="Z23" s="1816">
        <f>Q23</f>
        <v>111</v>
      </c>
      <c r="AA23" s="1813">
        <f t="shared" si="3"/>
        <v>1</v>
      </c>
      <c r="AB23" s="1813">
        <f t="shared" si="4"/>
        <v>1</v>
      </c>
      <c r="AC23" s="1813">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5"/>
      <c r="Q24" s="1812">
        <f t="shared" ref="Q24:Q34" si="11">B24</f>
        <v>111</v>
      </c>
      <c r="R24" s="774" t="s">
        <v>17</v>
      </c>
      <c r="S24" s="775">
        <f>F24</f>
        <v>100</v>
      </c>
      <c r="T24" s="774" t="s">
        <v>17</v>
      </c>
      <c r="U24" s="775">
        <f>H24</f>
        <v>100</v>
      </c>
      <c r="V24" s="774" t="s">
        <v>17</v>
      </c>
      <c r="W24" s="775">
        <f>J24</f>
        <v>100</v>
      </c>
      <c r="X24" s="1815"/>
      <c r="Y24" s="3165"/>
      <c r="Z24" s="1816">
        <f>Q24</f>
        <v>111</v>
      </c>
      <c r="AA24" s="1813">
        <f t="shared" si="3"/>
        <v>1</v>
      </c>
      <c r="AB24" s="1813">
        <f t="shared" si="4"/>
        <v>1</v>
      </c>
      <c r="AC24" s="1813">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5"/>
      <c r="M25" s="1136"/>
      <c r="N25" s="1136"/>
      <c r="O25" s="1137"/>
      <c r="P25" s="3165"/>
      <c r="Q25" s="1797">
        <f t="shared" si="11"/>
        <v>111</v>
      </c>
      <c r="R25" s="770" t="s">
        <v>17</v>
      </c>
      <c r="S25" s="771">
        <f>F25</f>
        <v>100</v>
      </c>
      <c r="T25" s="770" t="s">
        <v>17</v>
      </c>
      <c r="U25" s="771">
        <f>H25</f>
        <v>100</v>
      </c>
      <c r="V25" s="770" t="s">
        <v>17</v>
      </c>
      <c r="W25" s="771">
        <f>J25</f>
        <v>100</v>
      </c>
      <c r="X25" s="772"/>
      <c r="Y25" s="3165"/>
      <c r="Z25" s="55">
        <f>Q25</f>
        <v>111</v>
      </c>
      <c r="AA25" s="1813">
        <f>D25/F25</f>
        <v>1</v>
      </c>
      <c r="AB25" s="1813">
        <f>D25/H25</f>
        <v>1</v>
      </c>
      <c r="AC25" s="1813">
        <f>D25/J25</f>
        <v>1</v>
      </c>
    </row>
    <row r="26" spans="1:29" ht="15">
      <c r="A26" s="466" t="s">
        <v>2555</v>
      </c>
      <c r="B26" s="71" t="s">
        <v>2706</v>
      </c>
      <c r="C26" s="2674"/>
      <c r="D26" s="467">
        <v>100</v>
      </c>
      <c r="E26" s="2674"/>
      <c r="F26" s="667">
        <f>SUMIF(77:77,E26,78:78)-SUMIF(77:77,C26,78:78)+100</f>
        <v>100</v>
      </c>
      <c r="G26" s="2674"/>
      <c r="H26" s="467">
        <f>SUMIF(77:77,G26,78:78)-SUMIF(77:77,C26,78:78)+100</f>
        <v>100</v>
      </c>
      <c r="I26" s="2674"/>
      <c r="J26" s="467">
        <f>SUMIF(77:77,I26,78:78)-SUMIF(77:77,C26,78:78)+100</f>
        <v>100</v>
      </c>
      <c r="K26" s="612"/>
      <c r="L26" s="1143"/>
      <c r="M26" s="1134"/>
      <c r="N26" s="1134"/>
      <c r="O26" s="1142"/>
      <c r="P26" s="3166" t="s">
        <v>2557</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67" t="s">
        <v>2557</v>
      </c>
      <c r="Z26" s="1816" t="str">
        <f t="shared" ref="Z26:Z34" si="15">Q26</f>
        <v>公共部分装修</v>
      </c>
      <c r="AA26" s="1813">
        <f t="shared" si="3"/>
        <v>1</v>
      </c>
      <c r="AB26" s="1813">
        <f t="shared" si="4"/>
        <v>1</v>
      </c>
      <c r="AC26" s="1813">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7"/>
      <c r="Q27" s="776" t="str">
        <f t="shared" si="11"/>
        <v>成新率</v>
      </c>
      <c r="R27" s="777" t="s">
        <v>17</v>
      </c>
      <c r="S27" s="778" t="e">
        <f t="shared" si="12"/>
        <v>#N/A</v>
      </c>
      <c r="T27" s="777" t="s">
        <v>17</v>
      </c>
      <c r="U27" s="778" t="e">
        <f t="shared" si="13"/>
        <v>#N/A</v>
      </c>
      <c r="V27" s="777" t="s">
        <v>17</v>
      </c>
      <c r="W27" s="778" t="e">
        <f t="shared" si="14"/>
        <v>#N/A</v>
      </c>
      <c r="X27" s="779"/>
      <c r="Y27" s="3167"/>
      <c r="Z27" s="780" t="str">
        <f t="shared" si="15"/>
        <v>成新率</v>
      </c>
      <c r="AA27" s="1813" t="e">
        <f t="shared" si="3"/>
        <v>#N/A</v>
      </c>
      <c r="AB27" s="1813" t="e">
        <f t="shared" si="4"/>
        <v>#N/A</v>
      </c>
      <c r="AC27" s="1813"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7"/>
      <c r="Q28" s="1812" t="str">
        <f t="shared" si="11"/>
        <v>物业等级</v>
      </c>
      <c r="R28" s="774" t="s">
        <v>17</v>
      </c>
      <c r="S28" s="775">
        <f t="shared" si="12"/>
        <v>100</v>
      </c>
      <c r="T28" s="774" t="s">
        <v>17</v>
      </c>
      <c r="U28" s="775">
        <f t="shared" si="13"/>
        <v>100</v>
      </c>
      <c r="V28" s="774" t="s">
        <v>17</v>
      </c>
      <c r="W28" s="775">
        <f t="shared" si="14"/>
        <v>100</v>
      </c>
      <c r="X28" s="1815"/>
      <c r="Y28" s="3167"/>
      <c r="Z28" s="1816" t="str">
        <f t="shared" si="15"/>
        <v>物业等级</v>
      </c>
      <c r="AA28" s="1813">
        <f t="shared" si="3"/>
        <v>1</v>
      </c>
      <c r="AB28" s="1813">
        <f t="shared" si="4"/>
        <v>1</v>
      </c>
      <c r="AC28" s="1813">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7"/>
      <c r="Q29" s="1812" t="str">
        <f t="shared" si="11"/>
        <v>有无电梯</v>
      </c>
      <c r="R29" s="774" t="s">
        <v>17</v>
      </c>
      <c r="S29" s="775">
        <f t="shared" si="12"/>
        <v>100</v>
      </c>
      <c r="T29" s="774" t="s">
        <v>17</v>
      </c>
      <c r="U29" s="775">
        <f t="shared" si="13"/>
        <v>100</v>
      </c>
      <c r="V29" s="774" t="s">
        <v>17</v>
      </c>
      <c r="W29" s="775">
        <f t="shared" si="14"/>
        <v>100</v>
      </c>
      <c r="X29" s="1815"/>
      <c r="Y29" s="3167"/>
      <c r="Z29" s="1816" t="str">
        <f t="shared" si="15"/>
        <v>有无电梯</v>
      </c>
      <c r="AA29" s="1813">
        <f t="shared" si="3"/>
        <v>1</v>
      </c>
      <c r="AB29" s="1813">
        <f t="shared" si="4"/>
        <v>1</v>
      </c>
      <c r="AC29" s="1813">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7"/>
      <c r="Q30" s="1812" t="str">
        <f t="shared" si="11"/>
        <v>建筑面积</v>
      </c>
      <c r="R30" s="774" t="s">
        <v>17</v>
      </c>
      <c r="S30" s="775" t="e">
        <f t="shared" si="12"/>
        <v>#N/A</v>
      </c>
      <c r="T30" s="774" t="s">
        <v>17</v>
      </c>
      <c r="U30" s="775" t="e">
        <f t="shared" si="13"/>
        <v>#N/A</v>
      </c>
      <c r="V30" s="774" t="s">
        <v>17</v>
      </c>
      <c r="W30" s="775" t="e">
        <f t="shared" si="14"/>
        <v>#N/A</v>
      </c>
      <c r="X30" s="1815"/>
      <c r="Y30" s="3167"/>
      <c r="Z30" s="1816" t="str">
        <f t="shared" si="15"/>
        <v>建筑面积</v>
      </c>
      <c r="AA30" s="1813" t="e">
        <f t="shared" si="3"/>
        <v>#N/A</v>
      </c>
      <c r="AB30" s="1813" t="e">
        <f t="shared" si="4"/>
        <v>#N/A</v>
      </c>
      <c r="AC30" s="1813"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7"/>
      <c r="Q31" s="1797" t="str">
        <f t="shared" si="11"/>
        <v>是否封闭</v>
      </c>
      <c r="R31" s="770" t="s">
        <v>17</v>
      </c>
      <c r="S31" s="771">
        <f t="shared" si="12"/>
        <v>100</v>
      </c>
      <c r="T31" s="770" t="s">
        <v>17</v>
      </c>
      <c r="U31" s="771">
        <f t="shared" si="13"/>
        <v>100</v>
      </c>
      <c r="V31" s="770" t="s">
        <v>17</v>
      </c>
      <c r="W31" s="771">
        <f t="shared" si="14"/>
        <v>100</v>
      </c>
      <c r="X31" s="772"/>
      <c r="Y31" s="3167"/>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7" t="s">
        <v>2557</v>
      </c>
      <c r="Q32" s="1812">
        <f t="shared" si="11"/>
        <v>111</v>
      </c>
      <c r="R32" s="774" t="s">
        <v>17</v>
      </c>
      <c r="S32" s="775">
        <f t="shared" si="12"/>
        <v>100</v>
      </c>
      <c r="T32" s="774" t="s">
        <v>17</v>
      </c>
      <c r="U32" s="775">
        <f t="shared" si="13"/>
        <v>100</v>
      </c>
      <c r="V32" s="774" t="s">
        <v>17</v>
      </c>
      <c r="W32" s="775">
        <f t="shared" si="14"/>
        <v>100</v>
      </c>
      <c r="X32" s="1815"/>
      <c r="Y32" s="3167" t="s">
        <v>2557</v>
      </c>
      <c r="Z32" s="1816">
        <f t="shared" si="15"/>
        <v>111</v>
      </c>
      <c r="AA32" s="1813">
        <f t="shared" si="3"/>
        <v>1</v>
      </c>
      <c r="AB32" s="1813">
        <f t="shared" si="4"/>
        <v>1</v>
      </c>
      <c r="AC32" s="1813">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7"/>
      <c r="Q33" s="1812">
        <f t="shared" si="11"/>
        <v>111</v>
      </c>
      <c r="R33" s="774" t="s">
        <v>17</v>
      </c>
      <c r="S33" s="775">
        <f t="shared" si="12"/>
        <v>100</v>
      </c>
      <c r="T33" s="774" t="s">
        <v>17</v>
      </c>
      <c r="U33" s="775">
        <f t="shared" si="13"/>
        <v>100</v>
      </c>
      <c r="V33" s="774" t="s">
        <v>17</v>
      </c>
      <c r="W33" s="775">
        <f t="shared" si="14"/>
        <v>100</v>
      </c>
      <c r="X33" s="1815"/>
      <c r="Y33" s="3167"/>
      <c r="Z33" s="1816">
        <f t="shared" si="15"/>
        <v>111</v>
      </c>
      <c r="AA33" s="1813">
        <f t="shared" si="3"/>
        <v>1</v>
      </c>
      <c r="AB33" s="1813">
        <f t="shared" si="4"/>
        <v>1</v>
      </c>
      <c r="AC33" s="1813">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3"/>
      <c r="M34" s="1134"/>
      <c r="N34" s="1134"/>
      <c r="O34" s="1142"/>
      <c r="P34" s="3167"/>
      <c r="Q34" s="1812">
        <f t="shared" si="11"/>
        <v>111</v>
      </c>
      <c r="R34" s="774" t="s">
        <v>17</v>
      </c>
      <c r="S34" s="775">
        <f t="shared" si="12"/>
        <v>100</v>
      </c>
      <c r="T34" s="774" t="s">
        <v>17</v>
      </c>
      <c r="U34" s="775">
        <f t="shared" si="13"/>
        <v>100</v>
      </c>
      <c r="V34" s="774" t="s">
        <v>17</v>
      </c>
      <c r="W34" s="775">
        <f t="shared" si="14"/>
        <v>100</v>
      </c>
      <c r="X34" s="1815"/>
      <c r="Y34" s="3167"/>
      <c r="Z34" s="1816">
        <f t="shared" si="15"/>
        <v>111</v>
      </c>
      <c r="AA34" s="1813">
        <f t="shared" si="3"/>
        <v>1</v>
      </c>
      <c r="AB34" s="1813">
        <f t="shared" si="4"/>
        <v>1</v>
      </c>
      <c r="AC34" s="1813">
        <f t="shared" si="5"/>
        <v>1</v>
      </c>
    </row>
    <row r="35" spans="1:29" ht="15">
      <c r="A35" s="479" t="s">
        <v>2569</v>
      </c>
      <c r="B35" s="480"/>
      <c r="C35" s="1410" t="s">
        <v>1</v>
      </c>
      <c r="D35" s="1411"/>
      <c r="E35" s="1412"/>
      <c r="F35" s="1413"/>
      <c r="G35" s="1414"/>
      <c r="H35" s="1415"/>
      <c r="I35" s="1412"/>
      <c r="J35" s="1415"/>
      <c r="K35" s="783"/>
      <c r="L35" s="1146"/>
      <c r="M35" s="1147"/>
      <c r="N35" s="1134"/>
      <c r="O35" s="1147"/>
      <c r="P35" s="3162" t="str">
        <f>A35</f>
        <v>成交单价（元/平方米）</v>
      </c>
      <c r="Q35" s="3162"/>
      <c r="R35" s="3199">
        <f>E35</f>
        <v>0</v>
      </c>
      <c r="S35" s="3199"/>
      <c r="T35" s="3199">
        <f>G35</f>
        <v>0</v>
      </c>
      <c r="U35" s="3199"/>
      <c r="V35" s="3199">
        <f>I35</f>
        <v>0</v>
      </c>
      <c r="W35" s="3199"/>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62" t="str">
        <f>A36</f>
        <v>比较价值（元/平方米）</v>
      </c>
      <c r="Q36" s="3162"/>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156" t="str">
        <f>A37</f>
        <v>估价对象XX用房的比较价值（楼面单价，元/平方米）</v>
      </c>
      <c r="Q37" s="3157"/>
      <c r="R37" s="3198" t="e">
        <f>IF(F1="售价",ROUND(AVERAGE(R36:V36),0),ROUND(AVERAGE(R36:V36),1))</f>
        <v>#DIV/0!</v>
      </c>
      <c r="S37" s="3198"/>
      <c r="T37" s="3198"/>
      <c r="U37" s="3198"/>
      <c r="V37" s="3198"/>
      <c r="W37" s="319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9" t="s">
        <v>2638</v>
      </c>
      <c r="D4" s="3172"/>
      <c r="E4" s="3173" t="s">
        <v>2639</v>
      </c>
      <c r="F4" s="3174"/>
      <c r="G4" s="3159" t="s">
        <v>2640</v>
      </c>
      <c r="H4" s="3172"/>
      <c r="I4" s="3159" t="s">
        <v>2641</v>
      </c>
      <c r="J4" s="3172"/>
      <c r="K4" s="610" t="s">
        <v>2642</v>
      </c>
      <c r="L4" s="1133"/>
      <c r="M4" s="1134"/>
      <c r="N4" s="1134"/>
      <c r="O4" s="1134"/>
      <c r="P4" s="3175" t="s">
        <v>2643</v>
      </c>
      <c r="Q4" s="3176"/>
      <c r="R4" s="3181" t="s">
        <v>2639</v>
      </c>
      <c r="S4" s="3182"/>
      <c r="T4" s="3181" t="s">
        <v>2640</v>
      </c>
      <c r="U4" s="3182"/>
      <c r="V4" s="3168" t="s">
        <v>2641</v>
      </c>
      <c r="W4" s="3168"/>
      <c r="X4" s="1815"/>
      <c r="Y4" s="3181" t="s">
        <v>2643</v>
      </c>
      <c r="Z4" s="3182"/>
      <c r="AA4" s="3169" t="s">
        <v>2639</v>
      </c>
      <c r="AB4" s="3170" t="s">
        <v>2640</v>
      </c>
      <c r="AC4" s="3169" t="s">
        <v>2641</v>
      </c>
    </row>
    <row r="5" spans="1:29" ht="15">
      <c r="A5" s="404"/>
      <c r="B5" s="405"/>
      <c r="C5" s="3234" t="s">
        <v>2534</v>
      </c>
      <c r="D5" s="3190"/>
      <c r="E5" s="3236" t="s">
        <v>2535</v>
      </c>
      <c r="F5" s="3197"/>
      <c r="G5" s="3234" t="s">
        <v>2536</v>
      </c>
      <c r="H5" s="3190"/>
      <c r="I5" s="3234" t="s">
        <v>2537</v>
      </c>
      <c r="J5" s="3190"/>
      <c r="K5" s="610"/>
      <c r="L5" s="1133"/>
      <c r="M5" s="1134"/>
      <c r="N5" s="1134"/>
      <c r="O5" s="1134"/>
      <c r="P5" s="3177"/>
      <c r="Q5" s="3178"/>
      <c r="R5" s="3183"/>
      <c r="S5" s="3184"/>
      <c r="T5" s="3183"/>
      <c r="U5" s="3184"/>
      <c r="V5" s="3168"/>
      <c r="W5" s="3168"/>
      <c r="X5" s="1815"/>
      <c r="Y5" s="3183"/>
      <c r="Z5" s="3184"/>
      <c r="AA5" s="3170"/>
      <c r="AB5" s="3170"/>
      <c r="AC5" s="3170"/>
    </row>
    <row r="6" spans="1:29" ht="15.75" thickBot="1">
      <c r="A6" s="406"/>
      <c r="B6" s="407"/>
      <c r="C6" s="3252" t="s">
        <v>2789</v>
      </c>
      <c r="D6" s="3253"/>
      <c r="E6" s="3254" t="s">
        <v>2789</v>
      </c>
      <c r="F6" s="3255"/>
      <c r="G6" s="3252" t="s">
        <v>2789</v>
      </c>
      <c r="H6" s="3253"/>
      <c r="I6" s="3252" t="s">
        <v>2789</v>
      </c>
      <c r="J6" s="3253"/>
      <c r="K6" s="610" t="s">
        <v>2539</v>
      </c>
      <c r="L6" s="1133"/>
      <c r="M6" s="1134"/>
      <c r="N6" s="1134"/>
      <c r="O6" s="1134"/>
      <c r="P6" s="3179"/>
      <c r="Q6" s="3180"/>
      <c r="R6" s="3183"/>
      <c r="S6" s="3184"/>
      <c r="T6" s="3185"/>
      <c r="U6" s="3186"/>
      <c r="V6" s="3168"/>
      <c r="W6" s="3168"/>
      <c r="X6" s="1815"/>
      <c r="Y6" s="3185"/>
      <c r="Z6" s="3186"/>
      <c r="AA6" s="3171"/>
      <c r="AB6" s="3171"/>
      <c r="AC6" s="3171"/>
    </row>
    <row r="7" spans="1:29" s="117" customFormat="1" ht="15.75" thickBot="1">
      <c r="A7" s="408" t="s">
        <v>2540</v>
      </c>
      <c r="B7" s="409"/>
      <c r="C7" s="410">
        <f>'数据-取费表'!B2</f>
        <v>43279</v>
      </c>
      <c r="D7" s="411">
        <v>100</v>
      </c>
      <c r="E7" s="412"/>
      <c r="F7" s="413">
        <f>SUMIF(65:65,YEAR(E7)&amp;"-"&amp;INT((MONTH(E7)+2)/3),66:66)</f>
        <v>0</v>
      </c>
      <c r="G7" s="2691"/>
      <c r="H7" s="411">
        <f>SUMIF(65:65,YEAR(G7)&amp;"-"&amp;INT((MONTH(G7)+2)/3),66:66)</f>
        <v>0</v>
      </c>
      <c r="I7" s="2691"/>
      <c r="J7" s="411">
        <f>SUMIF(65:65,YEAR(I7)&amp;"-"&amp;INT((MONTH(I7)+2)/3),66:66)</f>
        <v>0</v>
      </c>
      <c r="K7" s="611"/>
      <c r="L7" s="1135"/>
      <c r="M7" s="1136"/>
      <c r="N7" s="1136"/>
      <c r="O7" s="1136"/>
      <c r="P7" s="3191" t="s">
        <v>2541</v>
      </c>
      <c r="Q7" s="3193"/>
      <c r="R7" s="770" t="s">
        <v>17</v>
      </c>
      <c r="S7" s="771">
        <f t="shared" ref="S7:S15" si="0">F7</f>
        <v>0</v>
      </c>
      <c r="T7" s="770" t="s">
        <v>17</v>
      </c>
      <c r="U7" s="771">
        <f t="shared" ref="U7:U15" si="1">H7</f>
        <v>0</v>
      </c>
      <c r="V7" s="770" t="s">
        <v>17</v>
      </c>
      <c r="W7" s="771">
        <f t="shared" ref="W7:W15" si="2">J7</f>
        <v>0</v>
      </c>
      <c r="X7" s="772"/>
      <c r="Y7" s="3191" t="s">
        <v>2541</v>
      </c>
      <c r="Z7" s="3192"/>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1" t="s">
        <v>2544</v>
      </c>
      <c r="Q8" s="3192"/>
      <c r="R8" s="770" t="s">
        <v>17</v>
      </c>
      <c r="S8" s="771">
        <f t="shared" si="0"/>
        <v>0</v>
      </c>
      <c r="T8" s="770" t="s">
        <v>17</v>
      </c>
      <c r="U8" s="771">
        <f t="shared" si="1"/>
        <v>0</v>
      </c>
      <c r="V8" s="770" t="s">
        <v>17</v>
      </c>
      <c r="W8" s="771">
        <f t="shared" si="2"/>
        <v>0</v>
      </c>
      <c r="X8" s="772"/>
      <c r="Y8" s="3191" t="s">
        <v>2544</v>
      </c>
      <c r="Z8" s="3192"/>
      <c r="AA8" s="773" t="e">
        <f t="shared" ref="AA8:AA40" si="3">D8/F8</f>
        <v>#DIV/0!</v>
      </c>
      <c r="AB8" s="773" t="e">
        <f t="shared" ref="AB8:AB40" si="4">D8/H8</f>
        <v>#DIV/0!</v>
      </c>
      <c r="AC8" s="773" t="e">
        <f t="shared" ref="AC8:AC40" si="5">D8/J8</f>
        <v>#DIV/0!</v>
      </c>
    </row>
    <row r="9" spans="1:29" s="117" customFormat="1">
      <c r="A9" s="415" t="s">
        <v>2545</v>
      </c>
      <c r="B9" s="71" t="s">
        <v>2546</v>
      </c>
      <c r="C9" s="2694"/>
      <c r="D9" s="135">
        <v>100</v>
      </c>
      <c r="E9" s="2694"/>
      <c r="F9" s="135">
        <f>SUMIF(70:70,E9,71:71)-SUMIF(70:70,C9,71:71)+100</f>
        <v>100</v>
      </c>
      <c r="G9" s="2694"/>
      <c r="H9" s="135">
        <f>SUMIF(70:70,G9,71:71)-SUMIF(70:70,C9,71:71)+100</f>
        <v>100</v>
      </c>
      <c r="I9" s="2694"/>
      <c r="J9" s="135">
        <f>SUMIF(70:70,I9,71:71)-SUMIF(70:70,C9,71:71)+100</f>
        <v>100</v>
      </c>
      <c r="K9" s="611"/>
      <c r="L9" s="1135"/>
      <c r="M9" s="1136"/>
      <c r="N9" s="1136"/>
      <c r="O9" s="1137"/>
      <c r="P9" s="3162" t="s">
        <v>2547</v>
      </c>
      <c r="Q9" s="1797"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162"/>
      <c r="Q10" s="179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2"/>
      <c r="Q11" s="1797"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2"/>
      <c r="Q12" s="179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2"/>
      <c r="Q14" s="1797">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2551</v>
      </c>
      <c r="B15" s="629" t="s">
        <v>2790</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4" t="s">
        <v>2552</v>
      </c>
      <c r="Q15" s="1812" t="str">
        <f t="shared" si="6"/>
        <v>产业集聚程度</v>
      </c>
      <c r="R15" s="774" t="s">
        <v>17</v>
      </c>
      <c r="S15" s="775">
        <f t="shared" si="0"/>
        <v>100</v>
      </c>
      <c r="T15" s="774" t="s">
        <v>17</v>
      </c>
      <c r="U15" s="775">
        <f t="shared" si="1"/>
        <v>100</v>
      </c>
      <c r="V15" s="774" t="s">
        <v>17</v>
      </c>
      <c r="W15" s="775">
        <f t="shared" si="2"/>
        <v>100</v>
      </c>
      <c r="X15" s="1815"/>
      <c r="Y15" s="3164" t="s">
        <v>2552</v>
      </c>
      <c r="Z15" s="1816" t="str">
        <f t="shared" si="7"/>
        <v>产业集聚程度</v>
      </c>
      <c r="AA15" s="1813">
        <f t="shared" si="3"/>
        <v>1</v>
      </c>
      <c r="AB15" s="1813">
        <f t="shared" si="4"/>
        <v>1</v>
      </c>
      <c r="AC15" s="1813">
        <f t="shared" si="5"/>
        <v>1</v>
      </c>
    </row>
    <row r="16" spans="1:29" ht="15">
      <c r="A16" s="428"/>
      <c r="B16" s="630"/>
      <c r="C16" s="447"/>
      <c r="D16" s="448"/>
      <c r="E16" s="2606"/>
      <c r="F16" s="448"/>
      <c r="G16" s="2606"/>
      <c r="H16" s="450"/>
      <c r="I16" s="2606"/>
      <c r="J16" s="448"/>
      <c r="K16" s="672"/>
      <c r="L16" s="1143"/>
      <c r="M16" s="1134"/>
      <c r="N16" s="1134"/>
      <c r="O16" s="1142"/>
      <c r="P16" s="3165"/>
      <c r="Q16" s="1812"/>
      <c r="R16" s="774"/>
      <c r="S16" s="775"/>
      <c r="T16" s="774"/>
      <c r="U16" s="775"/>
      <c r="V16" s="774"/>
      <c r="W16" s="775"/>
      <c r="X16" s="1815"/>
      <c r="Y16" s="3165"/>
      <c r="Z16" s="1816"/>
      <c r="AA16" s="1813">
        <v>1</v>
      </c>
      <c r="AB16" s="1813">
        <v>1</v>
      </c>
      <c r="AC16" s="1813">
        <v>1</v>
      </c>
    </row>
    <row r="17" spans="1:29" ht="85.5">
      <c r="A17" s="428"/>
      <c r="B17" s="631" t="s">
        <v>2701</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5"/>
      <c r="Q17" s="1812" t="str">
        <f>B17</f>
        <v>交通便捷度</v>
      </c>
      <c r="R17" s="774" t="s">
        <v>17</v>
      </c>
      <c r="S17" s="775">
        <f>F17</f>
        <v>100</v>
      </c>
      <c r="T17" s="774" t="s">
        <v>17</v>
      </c>
      <c r="U17" s="775">
        <f>H17</f>
        <v>100</v>
      </c>
      <c r="V17" s="774" t="s">
        <v>17</v>
      </c>
      <c r="W17" s="775">
        <f>J17</f>
        <v>100</v>
      </c>
      <c r="X17" s="1815"/>
      <c r="Y17" s="3165"/>
      <c r="Z17" s="1816" t="str">
        <f>Q17</f>
        <v>交通便捷度</v>
      </c>
      <c r="AA17" s="1813">
        <f t="shared" si="3"/>
        <v>1</v>
      </c>
      <c r="AB17" s="1813">
        <f t="shared" si="4"/>
        <v>1</v>
      </c>
      <c r="AC17" s="1813">
        <f t="shared" si="5"/>
        <v>1</v>
      </c>
    </row>
    <row r="18" spans="1:29" ht="15">
      <c r="A18" s="428"/>
      <c r="B18" s="632"/>
      <c r="C18" s="447"/>
      <c r="D18" s="448"/>
      <c r="E18" s="2600"/>
      <c r="F18" s="448"/>
      <c r="G18" s="2600"/>
      <c r="H18" s="448"/>
      <c r="I18" s="2599"/>
      <c r="J18" s="448"/>
      <c r="K18" s="672"/>
      <c r="L18" s="1143"/>
      <c r="M18" s="1134"/>
      <c r="N18" s="1134"/>
      <c r="O18" s="1142"/>
      <c r="P18" s="3165"/>
      <c r="Q18" s="1812"/>
      <c r="R18" s="774"/>
      <c r="S18" s="775"/>
      <c r="T18" s="774"/>
      <c r="U18" s="775"/>
      <c r="V18" s="774"/>
      <c r="W18" s="775"/>
      <c r="X18" s="1815"/>
      <c r="Y18" s="3165"/>
      <c r="Z18" s="1816"/>
      <c r="AA18" s="1813">
        <v>1</v>
      </c>
      <c r="AB18" s="1813">
        <v>1</v>
      </c>
      <c r="AC18" s="1813">
        <v>1</v>
      </c>
    </row>
    <row r="19" spans="1:29" ht="15">
      <c r="A19" s="428"/>
      <c r="B19" s="631" t="s">
        <v>2740</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5"/>
      <c r="Q19" s="1812" t="str">
        <f t="shared" ref="Q19:Q33" si="8">B19</f>
        <v>区域土地利用方向</v>
      </c>
      <c r="R19" s="774" t="s">
        <v>17</v>
      </c>
      <c r="S19" s="775">
        <f>F19</f>
        <v>100</v>
      </c>
      <c r="T19" s="774" t="s">
        <v>17</v>
      </c>
      <c r="U19" s="775">
        <f>H19</f>
        <v>100</v>
      </c>
      <c r="V19" s="774" t="s">
        <v>17</v>
      </c>
      <c r="W19" s="775">
        <f>J19</f>
        <v>100</v>
      </c>
      <c r="X19" s="1815"/>
      <c r="Y19" s="3165"/>
      <c r="Z19" s="1816" t="str">
        <f>Q19</f>
        <v>区域土地利用方向</v>
      </c>
      <c r="AA19" s="1813">
        <f t="shared" si="3"/>
        <v>1</v>
      </c>
      <c r="AB19" s="1813">
        <f t="shared" si="4"/>
        <v>1</v>
      </c>
      <c r="AC19" s="1813">
        <f t="shared" si="5"/>
        <v>1</v>
      </c>
    </row>
    <row r="20" spans="1:29" ht="15">
      <c r="A20" s="404"/>
      <c r="B20" s="632"/>
      <c r="C20" s="447"/>
      <c r="D20" s="448"/>
      <c r="E20" s="2600"/>
      <c r="F20" s="448"/>
      <c r="G20" s="2600"/>
      <c r="H20" s="448"/>
      <c r="I20" s="2600"/>
      <c r="J20" s="448"/>
      <c r="K20" s="812"/>
      <c r="L20" s="1143"/>
      <c r="M20" s="1134"/>
      <c r="N20" s="1134"/>
      <c r="O20" s="1142"/>
      <c r="P20" s="3165"/>
      <c r="Q20" s="1812"/>
      <c r="R20" s="774"/>
      <c r="S20" s="775"/>
      <c r="T20" s="774"/>
      <c r="U20" s="775"/>
      <c r="V20" s="774"/>
      <c r="W20" s="775"/>
      <c r="X20" s="1815"/>
      <c r="Y20" s="3165"/>
      <c r="Z20" s="1816"/>
      <c r="AA20" s="1813"/>
      <c r="AB20" s="1813"/>
      <c r="AC20" s="1813"/>
    </row>
    <row r="21" spans="1:29" ht="71.25">
      <c r="A21" s="404"/>
      <c r="B21" s="631" t="s">
        <v>2791</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5"/>
      <c r="Q21" s="1812" t="str">
        <f t="shared" si="8"/>
        <v>环境状况</v>
      </c>
      <c r="R21" s="774" t="s">
        <v>17</v>
      </c>
      <c r="S21" s="775">
        <f>F21</f>
        <v>100</v>
      </c>
      <c r="T21" s="774" t="s">
        <v>17</v>
      </c>
      <c r="U21" s="775">
        <f>H21</f>
        <v>100</v>
      </c>
      <c r="V21" s="774" t="s">
        <v>17</v>
      </c>
      <c r="W21" s="775">
        <f>J21</f>
        <v>100</v>
      </c>
      <c r="X21" s="1815"/>
      <c r="Y21" s="3165"/>
      <c r="Z21" s="1816" t="str">
        <f>Q21</f>
        <v>环境状况</v>
      </c>
      <c r="AA21" s="1813">
        <f t="shared" si="3"/>
        <v>1</v>
      </c>
      <c r="AB21" s="1813">
        <f t="shared" si="4"/>
        <v>1</v>
      </c>
      <c r="AC21" s="1813">
        <f t="shared" si="5"/>
        <v>1</v>
      </c>
    </row>
    <row r="22" spans="1:29" ht="15">
      <c r="A22" s="404"/>
      <c r="B22" s="632"/>
      <c r="C22" s="447"/>
      <c r="D22" s="448"/>
      <c r="E22" s="2606"/>
      <c r="F22" s="448"/>
      <c r="G22" s="2606"/>
      <c r="H22" s="448"/>
      <c r="I22" s="447"/>
      <c r="J22" s="448"/>
      <c r="K22" s="672"/>
      <c r="L22" s="1143"/>
      <c r="M22" s="1134"/>
      <c r="N22" s="1134"/>
      <c r="O22" s="1142"/>
      <c r="P22" s="3165"/>
      <c r="Q22" s="1812"/>
      <c r="R22" s="774"/>
      <c r="S22" s="775"/>
      <c r="T22" s="774"/>
      <c r="U22" s="775"/>
      <c r="V22" s="774"/>
      <c r="W22" s="775"/>
      <c r="X22" s="1815"/>
      <c r="Y22" s="3165"/>
      <c r="Z22" s="1816"/>
      <c r="AA22" s="1813">
        <v>1</v>
      </c>
      <c r="AB22" s="1813">
        <v>1</v>
      </c>
      <c r="AC22" s="1813">
        <v>1</v>
      </c>
    </row>
    <row r="23" spans="1:29" s="117" customFormat="1" ht="42.75">
      <c r="A23" s="649"/>
      <c r="B23" s="633" t="s">
        <v>2646</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5"/>
      <c r="Q23" s="1797" t="str">
        <f t="shared" si="8"/>
        <v>公共配套设施</v>
      </c>
      <c r="R23" s="770" t="s">
        <v>17</v>
      </c>
      <c r="S23" s="771">
        <f>F23</f>
        <v>100</v>
      </c>
      <c r="T23" s="770" t="s">
        <v>17</v>
      </c>
      <c r="U23" s="771">
        <f>H23</f>
        <v>100</v>
      </c>
      <c r="V23" s="770" t="s">
        <v>17</v>
      </c>
      <c r="W23" s="771">
        <f>J23</f>
        <v>100</v>
      </c>
      <c r="X23" s="772"/>
      <c r="Y23" s="3165"/>
      <c r="Z23" s="55" t="str">
        <f>Q23</f>
        <v>公共配套设施</v>
      </c>
      <c r="AA23" s="1813">
        <f>D23/F23</f>
        <v>1</v>
      </c>
      <c r="AB23" s="1813">
        <f>D23/H23</f>
        <v>1</v>
      </c>
      <c r="AC23" s="1813">
        <f>D23/J23</f>
        <v>1</v>
      </c>
    </row>
    <row r="24" spans="1:29" s="117" customFormat="1" ht="15">
      <c r="A24" s="649"/>
      <c r="B24" s="632"/>
      <c r="C24" s="2695"/>
      <c r="D24" s="448"/>
      <c r="E24" s="2606"/>
      <c r="F24" s="448"/>
      <c r="G24" s="2606"/>
      <c r="H24" s="448"/>
      <c r="I24" s="447"/>
      <c r="J24" s="448"/>
      <c r="K24" s="672"/>
      <c r="L24" s="1135"/>
      <c r="M24" s="1136"/>
      <c r="N24" s="1136"/>
      <c r="O24" s="1137"/>
      <c r="P24" s="3165"/>
      <c r="Q24" s="1797"/>
      <c r="R24" s="770"/>
      <c r="S24" s="771"/>
      <c r="T24" s="770"/>
      <c r="U24" s="771"/>
      <c r="V24" s="770"/>
      <c r="W24" s="771"/>
      <c r="X24" s="772"/>
      <c r="Y24" s="3165"/>
      <c r="Z24" s="55"/>
      <c r="AA24" s="773">
        <v>1</v>
      </c>
      <c r="AB24" s="773">
        <v>1</v>
      </c>
      <c r="AC24" s="773">
        <v>1</v>
      </c>
    </row>
    <row r="25" spans="1:29" s="117" customFormat="1" ht="28.5">
      <c r="A25" s="649"/>
      <c r="B25" s="633" t="s">
        <v>2647</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5"/>
      <c r="Q25" s="1797" t="str">
        <f t="shared" ref="Q25" si="9">B25</f>
        <v>基础设施水平</v>
      </c>
      <c r="R25" s="770" t="s">
        <v>17</v>
      </c>
      <c r="S25" s="771">
        <f>F25</f>
        <v>100</v>
      </c>
      <c r="T25" s="770" t="s">
        <v>17</v>
      </c>
      <c r="U25" s="771">
        <f>H25</f>
        <v>100</v>
      </c>
      <c r="V25" s="770" t="s">
        <v>17</v>
      </c>
      <c r="W25" s="771">
        <f>J25</f>
        <v>100</v>
      </c>
      <c r="X25" s="772"/>
      <c r="Y25" s="3165"/>
      <c r="Z25" s="55" t="str">
        <f>Q25</f>
        <v>基础设施水平</v>
      </c>
      <c r="AA25" s="1813">
        <f>D25/F25</f>
        <v>1</v>
      </c>
      <c r="AB25" s="1813">
        <f>D25/H25</f>
        <v>1</v>
      </c>
      <c r="AC25" s="1813">
        <f>D25/J25</f>
        <v>1</v>
      </c>
    </row>
    <row r="26" spans="1:29" s="117" customFormat="1" ht="15">
      <c r="A26" s="649"/>
      <c r="B26" s="632"/>
      <c r="C26" s="2695"/>
      <c r="D26" s="448"/>
      <c r="E26" s="2696"/>
      <c r="F26" s="448"/>
      <c r="G26" s="2696"/>
      <c r="H26" s="448"/>
      <c r="I26" s="2696"/>
      <c r="J26" s="448"/>
      <c r="K26" s="672"/>
      <c r="L26" s="1135"/>
      <c r="M26" s="1136"/>
      <c r="N26" s="1136"/>
      <c r="O26" s="1137"/>
      <c r="P26" s="3165"/>
      <c r="Q26" s="1797"/>
      <c r="R26" s="770"/>
      <c r="S26" s="771"/>
      <c r="T26" s="770"/>
      <c r="U26" s="771"/>
      <c r="V26" s="770"/>
      <c r="W26" s="771"/>
      <c r="X26" s="772"/>
      <c r="Y26" s="3165"/>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65"/>
      <c r="Z27" s="1816" t="str">
        <f t="shared" ref="Z27:Z40" si="13">Q27</f>
        <v>临街状况</v>
      </c>
      <c r="AA27" s="1813">
        <f t="shared" si="3"/>
        <v>1</v>
      </c>
      <c r="AB27" s="1813">
        <f t="shared" si="4"/>
        <v>1</v>
      </c>
      <c r="AC27" s="1813">
        <f t="shared" si="5"/>
        <v>1</v>
      </c>
    </row>
    <row r="28" spans="1:29" ht="27">
      <c r="A28" s="428"/>
      <c r="B28" s="633" t="s">
        <v>2683</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5"/>
      <c r="Q28" s="1812" t="str">
        <f t="shared" si="8"/>
        <v>毗邻道路的类型与等级</v>
      </c>
      <c r="R28" s="774" t="s">
        <v>17</v>
      </c>
      <c r="S28" s="775">
        <f t="shared" si="10"/>
        <v>100</v>
      </c>
      <c r="T28" s="774" t="s">
        <v>17</v>
      </c>
      <c r="U28" s="775">
        <f t="shared" si="11"/>
        <v>100</v>
      </c>
      <c r="V28" s="774" t="s">
        <v>17</v>
      </c>
      <c r="W28" s="775">
        <f t="shared" si="12"/>
        <v>100</v>
      </c>
      <c r="X28" s="1815"/>
      <c r="Y28" s="3165"/>
      <c r="Z28" s="1816" t="str">
        <f t="shared" si="13"/>
        <v>毗邻道路的类型与等级</v>
      </c>
      <c r="AA28" s="1813">
        <f t="shared" si="3"/>
        <v>1</v>
      </c>
      <c r="AB28" s="1813">
        <f t="shared" si="4"/>
        <v>1</v>
      </c>
      <c r="AC28" s="1813">
        <f t="shared" si="5"/>
        <v>1</v>
      </c>
    </row>
    <row r="29" spans="1:29" ht="15">
      <c r="A29" s="428"/>
      <c r="B29" s="632"/>
      <c r="C29" s="447"/>
      <c r="D29" s="448"/>
      <c r="E29" s="2606"/>
      <c r="F29" s="448"/>
      <c r="G29" s="2606"/>
      <c r="H29" s="448"/>
      <c r="I29" s="2606"/>
      <c r="J29" s="448"/>
      <c r="K29" s="613"/>
      <c r="L29" s="1143"/>
      <c r="M29" s="1134"/>
      <c r="N29" s="1134"/>
      <c r="O29" s="1142"/>
      <c r="P29" s="3165"/>
      <c r="Q29" s="1812"/>
      <c r="R29" s="774"/>
      <c r="S29" s="775"/>
      <c r="T29" s="774"/>
      <c r="U29" s="775"/>
      <c r="V29" s="774"/>
      <c r="W29" s="775"/>
      <c r="X29" s="1815"/>
      <c r="Y29" s="3165"/>
      <c r="Z29" s="1816"/>
      <c r="AA29" s="1813">
        <v>1</v>
      </c>
      <c r="AB29" s="1813">
        <v>1</v>
      </c>
      <c r="AC29" s="1813">
        <v>1</v>
      </c>
    </row>
    <row r="30" spans="1:29" ht="15">
      <c r="A30" s="428"/>
      <c r="B30" s="654" t="s">
        <v>2742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5"/>
      <c r="Q30" s="1812" t="str">
        <f t="shared" si="8"/>
        <v>土地级别</v>
      </c>
      <c r="R30" s="774" t="s">
        <v>17</v>
      </c>
      <c r="S30" s="775">
        <f t="shared" si="10"/>
        <v>100</v>
      </c>
      <c r="T30" s="774" t="s">
        <v>17</v>
      </c>
      <c r="U30" s="775">
        <f t="shared" si="11"/>
        <v>100</v>
      </c>
      <c r="V30" s="774" t="s">
        <v>17</v>
      </c>
      <c r="W30" s="775">
        <f t="shared" si="12"/>
        <v>100</v>
      </c>
      <c r="X30" s="1815"/>
      <c r="Y30" s="3165"/>
      <c r="Z30" s="1816" t="str">
        <f t="shared" si="13"/>
        <v>土地级别</v>
      </c>
      <c r="AA30" s="1813">
        <f t="shared" si="3"/>
        <v>1</v>
      </c>
      <c r="AB30" s="1813">
        <f t="shared" si="4"/>
        <v>1</v>
      </c>
      <c r="AC30" s="1813">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5"/>
      <c r="Q31" s="1812">
        <f t="shared" si="8"/>
        <v>111</v>
      </c>
      <c r="R31" s="774" t="s">
        <v>17</v>
      </c>
      <c r="S31" s="775">
        <f t="shared" si="10"/>
        <v>100</v>
      </c>
      <c r="T31" s="774" t="s">
        <v>17</v>
      </c>
      <c r="U31" s="775">
        <f t="shared" si="11"/>
        <v>100</v>
      </c>
      <c r="V31" s="774" t="s">
        <v>17</v>
      </c>
      <c r="W31" s="775">
        <f t="shared" si="12"/>
        <v>100</v>
      </c>
      <c r="X31" s="1815"/>
      <c r="Y31" s="3165"/>
      <c r="Z31" s="1816">
        <f t="shared" si="13"/>
        <v>111</v>
      </c>
      <c r="AA31" s="1813">
        <f t="shared" si="3"/>
        <v>1</v>
      </c>
      <c r="AB31" s="1813">
        <f t="shared" si="4"/>
        <v>1</v>
      </c>
      <c r="AC31" s="1813">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6" t="s">
        <v>2557</v>
      </c>
      <c r="Q32" s="1812">
        <f t="shared" si="8"/>
        <v>111</v>
      </c>
      <c r="R32" s="774" t="s">
        <v>17</v>
      </c>
      <c r="S32" s="775">
        <f t="shared" si="10"/>
        <v>100</v>
      </c>
      <c r="T32" s="774" t="s">
        <v>17</v>
      </c>
      <c r="U32" s="775">
        <f t="shared" si="11"/>
        <v>100</v>
      </c>
      <c r="V32" s="774" t="s">
        <v>17</v>
      </c>
      <c r="W32" s="775">
        <f t="shared" si="12"/>
        <v>100</v>
      </c>
      <c r="X32" s="1815"/>
      <c r="Y32" s="3167" t="s">
        <v>2557</v>
      </c>
      <c r="Z32" s="1816">
        <f t="shared" si="13"/>
        <v>111</v>
      </c>
      <c r="AA32" s="1813">
        <f t="shared" si="3"/>
        <v>1</v>
      </c>
      <c r="AB32" s="1813">
        <f t="shared" si="4"/>
        <v>1</v>
      </c>
      <c r="AC32" s="1813">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7"/>
      <c r="Q33" s="1812">
        <f t="shared" si="8"/>
        <v>111</v>
      </c>
      <c r="R33" s="777" t="s">
        <v>17</v>
      </c>
      <c r="S33" s="778">
        <f t="shared" si="10"/>
        <v>100</v>
      </c>
      <c r="T33" s="777" t="s">
        <v>17</v>
      </c>
      <c r="U33" s="778">
        <f t="shared" si="11"/>
        <v>100</v>
      </c>
      <c r="V33" s="777" t="s">
        <v>17</v>
      </c>
      <c r="W33" s="778">
        <f t="shared" si="12"/>
        <v>100</v>
      </c>
      <c r="X33" s="779"/>
      <c r="Y33" s="3167"/>
      <c r="Z33" s="780">
        <f t="shared" si="13"/>
        <v>111</v>
      </c>
      <c r="AA33" s="1813">
        <f t="shared" si="3"/>
        <v>1</v>
      </c>
      <c r="AB33" s="1813">
        <f t="shared" si="4"/>
        <v>1</v>
      </c>
      <c r="AC33" s="1813">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7"/>
      <c r="Q34" s="1812" t="str">
        <f>B34</f>
        <v>宗地面积</v>
      </c>
      <c r="R34" s="774" t="s">
        <v>17</v>
      </c>
      <c r="S34" s="775" t="e">
        <f t="shared" si="10"/>
        <v>#N/A</v>
      </c>
      <c r="T34" s="774" t="s">
        <v>17</v>
      </c>
      <c r="U34" s="775" t="e">
        <f t="shared" si="11"/>
        <v>#N/A</v>
      </c>
      <c r="V34" s="774" t="s">
        <v>17</v>
      </c>
      <c r="W34" s="775" t="e">
        <f t="shared" si="12"/>
        <v>#N/A</v>
      </c>
      <c r="X34" s="1815"/>
      <c r="Y34" s="3167"/>
      <c r="Z34" s="1816" t="str">
        <f t="shared" si="13"/>
        <v>宗地面积</v>
      </c>
      <c r="AA34" s="1813" t="e">
        <f t="shared" si="3"/>
        <v>#N/A</v>
      </c>
      <c r="AB34" s="1813" t="e">
        <f t="shared" si="4"/>
        <v>#N/A</v>
      </c>
      <c r="AC34" s="1813" t="e">
        <f t="shared" si="5"/>
        <v>#N/A</v>
      </c>
    </row>
    <row r="35" spans="1:29" ht="15">
      <c r="A35" s="472"/>
      <c r="B35" s="422" t="s">
        <v>2744</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3"/>
      <c r="M35" s="1134"/>
      <c r="N35" s="1134"/>
      <c r="O35" s="1142"/>
      <c r="P35" s="3167"/>
      <c r="Q35" s="1812" t="str">
        <f t="shared" ref="Q35:Q40" si="14">B35</f>
        <v>宗地形状</v>
      </c>
      <c r="R35" s="774" t="s">
        <v>17</v>
      </c>
      <c r="S35" s="775">
        <f t="shared" si="10"/>
        <v>100</v>
      </c>
      <c r="T35" s="774" t="s">
        <v>17</v>
      </c>
      <c r="U35" s="775">
        <f t="shared" si="11"/>
        <v>100</v>
      </c>
      <c r="V35" s="774" t="s">
        <v>17</v>
      </c>
      <c r="W35" s="775">
        <f t="shared" si="12"/>
        <v>100</v>
      </c>
      <c r="X35" s="1815"/>
      <c r="Y35" s="3167"/>
      <c r="Z35" s="1816" t="str">
        <f t="shared" si="13"/>
        <v>宗地形状</v>
      </c>
      <c r="AA35" s="1813">
        <f t="shared" si="3"/>
        <v>1</v>
      </c>
      <c r="AB35" s="1813">
        <f t="shared" si="4"/>
        <v>1</v>
      </c>
      <c r="AC35" s="1813">
        <f t="shared" si="5"/>
        <v>1</v>
      </c>
    </row>
    <row r="36" spans="1:29" s="117" customFormat="1" ht="15">
      <c r="A36" s="473"/>
      <c r="B36" s="422" t="s">
        <v>2746</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5"/>
      <c r="M36" s="1136"/>
      <c r="N36" s="1136"/>
      <c r="O36" s="1137"/>
      <c r="P36" s="3167"/>
      <c r="Q36" s="1812" t="str">
        <f t="shared" si="14"/>
        <v>宗地开发程度</v>
      </c>
      <c r="R36" s="770" t="s">
        <v>17</v>
      </c>
      <c r="S36" s="771">
        <f t="shared" si="10"/>
        <v>100</v>
      </c>
      <c r="T36" s="770" t="s">
        <v>17</v>
      </c>
      <c r="U36" s="771">
        <f t="shared" si="11"/>
        <v>100</v>
      </c>
      <c r="V36" s="770" t="s">
        <v>17</v>
      </c>
      <c r="W36" s="771">
        <f t="shared" si="12"/>
        <v>100</v>
      </c>
      <c r="X36" s="772"/>
      <c r="Y36" s="3167"/>
      <c r="Z36" s="55" t="str">
        <f t="shared" si="13"/>
        <v>宗地开发程度</v>
      </c>
      <c r="AA36" s="773">
        <f t="shared" si="3"/>
        <v>1</v>
      </c>
      <c r="AB36" s="773">
        <f t="shared" si="4"/>
        <v>1</v>
      </c>
      <c r="AC36" s="773">
        <f t="shared" si="5"/>
        <v>1</v>
      </c>
    </row>
    <row r="37" spans="1:29" ht="15">
      <c r="A37" s="472"/>
      <c r="B37" s="422" t="s">
        <v>2747</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3"/>
      <c r="M37" s="1134"/>
      <c r="N37" s="1134"/>
      <c r="O37" s="1142"/>
      <c r="P37" s="3167" t="s">
        <v>2557</v>
      </c>
      <c r="Q37" s="1812" t="str">
        <f t="shared" si="14"/>
        <v>工程地质条件</v>
      </c>
      <c r="R37" s="774" t="s">
        <v>17</v>
      </c>
      <c r="S37" s="775">
        <f t="shared" si="10"/>
        <v>100</v>
      </c>
      <c r="T37" s="774" t="s">
        <v>17</v>
      </c>
      <c r="U37" s="775">
        <f t="shared" si="11"/>
        <v>100</v>
      </c>
      <c r="V37" s="774" t="s">
        <v>17</v>
      </c>
      <c r="W37" s="775">
        <f t="shared" si="12"/>
        <v>100</v>
      </c>
      <c r="X37" s="1815"/>
      <c r="Y37" s="3167" t="s">
        <v>2557</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7"/>
      <c r="Q38" s="1812">
        <f t="shared" si="14"/>
        <v>111</v>
      </c>
      <c r="R38" s="774" t="s">
        <v>17</v>
      </c>
      <c r="S38" s="775">
        <f t="shared" si="10"/>
        <v>100</v>
      </c>
      <c r="T38" s="774" t="s">
        <v>17</v>
      </c>
      <c r="U38" s="775">
        <f t="shared" si="11"/>
        <v>100</v>
      </c>
      <c r="V38" s="774" t="s">
        <v>17</v>
      </c>
      <c r="W38" s="775">
        <f t="shared" si="12"/>
        <v>100</v>
      </c>
      <c r="X38" s="1815"/>
      <c r="Y38" s="3167"/>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7"/>
      <c r="Q39" s="1812">
        <f t="shared" si="14"/>
        <v>111</v>
      </c>
      <c r="R39" s="774" t="s">
        <v>17</v>
      </c>
      <c r="S39" s="775">
        <f t="shared" si="10"/>
        <v>100</v>
      </c>
      <c r="T39" s="774" t="s">
        <v>17</v>
      </c>
      <c r="U39" s="775">
        <f t="shared" si="11"/>
        <v>100</v>
      </c>
      <c r="V39" s="774" t="s">
        <v>17</v>
      </c>
      <c r="W39" s="775">
        <f t="shared" si="12"/>
        <v>100</v>
      </c>
      <c r="X39" s="1815"/>
      <c r="Y39" s="3167"/>
      <c r="Z39" s="1816">
        <f t="shared" si="13"/>
        <v>111</v>
      </c>
      <c r="AA39" s="1813">
        <f t="shared" si="3"/>
        <v>1</v>
      </c>
      <c r="AB39" s="1813">
        <f t="shared" si="4"/>
        <v>1</v>
      </c>
      <c r="AC39" s="1813">
        <f t="shared" si="5"/>
        <v>1</v>
      </c>
    </row>
    <row r="40" spans="1:29" s="471" customFormat="1" ht="15.75" thickBot="1">
      <c r="A40" s="468"/>
      <c r="B40" s="1390">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7"/>
      <c r="Q40" s="1812">
        <f t="shared" si="14"/>
        <v>111</v>
      </c>
      <c r="R40" s="777" t="s">
        <v>17</v>
      </c>
      <c r="S40" s="778">
        <f t="shared" si="10"/>
        <v>100</v>
      </c>
      <c r="T40" s="777" t="s">
        <v>17</v>
      </c>
      <c r="U40" s="778">
        <f t="shared" si="11"/>
        <v>100</v>
      </c>
      <c r="V40" s="777" t="s">
        <v>17</v>
      </c>
      <c r="W40" s="778">
        <f t="shared" si="12"/>
        <v>100</v>
      </c>
      <c r="X40" s="779"/>
      <c r="Y40" s="3167"/>
      <c r="Z40" s="780">
        <f t="shared" si="13"/>
        <v>111</v>
      </c>
      <c r="AA40" s="1813">
        <f t="shared" si="3"/>
        <v>1</v>
      </c>
      <c r="AB40" s="1813">
        <f t="shared" si="4"/>
        <v>1</v>
      </c>
      <c r="AC40" s="1813">
        <f t="shared" si="5"/>
        <v>1</v>
      </c>
    </row>
    <row r="41" spans="1:29" ht="15">
      <c r="A41" s="479" t="s">
        <v>2712</v>
      </c>
      <c r="B41" s="2699" t="s">
        <v>2792</v>
      </c>
      <c r="C41" s="682" t="s">
        <v>1</v>
      </c>
      <c r="D41" s="481"/>
      <c r="E41" s="482"/>
      <c r="F41" s="483"/>
      <c r="G41" s="484"/>
      <c r="H41" s="485"/>
      <c r="I41" s="482"/>
      <c r="J41" s="485"/>
      <c r="K41" s="783"/>
      <c r="L41" s="1146"/>
      <c r="M41" s="1134"/>
      <c r="N41" s="1134"/>
      <c r="O41" s="1147"/>
      <c r="P41" s="3162" t="str">
        <f>A41</f>
        <v>成交单价</v>
      </c>
      <c r="Q41" s="3162"/>
      <c r="R41" s="3168">
        <f>E41</f>
        <v>0</v>
      </c>
      <c r="S41" s="3168"/>
      <c r="T41" s="3168">
        <f>G41</f>
        <v>0</v>
      </c>
      <c r="U41" s="3168"/>
      <c r="V41" s="3168">
        <f>I41</f>
        <v>0</v>
      </c>
      <c r="W41" s="3168"/>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162" t="str">
        <f>A42</f>
        <v>比较价值（元/平方米）</v>
      </c>
      <c r="Q42" s="3162"/>
      <c r="R42" s="3155" t="e">
        <f>ROUND(PRODUCT(R41,AA7:AA40),0)</f>
        <v>#DIV/0!</v>
      </c>
      <c r="S42" s="3155"/>
      <c r="T42" s="3155" t="e">
        <f>ROUND(PRODUCT(T41,AB7:AB40),0)</f>
        <v>#DIV/0!</v>
      </c>
      <c r="U42" s="3155"/>
      <c r="V42" s="3155" t="e">
        <f>ROUND(PRODUCT(V41,AC7:AC40),0)</f>
        <v>#DIV/0!</v>
      </c>
      <c r="W42" s="3155"/>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156" t="str">
        <f>A43</f>
        <v>估价对象XX用房的比较价值（楼面单价，元/平方米）</v>
      </c>
      <c r="Q43" s="3157"/>
      <c r="R43" s="3158" t="e">
        <f>ROUND(AVERAGE(R42:V42),0)</f>
        <v>#DIV/0!</v>
      </c>
      <c r="S43" s="3158"/>
      <c r="T43" s="3158"/>
      <c r="U43" s="3158"/>
      <c r="V43" s="3158"/>
      <c r="W43" s="315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2750</v>
      </c>
      <c r="B50" s="685" t="s">
        <v>2751</v>
      </c>
      <c r="C50" s="2700" t="s">
        <v>2752</v>
      </c>
      <c r="D50" s="2701" t="s">
        <v>2753</v>
      </c>
      <c r="E50" s="686" t="s">
        <v>2754</v>
      </c>
      <c r="F50" s="687" t="s">
        <v>2755</v>
      </c>
      <c r="G50" s="3159" t="s">
        <v>2756</v>
      </c>
      <c r="H50" s="3160"/>
      <c r="I50" s="1816" t="s">
        <v>2793</v>
      </c>
      <c r="J50" s="1816" t="e">
        <f>项目基本情况!F35</f>
        <v>#REF!</v>
      </c>
      <c r="K50" s="2703" t="s">
        <v>2758</v>
      </c>
      <c r="L50" s="1109"/>
      <c r="M50" s="1147"/>
      <c r="N50" s="1147"/>
      <c r="O50" s="1147"/>
    </row>
    <row r="51" spans="1:17" s="692" customFormat="1">
      <c r="A51" s="688" t="s">
        <v>2759</v>
      </c>
      <c r="B51" s="689" t="e">
        <f>C43</f>
        <v>#DIV/0!</v>
      </c>
      <c r="C51" s="690">
        <v>1</v>
      </c>
      <c r="D51" s="1166">
        <v>1</v>
      </c>
      <c r="E51" s="690">
        <f>'数据-汇总表'!E8+'数据-汇总表'!E9</f>
        <v>54311.28</v>
      </c>
      <c r="F51" s="691" t="e">
        <f t="shared" ref="F51:F60" si="15">ROUND(B51*E51/10000,0)</f>
        <v>#DIV/0!</v>
      </c>
      <c r="G51" s="3161"/>
      <c r="H51" s="3162"/>
      <c r="I51" s="945">
        <v>1</v>
      </c>
      <c r="J51" s="945">
        <v>1</v>
      </c>
      <c r="K51" s="1148"/>
      <c r="L51" s="944"/>
      <c r="M51" s="944"/>
      <c r="N51" s="944"/>
      <c r="O51" s="944"/>
    </row>
    <row r="52" spans="1:17" s="692" customFormat="1">
      <c r="A52" s="693" t="s">
        <v>2760</v>
      </c>
      <c r="B52" s="262" t="e">
        <f>ROUND($C$43*C52*D52,0)</f>
        <v>#DIV/0!</v>
      </c>
      <c r="C52" s="200">
        <f t="shared" ref="C52:C60" si="16">IF($C$50="北京市系数",I52,J52)</f>
        <v>0</v>
      </c>
      <c r="D52" s="1167">
        <v>0.25</v>
      </c>
      <c r="E52" s="694"/>
      <c r="F52" s="691" t="e">
        <f t="shared" si="15"/>
        <v>#DIV/0!</v>
      </c>
      <c r="G52" s="3163" t="s">
        <v>2761</v>
      </c>
      <c r="H52" s="1107">
        <f>项目基本情况!B37</f>
        <v>0</v>
      </c>
      <c r="I52" s="945">
        <f>SUMIF(修正!A45:A56,H52,修正!B45:B56)</f>
        <v>0</v>
      </c>
      <c r="J52" s="946"/>
      <c r="K52" s="1147"/>
      <c r="L52" s="944"/>
      <c r="M52" s="944"/>
      <c r="N52" s="944"/>
      <c r="O52" s="944"/>
    </row>
    <row r="53" spans="1:17" s="692" customFormat="1">
      <c r="A53" s="693" t="s">
        <v>2762</v>
      </c>
      <c r="B53" s="262" t="e">
        <f t="shared" ref="B53:B60" si="17">ROUND($C$43*C53*D53,0)</f>
        <v>#DIV/0!</v>
      </c>
      <c r="C53" s="200">
        <f t="shared" si="16"/>
        <v>0</v>
      </c>
      <c r="D53" s="1167">
        <v>0.25</v>
      </c>
      <c r="E53" s="694"/>
      <c r="F53" s="691" t="e">
        <f t="shared" si="15"/>
        <v>#DIV/0!</v>
      </c>
      <c r="G53" s="3163"/>
      <c r="H53" s="1107">
        <f>项目基本情况!B37</f>
        <v>0</v>
      </c>
      <c r="I53" s="945">
        <f>SUMIF(修正!A45:A56,H53,修正!C45:C56)</f>
        <v>0</v>
      </c>
      <c r="J53" s="946"/>
      <c r="K53" s="1148"/>
      <c r="L53" s="944"/>
      <c r="M53" s="944"/>
      <c r="N53" s="944"/>
      <c r="O53" s="944"/>
    </row>
    <row r="54" spans="1:17" s="692" customFormat="1">
      <c r="A54" s="693" t="s">
        <v>2763</v>
      </c>
      <c r="B54" s="262" t="e">
        <f t="shared" si="17"/>
        <v>#DIV/0!</v>
      </c>
      <c r="C54" s="200">
        <f t="shared" si="16"/>
        <v>0</v>
      </c>
      <c r="D54" s="1167">
        <v>0.25</v>
      </c>
      <c r="E54" s="694"/>
      <c r="F54" s="691" t="e">
        <f t="shared" si="15"/>
        <v>#DIV/0!</v>
      </c>
      <c r="G54" s="3163"/>
      <c r="H54" s="1107">
        <f>项目基本情况!B37</f>
        <v>0</v>
      </c>
      <c r="I54" s="945">
        <f>SUMIF(修正!A45:A56,H54,修正!D45:D56)</f>
        <v>0</v>
      </c>
      <c r="J54" s="946"/>
      <c r="K54" s="1147"/>
      <c r="L54" s="944"/>
      <c r="M54" s="944"/>
      <c r="N54" s="944"/>
      <c r="O54" s="944"/>
    </row>
    <row r="55" spans="1:17" s="692" customFormat="1">
      <c r="A55" s="693" t="s">
        <v>2764</v>
      </c>
      <c r="B55" s="262" t="e">
        <f t="shared" si="17"/>
        <v>#DIV/0!</v>
      </c>
      <c r="C55" s="200">
        <f t="shared" si="16"/>
        <v>0</v>
      </c>
      <c r="D55" s="1167">
        <v>0.25</v>
      </c>
      <c r="E55" s="694"/>
      <c r="F55" s="691" t="e">
        <f t="shared" si="15"/>
        <v>#DIV/0!</v>
      </c>
      <c r="G55" s="3163"/>
      <c r="H55" s="1107">
        <f>项目基本情况!B37</f>
        <v>0</v>
      </c>
      <c r="I55" s="945">
        <f>SUMIF(修正!A45:A56,H55,修正!E45:E56)</f>
        <v>0</v>
      </c>
      <c r="J55" s="946"/>
      <c r="K55" s="1148"/>
      <c r="L55" s="944"/>
      <c r="M55" s="944"/>
      <c r="N55" s="944"/>
      <c r="O55" s="944"/>
    </row>
    <row r="56" spans="1:17" s="692" customFormat="1">
      <c r="A56" s="693" t="s">
        <v>2765</v>
      </c>
      <c r="B56" s="262" t="e">
        <f t="shared" si="17"/>
        <v>#DIV/0!</v>
      </c>
      <c r="C56" s="200">
        <f t="shared" si="16"/>
        <v>0</v>
      </c>
      <c r="D56" s="1167">
        <v>0.25</v>
      </c>
      <c r="E56" s="261">
        <f>'数据-汇总表'!E11</f>
        <v>0</v>
      </c>
      <c r="F56" s="691" t="e">
        <f t="shared" si="15"/>
        <v>#DIV/0!</v>
      </c>
      <c r="G56" s="2704" t="s">
        <v>2766</v>
      </c>
      <c r="H56" s="1107">
        <f>项目基本情况!C37</f>
        <v>0</v>
      </c>
      <c r="I56" s="945">
        <f>SUMIF(修正!A45:A56,H56,修正!F45:F56)</f>
        <v>0</v>
      </c>
      <c r="J56" s="946"/>
      <c r="K56" s="1147"/>
      <c r="L56" s="944"/>
      <c r="M56" s="944"/>
      <c r="N56" s="944"/>
      <c r="O56" s="944"/>
    </row>
    <row r="57" spans="1:17" s="692" customFormat="1">
      <c r="A57" s="693" t="s">
        <v>2767</v>
      </c>
      <c r="B57" s="262" t="e">
        <f t="shared" si="17"/>
        <v>#DIV/0!</v>
      </c>
      <c r="C57" s="200">
        <f t="shared" si="16"/>
        <v>0</v>
      </c>
      <c r="D57" s="1167">
        <v>0.25</v>
      </c>
      <c r="E57" s="261">
        <f>'数据-汇总表'!E12</f>
        <v>0</v>
      </c>
      <c r="F57" s="691" t="e">
        <f t="shared" si="15"/>
        <v>#DIV/0!</v>
      </c>
      <c r="G57" s="1112" t="s">
        <v>2768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2769</v>
      </c>
      <c r="B58" s="262" t="e">
        <f t="shared" si="17"/>
        <v>#DIV/0!</v>
      </c>
      <c r="C58" s="200">
        <f t="shared" si="16"/>
        <v>0</v>
      </c>
      <c r="D58" s="1167">
        <v>0.25</v>
      </c>
      <c r="E58" s="261">
        <f>'数据-汇总表'!E13</f>
        <v>8387.2000000000007</v>
      </c>
      <c r="F58" s="691" t="e">
        <f t="shared" si="15"/>
        <v>#DIV/0!</v>
      </c>
      <c r="G58" s="1112" t="s">
        <v>2770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2771</v>
      </c>
      <c r="B59" s="262" t="e">
        <f t="shared" si="17"/>
        <v>#DIV/0!</v>
      </c>
      <c r="C59" s="200">
        <f t="shared" si="16"/>
        <v>0</v>
      </c>
      <c r="D59" s="1167">
        <v>0.25</v>
      </c>
      <c r="E59" s="261">
        <f>'数据-汇总表'!E14</f>
        <v>0</v>
      </c>
      <c r="F59" s="691" t="e">
        <f t="shared" si="15"/>
        <v>#DIV/0!</v>
      </c>
      <c r="G59" s="2704" t="s">
        <v>2761</v>
      </c>
      <c r="H59" s="1107">
        <f>项目基本情况!B37</f>
        <v>0</v>
      </c>
      <c r="I59" s="945">
        <f>SUMIF(修正!A45:A56,H59,修正!H45:H56)</f>
        <v>0</v>
      </c>
      <c r="J59" s="946"/>
      <c r="K59" s="1148"/>
      <c r="L59" s="944"/>
      <c r="M59" s="944"/>
      <c r="N59" s="944"/>
      <c r="O59" s="944"/>
    </row>
    <row r="60" spans="1:17" s="692" customFormat="1" ht="15" thickBot="1">
      <c r="A60" s="693" t="s">
        <v>2772</v>
      </c>
      <c r="B60" s="262" t="e">
        <f t="shared" si="17"/>
        <v>#DIV/0!</v>
      </c>
      <c r="C60" s="200">
        <f t="shared" si="16"/>
        <v>0</v>
      </c>
      <c r="D60" s="1167">
        <v>0.25</v>
      </c>
      <c r="E60" s="261">
        <f>'数据-汇总表'!E15</f>
        <v>0</v>
      </c>
      <c r="F60" s="691" t="e">
        <f t="shared" si="15"/>
        <v>#DIV/0!</v>
      </c>
      <c r="G60" s="2705" t="s">
        <v>2766</v>
      </c>
      <c r="H60" s="1117">
        <f>项目基本情况!C37</f>
        <v>0</v>
      </c>
      <c r="I60" s="945">
        <f>SUMIF(修正!A45:A56,H60,修正!H45:H56)</f>
        <v>0</v>
      </c>
      <c r="J60" s="946"/>
      <c r="K60" s="1147"/>
      <c r="L60" s="944"/>
      <c r="M60" s="944"/>
      <c r="N60" s="944"/>
      <c r="O60" s="944"/>
    </row>
    <row r="61" spans="1:17" s="692" customFormat="1" ht="15" thickBot="1">
      <c r="A61" s="695" t="s">
        <v>2773</v>
      </c>
      <c r="B61" s="696" t="s">
        <v>28</v>
      </c>
      <c r="C61" s="696" t="s">
        <v>29</v>
      </c>
      <c r="D61" s="696" t="s">
        <v>1029</v>
      </c>
      <c r="E61" s="696">
        <f>IF(B41="楼面地价",SUM(E51:E60),'数据-汇总表'!D3)</f>
        <v>22451.59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06" t="s">
        <v>2774</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1" t="s">
        <v>2794</v>
      </c>
      <c r="B66" s="332" t="str">
        <f>"北京市平均增长率"&amp;TEXT(基准地价修正!P24,"0.00%")</f>
        <v>北京市平均增长率1.35%</v>
      </c>
      <c r="C66" s="603">
        <v>100</v>
      </c>
      <c r="D66" s="595"/>
      <c r="E66" s="595"/>
      <c r="F66" s="595"/>
      <c r="G66" s="595"/>
      <c r="H66" s="595"/>
      <c r="I66" s="595"/>
      <c r="J66" s="595"/>
      <c r="K66" s="595"/>
      <c r="L66" s="595"/>
      <c r="M66" s="1570"/>
      <c r="N66" s="1570"/>
      <c r="O66" s="1571"/>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5" customWidth="1"/>
    <col min="33" max="36" width="9.375" style="2791" customWidth="1"/>
    <col min="37" max="38" width="9.375" style="2715" customWidth="1"/>
    <col min="39" max="16384" width="12" style="2715"/>
  </cols>
  <sheetData>
    <row r="1" spans="1:36" ht="28.5">
      <c r="A1" s="240" t="s">
        <v>2796</v>
      </c>
      <c r="B1" s="241"/>
      <c r="C1" s="245" t="s">
        <v>2797</v>
      </c>
      <c r="D1" s="388">
        <f>SUM(D29:D30,D33:D39)</f>
        <v>0</v>
      </c>
      <c r="E1" s="2712"/>
      <c r="F1" s="2712"/>
      <c r="G1" s="2712"/>
      <c r="H1" s="2712"/>
      <c r="I1" s="2712"/>
      <c r="J1" s="2712"/>
      <c r="K1" s="1373"/>
      <c r="L1" s="2713" t="s">
        <v>2798</v>
      </c>
      <c r="M1" s="1083">
        <f>SUMPRODUCT((区片价!B5:B9=I2)*(区片价!C3:F3=E2)*(区片价!C5:F9))</f>
        <v>0</v>
      </c>
      <c r="N1" s="1086">
        <f>SUMPRODUCT((因素修正幅度!B5:B9=I2)*(因素修正幅度!C3:F3=E2)*(因素修正幅度!C5:F9))</f>
        <v>0</v>
      </c>
      <c r="O1" s="2714"/>
      <c r="P1" s="2714"/>
      <c r="Q1" s="1373"/>
      <c r="R1" s="1604" t="s">
        <v>2799</v>
      </c>
      <c r="S1" s="1604" t="s">
        <v>2800</v>
      </c>
      <c r="T1" s="1604" t="s">
        <v>2801</v>
      </c>
      <c r="U1" s="1604" t="s">
        <v>2802</v>
      </c>
      <c r="V1" s="1604" t="s">
        <v>2803</v>
      </c>
      <c r="W1" s="1608"/>
      <c r="X1" s="1608"/>
      <c r="Y1" s="1608"/>
      <c r="Z1" s="1608"/>
      <c r="AA1" s="1608"/>
      <c r="AB1" s="1608"/>
      <c r="AC1" s="1609"/>
      <c r="AD1" s="1610"/>
      <c r="AE1" s="1610"/>
      <c r="AF1" s="1610"/>
      <c r="AG1" s="1610"/>
      <c r="AH1" s="1610"/>
      <c r="AI1" s="1610"/>
      <c r="AJ1" s="1611"/>
    </row>
    <row r="2" spans="1:36" ht="15.75">
      <c r="A2" s="245" t="s">
        <v>2804</v>
      </c>
      <c r="B2" s="248" t="e">
        <f>C26</f>
        <v>#DIV/0!</v>
      </c>
      <c r="C2" s="2716" t="s">
        <v>2805</v>
      </c>
      <c r="D2" s="2717" t="s">
        <v>2806</v>
      </c>
      <c r="E2" s="2718"/>
      <c r="F2" s="2717" t="s">
        <v>2807</v>
      </c>
      <c r="G2" s="2719">
        <f>IF(E2="商业",项目基本情况!B37,IF(E2="办公",项目基本情况!C37,IF(E2="住宅",项目基本情况!D37,项目基本情况!E37)))</f>
        <v>0</v>
      </c>
      <c r="H2" s="2717" t="s">
        <v>2808</v>
      </c>
      <c r="I2" s="2719">
        <f>IF(E2="商业",项目基本情况!B38,IF(E2="办公",项目基本情况!C38,IF(E2="住宅",项目基本情况!D38,项目基本情况!E38)))</f>
        <v>0</v>
      </c>
      <c r="J2" s="2720"/>
      <c r="K2" s="1373"/>
      <c r="L2" s="2721" t="s">
        <v>2809</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2810</v>
      </c>
      <c r="B3" s="248" t="e">
        <f>ROUND(B2*10000/D1,0)</f>
        <v>#DIV/0!</v>
      </c>
      <c r="C3" s="2716" t="s">
        <v>2811</v>
      </c>
      <c r="D3" s="2717" t="s">
        <v>2812</v>
      </c>
      <c r="E3" s="2722"/>
      <c r="F3" s="2723" t="s">
        <v>2813</v>
      </c>
      <c r="G3" s="916">
        <f>IF(F3="宗地容积率",'数据-汇总表'!I4,IF(F3="估价对象容积率",'数据-汇总表'!I6,'数据-汇总表'!I7))</f>
        <v>2.4500000000000002</v>
      </c>
      <c r="H3" s="198" t="s">
        <v>2814</v>
      </c>
      <c r="I3" s="947"/>
      <c r="J3" s="2720" t="s">
        <v>2815</v>
      </c>
      <c r="K3" s="1373"/>
      <c r="L3" s="2721" t="s">
        <v>2816</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9"/>
      <c r="B4" s="3260"/>
      <c r="C4" s="3260"/>
      <c r="D4" s="3261"/>
      <c r="E4" s="3261"/>
      <c r="F4" s="3261"/>
      <c r="G4" s="3261"/>
      <c r="H4" s="3261"/>
      <c r="I4" s="3261"/>
      <c r="J4" s="3262"/>
      <c r="K4" s="1373"/>
      <c r="L4" s="2721" t="s">
        <v>2817</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3" customFormat="1" ht="15.75" thickBot="1">
      <c r="A5" s="2724" t="s">
        <v>807</v>
      </c>
      <c r="B5" s="2725" t="s">
        <v>2818</v>
      </c>
      <c r="C5" s="917" t="e">
        <f>ROUND(IF(E2="商业",IF(F16="增加",C6*C7+C16,C6*C7-C16),IF(E2="住宅",IF(F16="增加",C6*C12+C16,C6*C12-C16),IF(F16="增加",C6+C16,C6-C16))),0)</f>
        <v>#DIV/0!</v>
      </c>
      <c r="D5" s="1789">
        <f>ROUND(IF(E2="商业",IF(F16="增加",C6+C16,C6-C16)),0)</f>
        <v>0</v>
      </c>
      <c r="E5" s="2726"/>
      <c r="F5" s="2726"/>
      <c r="G5" s="2727"/>
      <c r="H5" s="2727"/>
      <c r="I5" s="2727"/>
      <c r="J5" s="2728"/>
      <c r="K5" s="2729"/>
      <c r="L5" s="2721" t="s">
        <v>2819</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0"/>
      <c r="AD5" s="2731"/>
      <c r="AE5" s="2731"/>
      <c r="AF5" s="2731"/>
      <c r="AG5" s="2731"/>
      <c r="AH5" s="2731"/>
      <c r="AI5" s="2731"/>
      <c r="AJ5" s="2732"/>
    </row>
    <row r="6" spans="1:36" ht="15.75" thickBot="1">
      <c r="A6" s="2734" t="s">
        <v>2820</v>
      </c>
      <c r="B6" s="2735" t="s">
        <v>2821</v>
      </c>
      <c r="C6" s="918">
        <f>SUMIF(L1:L12,G2,M1:M12)</f>
        <v>0</v>
      </c>
      <c r="D6" s="2736" t="s">
        <v>2822</v>
      </c>
      <c r="E6" s="2737"/>
      <c r="F6" s="2737"/>
      <c r="G6" s="2738"/>
      <c r="H6" s="2738"/>
      <c r="I6" s="2738"/>
      <c r="J6" s="2739"/>
      <c r="K6" s="1844"/>
      <c r="L6" s="2721" t="s">
        <v>2823</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0"/>
      <c r="AD6" s="2731"/>
      <c r="AE6" s="2731"/>
      <c r="AF6" s="2731"/>
      <c r="AG6" s="2731"/>
      <c r="AH6" s="2731"/>
      <c r="AI6" s="2731"/>
      <c r="AJ6" s="2732"/>
    </row>
    <row r="7" spans="1:36" ht="24">
      <c r="A7" s="3263" t="str">
        <f>IF(E2="商业",IF(C8="不临58条商业街","",2),"")</f>
        <v/>
      </c>
      <c r="B7" s="2740" t="s">
        <v>2824</v>
      </c>
      <c r="C7" s="919" t="e">
        <f>IF(C8="不临58条商业街",1,ROUND(1+(1.6*E8+1.2*E9+0.8*E10+0.4*E11)*C9,4))</f>
        <v>#DIV/0!</v>
      </c>
      <c r="D7" s="2741" t="s">
        <v>2825</v>
      </c>
      <c r="E7" s="948"/>
      <c r="F7" s="2742"/>
      <c r="G7" s="2743"/>
      <c r="H7" s="2743"/>
      <c r="I7" s="2743"/>
      <c r="J7" s="2744"/>
      <c r="K7" s="1844"/>
      <c r="L7" s="2721" t="s">
        <v>2826</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2827</v>
      </c>
      <c r="X7" s="1606">
        <f>G2</f>
        <v>0</v>
      </c>
      <c r="Y7" s="1606" t="s">
        <v>2828</v>
      </c>
      <c r="Z7" s="1607">
        <f>G3</f>
        <v>2.4500000000000002</v>
      </c>
      <c r="AA7" s="1608"/>
      <c r="AB7" s="1608"/>
      <c r="AC7" s="1609"/>
      <c r="AD7" s="1610"/>
      <c r="AE7" s="1610"/>
      <c r="AF7" s="1610"/>
      <c r="AG7" s="1610"/>
      <c r="AH7" s="1610"/>
      <c r="AI7" s="1610"/>
      <c r="AJ7" s="1611"/>
    </row>
    <row r="8" spans="1:36" ht="15">
      <c r="A8" s="3264"/>
      <c r="B8" s="198" t="s">
        <v>2829</v>
      </c>
      <c r="C8" s="2745"/>
      <c r="D8" s="920" t="s">
        <v>139</v>
      </c>
      <c r="E8" s="921" t="e">
        <f>ROUND(C11/E7,4)</f>
        <v>#DIV/0!</v>
      </c>
      <c r="F8" s="2746" t="s">
        <v>2830</v>
      </c>
      <c r="G8" s="2747"/>
      <c r="H8" s="2747"/>
      <c r="I8" s="2747"/>
      <c r="J8" s="2748"/>
      <c r="K8" s="1373"/>
      <c r="L8" s="2721" t="s">
        <v>2831</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6" t="s">
        <v>2832</v>
      </c>
      <c r="X8" s="3257"/>
      <c r="Y8" s="1612" t="s">
        <v>2833</v>
      </c>
      <c r="Z8" s="1612" t="s">
        <v>2834</v>
      </c>
      <c r="AA8" s="1612" t="s">
        <v>2835</v>
      </c>
      <c r="AB8" s="1612" t="s">
        <v>2836</v>
      </c>
      <c r="AC8" s="1612" t="s">
        <v>2837</v>
      </c>
      <c r="AD8" s="1612" t="s">
        <v>2838</v>
      </c>
      <c r="AE8" s="1612" t="s">
        <v>2839</v>
      </c>
      <c r="AF8" s="1612" t="s">
        <v>2840</v>
      </c>
      <c r="AG8" s="1612" t="s">
        <v>2841</v>
      </c>
      <c r="AH8" s="1612" t="s">
        <v>2842</v>
      </c>
      <c r="AI8" s="1612" t="s">
        <v>2843</v>
      </c>
      <c r="AJ8" s="1612" t="s">
        <v>2844</v>
      </c>
    </row>
    <row r="9" spans="1:36" ht="15">
      <c r="A9" s="3264"/>
      <c r="B9" s="198" t="s">
        <v>2845</v>
      </c>
      <c r="C9" s="922">
        <f>SUMIF(修正!C59:C119,C8,修正!E59:E119)</f>
        <v>0</v>
      </c>
      <c r="D9" s="200" t="s">
        <v>140</v>
      </c>
      <c r="E9" s="200" t="e">
        <f>ROUND(C11/E7,4)</f>
        <v>#DIV/0!</v>
      </c>
      <c r="F9" s="2746" t="s">
        <v>2846</v>
      </c>
      <c r="G9" s="2747"/>
      <c r="H9" s="2747"/>
      <c r="I9" s="2747"/>
      <c r="J9" s="2748"/>
      <c r="K9" s="1373"/>
      <c r="L9" s="2721" t="s">
        <v>2847</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58" t="s">
        <v>2848</v>
      </c>
      <c r="X9" s="1613" t="s">
        <v>2849</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4"/>
      <c r="B10" s="198" t="s">
        <v>2850</v>
      </c>
      <c r="C10" s="200">
        <f>SUMIF(修正!C59:C119,C8,修正!F59:F119)</f>
        <v>0</v>
      </c>
      <c r="D10" s="200" t="s">
        <v>141</v>
      </c>
      <c r="E10" s="200" t="e">
        <f>ROUND(C11/E7,4)</f>
        <v>#DIV/0!</v>
      </c>
      <c r="F10" s="2746" t="s">
        <v>2851</v>
      </c>
      <c r="G10" s="2747"/>
      <c r="H10" s="2747"/>
      <c r="I10" s="2747"/>
      <c r="J10" s="2748"/>
      <c r="K10" s="1373"/>
      <c r="L10" s="2721" t="s">
        <v>2852</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5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4"/>
      <c r="B11" s="2749" t="s">
        <v>2853</v>
      </c>
      <c r="C11" s="923">
        <f>C10/4</f>
        <v>0</v>
      </c>
      <c r="D11" s="923" t="s">
        <v>142</v>
      </c>
      <c r="E11" s="923" t="e">
        <f>ROUND(C11/E7,4)</f>
        <v>#DIV/0!</v>
      </c>
      <c r="F11" s="2750" t="s">
        <v>2854</v>
      </c>
      <c r="G11" s="2751"/>
      <c r="H11" s="2751"/>
      <c r="I11" s="2751"/>
      <c r="J11" s="2752"/>
      <c r="K11" s="1373"/>
      <c r="L11" s="2721" t="s">
        <v>2855</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58" t="s">
        <v>2856</v>
      </c>
      <c r="X11" s="1616" t="s">
        <v>2857</v>
      </c>
      <c r="Y11" s="1617">
        <f>$G$3</f>
        <v>2.4500000000000002</v>
      </c>
      <c r="Z11" s="1617">
        <f t="shared" ref="Z11:AJ11" si="3">$G$3</f>
        <v>2.4500000000000002</v>
      </c>
      <c r="AA11" s="1617">
        <f t="shared" si="3"/>
        <v>2.4500000000000002</v>
      </c>
      <c r="AB11" s="1617">
        <f t="shared" si="3"/>
        <v>2.4500000000000002</v>
      </c>
      <c r="AC11" s="1617">
        <f t="shared" si="3"/>
        <v>2.4500000000000002</v>
      </c>
      <c r="AD11" s="1617">
        <f t="shared" si="3"/>
        <v>2.4500000000000002</v>
      </c>
      <c r="AE11" s="1617">
        <f t="shared" si="3"/>
        <v>2.4500000000000002</v>
      </c>
      <c r="AF11" s="1617">
        <f t="shared" si="3"/>
        <v>2.4500000000000002</v>
      </c>
      <c r="AG11" s="1617">
        <f t="shared" si="3"/>
        <v>2.4500000000000002</v>
      </c>
      <c r="AH11" s="1617">
        <f t="shared" si="3"/>
        <v>2.4500000000000002</v>
      </c>
      <c r="AI11" s="1617">
        <f t="shared" si="3"/>
        <v>2.4500000000000002</v>
      </c>
      <c r="AJ11" s="1617">
        <f t="shared" si="3"/>
        <v>2.4500000000000002</v>
      </c>
    </row>
    <row r="12" spans="1:36" ht="25.5" thickBot="1">
      <c r="A12" s="3263" t="s">
        <v>2858</v>
      </c>
      <c r="B12" s="2753" t="s">
        <v>2859</v>
      </c>
      <c r="C12" s="919">
        <f>ROUND(C15*D15*E15*F15*G15*H15*I15*J15,4)</f>
        <v>1</v>
      </c>
      <c r="D12" s="2754" t="s">
        <v>2860</v>
      </c>
      <c r="E12" s="2755"/>
      <c r="F12" s="2755"/>
      <c r="G12" s="2756"/>
      <c r="H12" s="2756"/>
      <c r="I12" s="2756"/>
      <c r="J12" s="2757"/>
      <c r="K12" s="1373"/>
      <c r="L12" s="2758" t="s">
        <v>2861</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58"/>
      <c r="X12" s="1618" t="s">
        <v>2862</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5"/>
      <c r="B13" s="2759" t="s">
        <v>2863</v>
      </c>
      <c r="C13" s="2760" t="s">
        <v>2864</v>
      </c>
      <c r="D13" s="1810" t="s">
        <v>2865</v>
      </c>
      <c r="E13" s="1810" t="s">
        <v>2866</v>
      </c>
      <c r="F13" s="30" t="s">
        <v>2867</v>
      </c>
      <c r="G13" s="2761" t="s">
        <v>2868</v>
      </c>
      <c r="H13" s="2761" t="s">
        <v>2868</v>
      </c>
      <c r="I13" s="2761" t="s">
        <v>2868</v>
      </c>
      <c r="J13" s="2762" t="s">
        <v>2868</v>
      </c>
      <c r="K13" s="1373"/>
      <c r="L13" s="1373"/>
      <c r="M13" s="1373"/>
      <c r="N13" s="1373"/>
      <c r="O13" s="1373"/>
      <c r="P13" s="1373"/>
      <c r="Q13" s="1373"/>
      <c r="R13" s="1604">
        <v>12</v>
      </c>
      <c r="S13" s="1605"/>
      <c r="T13" s="1604" t="e">
        <f t="shared" si="0"/>
        <v>#DIV/0!</v>
      </c>
      <c r="U13" s="1605"/>
      <c r="V13" s="1604" t="e">
        <f t="shared" si="1"/>
        <v>#DIV/0!</v>
      </c>
      <c r="W13" s="3258"/>
      <c r="X13" s="1618"/>
      <c r="Y13" s="1615">
        <f>(-0.163*(Y12^2)-0.59*Y12+7617)*(10^(-4))/Y11</f>
        <v>0.31089795918367347</v>
      </c>
      <c r="Z13" s="1615">
        <f t="shared" ref="Z13:AJ13" si="5">(-0.163*(Z12^2)-0.59*Z12+7617)*(10^(-4))/Z11</f>
        <v>0.31089795918367347</v>
      </c>
      <c r="AA13" s="1615">
        <f t="shared" si="5"/>
        <v>0.31089795918367347</v>
      </c>
      <c r="AB13" s="1615">
        <f t="shared" si="5"/>
        <v>0.31089795918367347</v>
      </c>
      <c r="AC13" s="1615">
        <f t="shared" si="5"/>
        <v>0.31089795918367347</v>
      </c>
      <c r="AD13" s="1615">
        <f t="shared" si="5"/>
        <v>0.31089795918367347</v>
      </c>
      <c r="AE13" s="1615">
        <f t="shared" si="5"/>
        <v>0.31089795918367347</v>
      </c>
      <c r="AF13" s="1615">
        <f t="shared" si="5"/>
        <v>0.31089795918367347</v>
      </c>
      <c r="AG13" s="1615">
        <f t="shared" si="5"/>
        <v>0.31089795918367347</v>
      </c>
      <c r="AH13" s="1615">
        <f t="shared" si="5"/>
        <v>0.31089795918367347</v>
      </c>
      <c r="AI13" s="1615">
        <f t="shared" si="5"/>
        <v>0.31089795918367347</v>
      </c>
      <c r="AJ13" s="1615">
        <f t="shared" si="5"/>
        <v>0.31089795918367347</v>
      </c>
    </row>
    <row r="14" spans="1:36" ht="15">
      <c r="A14" s="3265"/>
      <c r="B14" s="2763"/>
      <c r="C14" s="2764"/>
      <c r="D14" s="2765"/>
      <c r="E14" s="2765"/>
      <c r="F14" s="2766"/>
      <c r="G14" s="2767" t="s">
        <v>2869</v>
      </c>
      <c r="H14" s="2768"/>
      <c r="I14" s="2769"/>
      <c r="J14" s="2770"/>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6"/>
      <c r="B15" s="2771" t="s">
        <v>2870</v>
      </c>
      <c r="C15" s="229">
        <f>IF(C14="有",1.1,1)</f>
        <v>1</v>
      </c>
      <c r="D15" s="229">
        <f>IF(D14="有",1.1,1)</f>
        <v>1</v>
      </c>
      <c r="E15" s="229">
        <f>IF(E14="有",1.1,1)</f>
        <v>1</v>
      </c>
      <c r="F15" s="229">
        <f>IF(F14="500米范围内",1.2,IF(F14="500-1000米",1.1,1))</f>
        <v>1</v>
      </c>
      <c r="G15" s="949">
        <v>1</v>
      </c>
      <c r="H15" s="949">
        <v>1</v>
      </c>
      <c r="I15" s="949">
        <v>1</v>
      </c>
      <c r="J15" s="950">
        <v>1</v>
      </c>
      <c r="K15" s="1373"/>
      <c r="L15" s="2772" t="s">
        <v>2806</v>
      </c>
      <c r="M15" s="920" t="s">
        <v>2871</v>
      </c>
      <c r="N15" s="920" t="s">
        <v>2872</v>
      </c>
      <c r="O15" s="920" t="s">
        <v>2873</v>
      </c>
      <c r="P15" s="2773" t="s">
        <v>2874</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3" t="s">
        <v>2875</v>
      </c>
      <c r="B16" s="2740" t="s">
        <v>2876</v>
      </c>
      <c r="C16" s="1803" t="e">
        <f>ROUND(SUM(G17:J17)/C17,0)</f>
        <v>#DIV/0!</v>
      </c>
      <c r="D16" s="2774" t="s">
        <v>2877</v>
      </c>
      <c r="E16" s="2775"/>
      <c r="F16" s="2776"/>
      <c r="G16" s="2777"/>
      <c r="H16" s="2777"/>
      <c r="I16" s="2777"/>
      <c r="J16" s="2778"/>
      <c r="K16" s="1373"/>
      <c r="L16" s="2779" t="s">
        <v>2878</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4"/>
      <c r="B17" s="2780" t="s">
        <v>2879</v>
      </c>
      <c r="C17" s="924">
        <f>SUMPRODUCT((修正!A2:A5=E2)*(修正!B1:M1=G2)*(修正!B2:M5))</f>
        <v>0</v>
      </c>
      <c r="D17" s="2781" t="s">
        <v>2880</v>
      </c>
      <c r="E17" s="923" t="str">
        <f>IF(OR(G2="八级",G2="九级",G2="十级",G2="十一级",G2="十二级"),"五通一平","七通一平")</f>
        <v>七通一平</v>
      </c>
      <c r="F17" s="924" t="s">
        <v>2881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2" t="s">
        <v>2882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3"/>
      <c r="AF17" s="2783"/>
      <c r="AG17" s="2715"/>
      <c r="AH17" s="2715"/>
      <c r="AI17" s="2715"/>
      <c r="AJ17" s="2715"/>
    </row>
    <row r="18" spans="1:37" s="2733" customFormat="1" ht="15.75" thickBot="1">
      <c r="A18" s="2784" t="s">
        <v>808</v>
      </c>
      <c r="B18" s="2785" t="s">
        <v>2883</v>
      </c>
      <c r="C18" s="926">
        <f>SUMIF(修正!C18:C39,E3,修正!E18:E39)</f>
        <v>0</v>
      </c>
      <c r="D18" s="2786"/>
      <c r="E18" s="2787"/>
      <c r="F18" s="2788"/>
      <c r="G18" s="2789"/>
      <c r="H18" s="2789"/>
      <c r="I18" s="2789"/>
      <c r="J18" s="2790"/>
      <c r="K18" s="1380"/>
      <c r="O18" s="1378"/>
      <c r="P18" s="1378"/>
      <c r="Q18" s="1379"/>
      <c r="R18" s="1379"/>
      <c r="S18" s="1379"/>
      <c r="T18" s="1374"/>
      <c r="U18" s="1374"/>
      <c r="V18" s="1374"/>
      <c r="W18" s="1373"/>
      <c r="X18" s="1373"/>
      <c r="Y18" s="1373"/>
      <c r="Z18" s="1380"/>
      <c r="AA18" s="1381"/>
      <c r="AB18" s="1381"/>
      <c r="AC18" s="1381"/>
      <c r="AD18" s="1381"/>
      <c r="AE18" s="1375"/>
      <c r="AF18" s="1375"/>
      <c r="AG18" s="2791"/>
      <c r="AH18" s="2791"/>
      <c r="AI18" s="2791"/>
    </row>
    <row r="19" spans="1:37" s="2733" customFormat="1" ht="27.75" thickBot="1">
      <c r="A19" s="2784" t="s">
        <v>809</v>
      </c>
      <c r="B19" s="2785" t="s">
        <v>2884</v>
      </c>
      <c r="C19" s="927" t="e">
        <f>ROUND(IF(H19="按公示增长率计算",SUMPRODUCT((地价!A3:A23=YEAR(G19)&amp;"-"&amp;ROUNDUP(MONTH(G19)/3,0))*(地价!X2:AB2=E2)*(地价!X3:AB23)),IF(H19="地价指数",M20/M19,(1+I19)^O19)),4)</f>
        <v>#DIV/0!</v>
      </c>
      <c r="D19" s="2792" t="s">
        <v>2885</v>
      </c>
      <c r="E19" s="928">
        <v>41640</v>
      </c>
      <c r="F19" s="2792" t="s">
        <v>2886</v>
      </c>
      <c r="G19" s="929">
        <f>'数据-取费表'!B2</f>
        <v>43279</v>
      </c>
      <c r="H19" s="2793" t="s">
        <v>2887</v>
      </c>
      <c r="I19" s="930" t="str">
        <f>IF(H19="季度增幅（自定义）",SUMIF(N21:N24,E2,O21:O24),"")</f>
        <v/>
      </c>
      <c r="J19" s="2790"/>
      <c r="K19" s="1380"/>
      <c r="L19" s="2794" t="s">
        <v>2888</v>
      </c>
      <c r="M19" s="1736">
        <f>ROUND(SUMIF(地价!B2:F2,E2,地价!B23:F23),0)</f>
        <v>0</v>
      </c>
      <c r="N19" s="2795" t="s">
        <v>2889</v>
      </c>
      <c r="O19" s="931">
        <f>ROUNDDOWN(DATEDIF(E19,G19,"M")/3,0)</f>
        <v>17</v>
      </c>
      <c r="P19" s="1377"/>
      <c r="Q19" s="1379"/>
      <c r="R19" s="1379"/>
      <c r="S19" s="1379"/>
      <c r="T19" s="1374"/>
      <c r="U19" s="1374"/>
      <c r="V19" s="1374"/>
      <c r="W19" s="1373"/>
      <c r="X19" s="1373"/>
      <c r="Y19" s="1373"/>
      <c r="Z19" s="1380"/>
      <c r="AA19" s="1381"/>
      <c r="AB19" s="1381"/>
      <c r="AC19" s="1381"/>
      <c r="AD19" s="1381"/>
      <c r="AE19" s="1381"/>
      <c r="AF19" s="2796"/>
      <c r="AG19" s="2797"/>
      <c r="AH19" s="2791"/>
      <c r="AI19" s="2798"/>
      <c r="AJ19" s="2798"/>
      <c r="AK19" s="2798"/>
    </row>
    <row r="20" spans="1:37" s="2733" customFormat="1" ht="27.75" thickBot="1">
      <c r="A20" s="2799" t="s">
        <v>810</v>
      </c>
      <c r="B20" s="2800" t="s">
        <v>2890</v>
      </c>
      <c r="C20" s="932" t="e">
        <f>ROUND(POWER(1+G20,J20-I20)*(POWER(1+G20,I20)-1)/(POWER(1+G20,J20)-1),4)</f>
        <v>#DIV/0!</v>
      </c>
      <c r="D20" s="2801" t="s">
        <v>2891</v>
      </c>
      <c r="E20" s="1770">
        <f ca="1">存贷款利率!D4/100</f>
        <v>4.3499999999999997E-2</v>
      </c>
      <c r="F20" s="2801" t="s">
        <v>2882</v>
      </c>
      <c r="G20" s="937">
        <f>SUMIF(M15:P15,E2,M17:P17)</f>
        <v>0</v>
      </c>
      <c r="H20" s="2801" t="s">
        <v>2892</v>
      </c>
      <c r="I20" s="938" t="e">
        <f>SUMIF('数据-取费表'!C6:C15,E2,'数据-取费表'!F6:F15)/COUNTIF('数据-取费表'!C6:C15,E2)</f>
        <v>#DIV/0!</v>
      </c>
      <c r="J20" s="939">
        <f>IF(E2="住宅",70,IF(E2="商业",40,50))</f>
        <v>50</v>
      </c>
      <c r="K20" s="1380"/>
      <c r="L20" s="2802" t="s">
        <v>2893</v>
      </c>
      <c r="M20" s="1737">
        <f>ROUND(SUMPRODUCT((地价!A4:A23=YEAR(G19)&amp;"-"&amp;ROUNDUP(MONTH(G19)/3,0))*(地价!B2:F2=E2)*(地价!B4:F23)),0)</f>
        <v>0</v>
      </c>
      <c r="N20" s="2803" t="s">
        <v>2894</v>
      </c>
      <c r="O20" s="2804" t="s">
        <v>2895</v>
      </c>
      <c r="P20" s="2805" t="s">
        <v>2896</v>
      </c>
      <c r="R20" s="1379"/>
      <c r="S20" s="1379"/>
      <c r="T20" s="1374"/>
      <c r="U20" s="1374"/>
      <c r="V20" s="1374"/>
      <c r="W20" s="1373"/>
      <c r="X20" s="1373"/>
      <c r="Y20" s="1373"/>
      <c r="Z20" s="1380"/>
      <c r="AA20" s="1381"/>
      <c r="AB20" s="1381"/>
      <c r="AC20" s="1381"/>
      <c r="AD20" s="1381"/>
      <c r="AE20" s="1381"/>
      <c r="AF20" s="1381"/>
    </row>
    <row r="21" spans="1:37" s="2733" customFormat="1" ht="15">
      <c r="A21" s="2806" t="s">
        <v>811</v>
      </c>
      <c r="B21" s="2807" t="s">
        <v>2897</v>
      </c>
      <c r="C21" s="940">
        <f>IF(B21="容积率修正",IF(G3&lt;=10,D22,J22),C23)</f>
        <v>0</v>
      </c>
      <c r="D21" s="2808"/>
      <c r="E21" s="2808"/>
      <c r="F21" s="2808"/>
      <c r="G21" s="2808"/>
      <c r="H21" s="2808"/>
      <c r="I21" s="2808"/>
      <c r="J21" s="2809"/>
      <c r="K21" s="1380"/>
      <c r="N21" s="2810" t="s">
        <v>2898</v>
      </c>
      <c r="O21" s="1564"/>
      <c r="P21" s="1565">
        <f>SUMPRODUCT((地价!A3:A23=YEAR(G19)&amp;"-"&amp;ROUNDUP(MONTH(G19)/3,0))*(地价!AD2:AH2=N21)*(地价!AD3:AH23))</f>
        <v>1.5699999999999999E-2</v>
      </c>
      <c r="R21" s="1379"/>
      <c r="S21" s="1379"/>
      <c r="T21" s="1374"/>
      <c r="U21" s="1374"/>
      <c r="V21" s="1374"/>
      <c r="W21" s="1373"/>
      <c r="X21" s="1373"/>
      <c r="Y21" s="1373"/>
      <c r="Z21" s="1380"/>
      <c r="AA21" s="1381"/>
      <c r="AB21" s="1381"/>
      <c r="AC21" s="1381"/>
      <c r="AD21" s="1381"/>
      <c r="AE21" s="1381"/>
      <c r="AF21" s="1381"/>
    </row>
    <row r="22" spans="1:37" s="2733" customFormat="1" ht="14.25">
      <c r="A22" s="2659" t="s">
        <v>2899</v>
      </c>
      <c r="B22" s="2811" t="s">
        <v>2900</v>
      </c>
      <c r="C22" s="1812" t="s">
        <v>2901</v>
      </c>
      <c r="D22" s="1812">
        <f>IF(E22=G22,F22,IF(G3&lt;=10,ROUND(F22+(H22-F22)*(G3-E22)/(G22-E22),4),"——"))</f>
        <v>0</v>
      </c>
      <c r="E22" s="916">
        <f>ROUNDDOWN(G3,1)</f>
        <v>2.4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0" t="s">
        <v>2902</v>
      </c>
      <c r="O22" s="1564"/>
      <c r="P22" s="1565">
        <f>SUMPRODUCT((地价!A3:A23=YEAR(G19)&amp;"-"&amp;ROUNDUP(MONTH(G19)/3,0))*(地价!AD2:AH2=N22)*(地价!AD3:AH23))</f>
        <v>1.5699999999999999E-2</v>
      </c>
      <c r="R22" s="1379"/>
      <c r="S22" s="1379"/>
      <c r="T22" s="1374"/>
      <c r="U22" s="1374"/>
      <c r="V22" s="1374"/>
      <c r="W22" s="1373"/>
      <c r="X22" s="1373"/>
      <c r="Y22" s="1373"/>
      <c r="Z22" s="1380"/>
      <c r="AA22" s="1381"/>
      <c r="AB22" s="1381"/>
      <c r="AC22" s="1381"/>
      <c r="AD22" s="1381"/>
      <c r="AE22" s="1381"/>
      <c r="AF22" s="1381"/>
    </row>
    <row r="23" spans="1:37" ht="27.75" thickBot="1">
      <c r="A23" s="2659" t="s">
        <v>2903</v>
      </c>
      <c r="B23" s="2812" t="s">
        <v>2904</v>
      </c>
      <c r="C23" s="1016">
        <f>ROUND(IF(G3&gt;1,IF(I3&lt;7,SUMPRODUCT((B93:B98=I3)*(C92:N92=G2)*(C93:N98)),SUMIF(C92:N92,G2,C100:N100)),IF(I3&lt;7,SUMPRODUCT((B102:B107=I3)*(C92:N92=G2)*(C102:N107)),SUMIF(C92:N92,G2,C109:N109))),4)</f>
        <v>0</v>
      </c>
      <c r="D23" s="2768"/>
      <c r="E23" s="2768"/>
      <c r="F23" s="2813"/>
      <c r="G23" s="2814"/>
      <c r="H23" s="2815"/>
      <c r="I23" s="2816"/>
      <c r="J23" s="2817"/>
      <c r="K23" s="1373"/>
      <c r="N23" s="2810" t="s">
        <v>2905</v>
      </c>
      <c r="O23" s="1564"/>
      <c r="P23" s="1565">
        <f>SUMPRODUCT((地价!A3:A23=YEAR(G19)&amp;"-"&amp;ROUNDUP(MONTH(G19)/3,0))*(地价!AD2:AH2=N23)*(地价!AD3:AH23))</f>
        <v>2.5000000000000001E-2</v>
      </c>
      <c r="R23" s="1379"/>
      <c r="S23" s="1379"/>
      <c r="T23" s="1374"/>
      <c r="U23" s="1374"/>
      <c r="V23" s="1374"/>
      <c r="W23" s="1373"/>
      <c r="X23" s="1373"/>
      <c r="Y23" s="1373"/>
      <c r="Z23" s="1380"/>
      <c r="AA23" s="1381"/>
      <c r="AB23" s="1381"/>
      <c r="AC23" s="1381"/>
      <c r="AD23" s="1381"/>
      <c r="AK23" s="2791"/>
    </row>
    <row r="24" spans="1:37" s="2733" customFormat="1" ht="15.75" thickBot="1">
      <c r="A24" s="2799" t="s">
        <v>812</v>
      </c>
      <c r="B24" s="2785" t="s">
        <v>2906</v>
      </c>
      <c r="C24" s="927">
        <f>SUMIF(A45:A88,E2,B45:B88)</f>
        <v>0</v>
      </c>
      <c r="D24" s="2788"/>
      <c r="E24" s="2818"/>
      <c r="F24" s="2818"/>
      <c r="G24" s="2818"/>
      <c r="H24" s="2818"/>
      <c r="I24" s="2818"/>
      <c r="J24" s="2819"/>
      <c r="K24" s="1380"/>
      <c r="N24" s="2820" t="s">
        <v>2907</v>
      </c>
      <c r="O24" s="1566"/>
      <c r="P24" s="1567">
        <f>SUMPRODUCT((地价!A3:A23=YEAR(G19)&amp;"-"&amp;ROUNDUP(MONTH(G19)/3,0))*(地价!AD2:AH2=N24)*(地价!AD3:AH23))</f>
        <v>1.35E-2</v>
      </c>
      <c r="R24" s="1379"/>
      <c r="S24" s="1379"/>
      <c r="T24" s="1374"/>
      <c r="U24" s="1374"/>
      <c r="V24" s="1374"/>
      <c r="W24" s="1373"/>
      <c r="X24" s="1373"/>
      <c r="Y24" s="1373"/>
      <c r="Z24" s="1380"/>
      <c r="AA24" s="1381"/>
      <c r="AB24" s="1381"/>
      <c r="AC24" s="1381"/>
      <c r="AD24" s="1381"/>
      <c r="AE24" s="1381"/>
      <c r="AF24" s="1381"/>
    </row>
    <row r="25" spans="1:37" ht="15.75" thickBot="1">
      <c r="A25" s="2799" t="s">
        <v>813</v>
      </c>
      <c r="B25" s="2821" t="s">
        <v>2908</v>
      </c>
      <c r="C25" s="933"/>
      <c r="D25" s="2743"/>
      <c r="E25" s="2743"/>
      <c r="F25" s="2822"/>
      <c r="G25" s="2743"/>
      <c r="H25" s="2743"/>
      <c r="I25" s="2743"/>
      <c r="J25" s="2744"/>
      <c r="K25" s="1373"/>
      <c r="N25" s="2823" t="s">
        <v>2909</v>
      </c>
      <c r="O25" s="1568"/>
      <c r="P25" s="1567">
        <f>SUMPRODUCT((地价!A3:A23=YEAR(G19)&amp;"-"&amp;ROUNDUP(MONTH(G19)/3,0))*(地价!AD2:AH2=N25)*(地价!AD3:AH23))</f>
        <v>2.2700000000000001E-2</v>
      </c>
      <c r="R25" s="1379"/>
      <c r="S25" s="1379"/>
      <c r="T25" s="1374"/>
      <c r="U25" s="1374"/>
      <c r="V25" s="1374"/>
      <c r="W25" s="1373"/>
      <c r="X25" s="1373"/>
      <c r="Y25" s="1373"/>
      <c r="Z25" s="1380"/>
      <c r="AA25" s="1381"/>
      <c r="AB25" s="1381"/>
      <c r="AC25" s="1381"/>
      <c r="AD25" s="1381"/>
    </row>
    <row r="26" spans="1:37" ht="15">
      <c r="A26" s="2824"/>
      <c r="B26" s="2811" t="s">
        <v>2910</v>
      </c>
      <c r="C26" s="206" t="e">
        <f>E29+SUM(E33:E39)</f>
        <v>#DIV/0!</v>
      </c>
      <c r="D26" s="2825"/>
      <c r="E26" s="2768"/>
      <c r="F26" s="2826"/>
      <c r="G26" s="2768"/>
      <c r="H26" s="2768"/>
      <c r="I26" s="2768"/>
      <c r="J26" s="2827"/>
      <c r="K26" s="1373"/>
      <c r="R26" s="1379"/>
      <c r="S26" s="1379"/>
      <c r="T26" s="1374"/>
      <c r="U26" s="1374"/>
      <c r="V26" s="1374"/>
      <c r="W26" s="1373"/>
      <c r="X26" s="1373"/>
      <c r="Y26" s="1373"/>
      <c r="Z26" s="1380"/>
      <c r="AA26" s="1381"/>
      <c r="AB26" s="1381"/>
      <c r="AC26" s="1381"/>
      <c r="AD26" s="1381"/>
    </row>
    <row r="27" spans="1:37" ht="15.75" thickBot="1">
      <c r="A27" s="2824"/>
      <c r="B27" s="2828" t="s">
        <v>2911</v>
      </c>
      <c r="C27" s="934" t="e">
        <f>E30+SUM(I33:I39)</f>
        <v>#DIV/0!</v>
      </c>
      <c r="D27" s="2829"/>
      <c r="E27" s="2830"/>
      <c r="F27" s="2831"/>
      <c r="G27" s="2830"/>
      <c r="H27" s="2830"/>
      <c r="I27" s="2830"/>
      <c r="J27" s="283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3"/>
      <c r="B28" s="2834" t="s">
        <v>2912</v>
      </c>
      <c r="C28" s="2835" t="s">
        <v>2913</v>
      </c>
      <c r="D28" s="2835" t="s">
        <v>2914</v>
      </c>
      <c r="E28" s="2836" t="s">
        <v>2915</v>
      </c>
      <c r="F28" s="2837"/>
      <c r="G28" s="2756"/>
      <c r="H28" s="2756"/>
      <c r="I28" s="2756"/>
      <c r="J28" s="275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8"/>
      <c r="B29" s="2839" t="s">
        <v>2916</v>
      </c>
      <c r="C29" s="206" t="e">
        <f>ROUND(C5*C18*C19*C20*C21*C24,0)</f>
        <v>#DIV/0!</v>
      </c>
      <c r="D29" s="2840"/>
      <c r="E29" s="945" t="e">
        <f>ROUND(C29*D29/10000,0)</f>
        <v>#DIV/0!</v>
      </c>
      <c r="F29" s="2841" t="s">
        <v>2917</v>
      </c>
      <c r="G29" s="2842"/>
      <c r="H29" s="2842"/>
      <c r="I29" s="2842"/>
      <c r="J29" s="2843"/>
      <c r="K29" s="1373"/>
      <c r="L29" s="1373"/>
      <c r="M29" s="1373"/>
      <c r="N29" s="1373"/>
      <c r="O29" s="1378"/>
      <c r="P29" s="1378"/>
      <c r="Q29" s="1379"/>
      <c r="R29" s="1379"/>
      <c r="S29" s="1379"/>
      <c r="T29" s="1374"/>
      <c r="U29" s="1374"/>
      <c r="V29" s="1374"/>
      <c r="W29" s="1373"/>
      <c r="X29" s="1373"/>
      <c r="Y29" s="1373"/>
      <c r="Z29" s="1380"/>
      <c r="AA29" s="1381"/>
      <c r="AB29" s="1381"/>
      <c r="AC29" s="1381"/>
      <c r="AD29" s="1381"/>
      <c r="AE29" s="2783"/>
      <c r="AF29" s="2783"/>
      <c r="AG29" s="2715"/>
      <c r="AH29" s="2715"/>
      <c r="AI29" s="2715"/>
      <c r="AJ29" s="2715"/>
    </row>
    <row r="30" spans="1:37" ht="25.5" thickBot="1">
      <c r="A30" s="2844"/>
      <c r="B30" s="2845" t="s">
        <v>2918</v>
      </c>
      <c r="C30" s="229" t="e">
        <f>ROUND(IF(E2="工业",C29*M39,C29*M38),0)</f>
        <v>#DIV/0!</v>
      </c>
      <c r="D30" s="2846"/>
      <c r="E30" s="945" t="e">
        <f>ROUND(C30*D30/10000,0)</f>
        <v>#DIV/0!</v>
      </c>
      <c r="F30" s="2847" t="s">
        <v>2919</v>
      </c>
      <c r="G30" s="2848"/>
      <c r="H30" s="2848"/>
      <c r="I30" s="2848"/>
      <c r="J30" s="2849"/>
      <c r="K30" s="1373"/>
      <c r="L30" s="1373"/>
      <c r="M30" s="1373"/>
      <c r="N30" s="1373"/>
      <c r="O30" s="1378"/>
      <c r="P30" s="1378"/>
      <c r="Q30" s="1379"/>
      <c r="R30" s="1379"/>
      <c r="S30" s="1379"/>
      <c r="T30" s="1374"/>
      <c r="U30" s="1374"/>
      <c r="V30" s="1374"/>
      <c r="W30" s="1373"/>
      <c r="X30" s="1373"/>
      <c r="Y30" s="1373"/>
      <c r="Z30" s="1380"/>
      <c r="AA30" s="1381"/>
      <c r="AB30" s="1381"/>
      <c r="AC30" s="1381"/>
      <c r="AD30" s="1381"/>
      <c r="AE30" s="2783"/>
      <c r="AF30" s="2783"/>
      <c r="AG30" s="2715"/>
      <c r="AH30" s="2715"/>
      <c r="AI30" s="2715"/>
      <c r="AJ30" s="2715"/>
    </row>
    <row r="31" spans="1:37" ht="14.25">
      <c r="A31" s="2850"/>
      <c r="B31" s="2851" t="s">
        <v>2920</v>
      </c>
      <c r="C31" s="2852" t="s">
        <v>2921</v>
      </c>
      <c r="D31" s="2756"/>
      <c r="E31" s="2852"/>
      <c r="F31" s="2852"/>
      <c r="G31" s="2754" t="s">
        <v>2922</v>
      </c>
      <c r="H31" s="2756"/>
      <c r="I31" s="2853"/>
      <c r="J31" s="2757"/>
      <c r="K31" s="1373"/>
      <c r="L31" s="1373"/>
      <c r="M31" s="1373"/>
      <c r="N31" s="1373"/>
      <c r="O31" s="1378"/>
      <c r="P31" s="1378"/>
      <c r="Q31" s="1379"/>
      <c r="R31" s="1379"/>
      <c r="S31" s="1379"/>
      <c r="T31" s="1374"/>
      <c r="U31" s="1374"/>
      <c r="V31" s="1374"/>
      <c r="W31" s="1373"/>
      <c r="X31" s="1373"/>
      <c r="Y31" s="1373"/>
      <c r="Z31" s="1380"/>
      <c r="AA31" s="1381"/>
      <c r="AB31" s="1381"/>
      <c r="AC31" s="1381"/>
      <c r="AD31" s="1381"/>
      <c r="AE31" s="2783"/>
      <c r="AF31" s="2783"/>
      <c r="AG31" s="2715"/>
      <c r="AH31" s="2715"/>
      <c r="AI31" s="2715"/>
      <c r="AJ31" s="2715"/>
    </row>
    <row r="32" spans="1:37" ht="24">
      <c r="A32" s="2838"/>
      <c r="B32" s="2854"/>
      <c r="C32" s="501" t="s">
        <v>2913</v>
      </c>
      <c r="D32" s="498" t="s">
        <v>2914</v>
      </c>
      <c r="E32" s="498" t="s">
        <v>2915</v>
      </c>
      <c r="F32" s="388" t="s">
        <v>2923</v>
      </c>
      <c r="G32" s="2855" t="s">
        <v>2913</v>
      </c>
      <c r="H32" s="2855" t="s">
        <v>2914</v>
      </c>
      <c r="I32" s="2855" t="s">
        <v>2915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3"/>
      <c r="AF32" s="2783"/>
      <c r="AG32" s="2715"/>
      <c r="AH32" s="2715"/>
      <c r="AI32" s="2715"/>
      <c r="AJ32" s="2715"/>
    </row>
    <row r="33" spans="1:37" ht="36" customHeight="1">
      <c r="A33" s="3273" t="s">
        <v>2924</v>
      </c>
      <c r="B33" s="2856" t="s">
        <v>2925</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4"/>
      <c r="B34" s="2760" t="s">
        <v>2926</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4"/>
      <c r="B35" s="2760" t="s">
        <v>2927</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3"/>
      <c r="L35" s="1373"/>
      <c r="M35" s="1373"/>
      <c r="N35" s="1373"/>
      <c r="O35" s="1373"/>
      <c r="P35" s="1373"/>
      <c r="Q35" s="1373"/>
      <c r="R35" s="1373"/>
      <c r="S35" s="1373"/>
      <c r="T35" s="1373"/>
      <c r="U35" s="1373"/>
      <c r="V35" s="1373"/>
      <c r="W35" s="1373"/>
      <c r="X35" s="1373"/>
      <c r="Y35" s="1373"/>
      <c r="Z35" s="1374"/>
    </row>
    <row r="36" spans="1:37" ht="13.5" thickBot="1">
      <c r="A36" s="3275"/>
      <c r="B36" s="2760" t="s">
        <v>2928</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3"/>
      <c r="L36" s="2714"/>
      <c r="M36" s="2714"/>
      <c r="N36" s="1373"/>
      <c r="O36" s="1373"/>
      <c r="P36" s="1373"/>
      <c r="Q36" s="1373"/>
      <c r="R36" s="1373"/>
      <c r="S36" s="1373"/>
      <c r="T36" s="1373"/>
      <c r="U36" s="1373"/>
      <c r="V36" s="1373"/>
      <c r="W36" s="1373"/>
      <c r="X36" s="1373"/>
      <c r="Y36" s="1373"/>
      <c r="Z36" s="1374"/>
    </row>
    <row r="37" spans="1:37">
      <c r="A37" s="2858"/>
      <c r="B37" s="2760" t="s">
        <v>2929</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73"/>
      <c r="L37" s="2859" t="s">
        <v>2930</v>
      </c>
      <c r="M37" s="2860"/>
      <c r="N37" s="1373"/>
      <c r="O37" s="1373"/>
      <c r="P37" s="1373"/>
      <c r="Q37" s="1373"/>
      <c r="R37" s="1373"/>
      <c r="S37" s="1373"/>
      <c r="T37" s="1373"/>
      <c r="U37" s="1373"/>
      <c r="V37" s="1373"/>
      <c r="W37" s="1373"/>
      <c r="X37" s="1373"/>
      <c r="Y37" s="1373"/>
      <c r="Z37" s="1374"/>
    </row>
    <row r="38" spans="1:37">
      <c r="A38" s="2858"/>
      <c r="B38" s="2760" t="s">
        <v>2931</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73"/>
      <c r="L38" s="1889" t="s">
        <v>2932</v>
      </c>
      <c r="M38" s="2861">
        <v>0.25</v>
      </c>
      <c r="N38" s="1373"/>
      <c r="O38" s="1373"/>
      <c r="P38" s="1373"/>
      <c r="Q38" s="1373"/>
      <c r="R38" s="1373"/>
      <c r="S38" s="1373"/>
      <c r="T38" s="1373"/>
      <c r="U38" s="1373"/>
      <c r="V38" s="1373"/>
      <c r="W38" s="1373"/>
      <c r="X38" s="1373"/>
      <c r="Y38" s="1373"/>
      <c r="Z38" s="1374"/>
    </row>
    <row r="39" spans="1:37" ht="13.5" thickBot="1">
      <c r="A39" s="2844"/>
      <c r="B39" s="2862" t="s">
        <v>2933</v>
      </c>
      <c r="C39" s="229" t="e">
        <f>ROUND(C5*C19*C20*C24*F39,0)</f>
        <v>#DIV/0!</v>
      </c>
      <c r="D39" s="2846"/>
      <c r="E39" s="229" t="e">
        <f t="shared" si="7"/>
        <v>#DIV/0!</v>
      </c>
      <c r="F39" s="935">
        <f>SUMIF(修正!A45:A56,G2,修正!H45:H56)</f>
        <v>0</v>
      </c>
      <c r="G39" s="229" t="e">
        <f>ROUND(IF(E2="工业",C39*$M$39,C39*$M$38),0)</f>
        <v>#DIV/0!</v>
      </c>
      <c r="H39" s="229">
        <f t="shared" si="8"/>
        <v>0</v>
      </c>
      <c r="I39" s="229" t="e">
        <f t="shared" si="9"/>
        <v>#DIV/0!</v>
      </c>
      <c r="J39" s="2863"/>
      <c r="K39" s="1373"/>
      <c r="L39" s="2864" t="s">
        <v>2874</v>
      </c>
      <c r="M39" s="286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6"/>
      <c r="Z41" s="1374"/>
      <c r="AA41" s="1374"/>
      <c r="AB41" s="1374"/>
      <c r="AC41" s="1374"/>
      <c r="AD41" s="1374"/>
      <c r="AE41" s="1374"/>
      <c r="AF41" s="1374"/>
      <c r="AG41" s="1374"/>
      <c r="AH41" s="1374"/>
      <c r="AI41" s="1374"/>
      <c r="AJ41" s="1374"/>
    </row>
    <row r="42" spans="1:37" s="1373" customFormat="1">
      <c r="A42" s="1374"/>
      <c r="B42" s="2866"/>
      <c r="Z42" s="1374"/>
      <c r="AA42" s="1374"/>
      <c r="AB42" s="1374"/>
      <c r="AC42" s="1374"/>
      <c r="AD42" s="1374"/>
      <c r="AE42" s="1374"/>
      <c r="AF42" s="1374"/>
      <c r="AG42" s="1374"/>
      <c r="AH42" s="1374"/>
      <c r="AI42" s="1374"/>
      <c r="AJ42" s="1374"/>
    </row>
    <row r="43" spans="1:37" s="1373" customFormat="1">
      <c r="A43" s="1374"/>
      <c r="B43" s="2866"/>
      <c r="Z43" s="1374"/>
      <c r="AA43" s="1374"/>
      <c r="AB43" s="1374"/>
      <c r="AC43" s="1374"/>
      <c r="AD43" s="1374"/>
      <c r="AE43" s="1374"/>
      <c r="AF43" s="1374"/>
      <c r="AG43" s="1374"/>
      <c r="AH43" s="1374"/>
      <c r="AI43" s="1374"/>
      <c r="AJ43" s="1374"/>
    </row>
    <row r="44" spans="1:37" s="1373" customFormat="1">
      <c r="A44" s="1374"/>
      <c r="B44" s="2866"/>
      <c r="Z44" s="1374"/>
      <c r="AA44" s="1374"/>
      <c r="AB44" s="1374"/>
      <c r="AC44" s="1374"/>
      <c r="AD44" s="1374"/>
      <c r="AE44" s="1374"/>
      <c r="AF44" s="1374"/>
      <c r="AG44" s="1374"/>
      <c r="AH44" s="1374"/>
      <c r="AI44" s="1374"/>
      <c r="AJ44" s="1374"/>
    </row>
    <row r="45" spans="1:37" s="1373" customFormat="1" ht="15.75" thickBot="1">
      <c r="A45" s="2867" t="s">
        <v>2934</v>
      </c>
      <c r="B45" s="2868"/>
      <c r="C45" s="7"/>
      <c r="D45" s="7"/>
      <c r="E45" s="7"/>
      <c r="F45" s="6"/>
      <c r="G45" s="6"/>
      <c r="H45" s="6"/>
      <c r="I45" s="7"/>
      <c r="J45" s="7"/>
      <c r="K45" s="7"/>
      <c r="L45" s="7"/>
      <c r="M45" s="7"/>
      <c r="N45" s="2783"/>
      <c r="Z45" s="1374"/>
      <c r="AA45" s="1374"/>
      <c r="AB45" s="1374"/>
      <c r="AC45" s="1374"/>
      <c r="AD45" s="1374"/>
      <c r="AE45" s="1374"/>
      <c r="AF45" s="1374"/>
      <c r="AG45" s="1374"/>
      <c r="AH45" s="1374"/>
      <c r="AI45" s="1374"/>
      <c r="AJ45" s="1374"/>
    </row>
    <row r="46" spans="1:37" s="1373" customFormat="1" ht="15">
      <c r="A46" s="2869" t="s">
        <v>2935</v>
      </c>
      <c r="B46" s="2870">
        <f>1+E48</f>
        <v>1</v>
      </c>
      <c r="C46" s="2871"/>
      <c r="D46" s="814"/>
      <c r="E46" s="815"/>
      <c r="F46" s="2872"/>
      <c r="G46" s="6"/>
      <c r="H46" s="7"/>
      <c r="I46" s="7"/>
      <c r="J46" s="7"/>
      <c r="K46" s="7"/>
      <c r="L46" s="7"/>
      <c r="M46" s="7"/>
      <c r="N46" s="2783"/>
      <c r="Z46" s="1374"/>
      <c r="AA46" s="1374"/>
      <c r="AB46" s="1374"/>
      <c r="AC46" s="1374"/>
      <c r="AD46" s="1374"/>
      <c r="AE46" s="1374"/>
      <c r="AF46" s="1374"/>
      <c r="AG46" s="1374"/>
      <c r="AH46" s="1374"/>
      <c r="AI46" s="1374"/>
      <c r="AJ46" s="1374"/>
    </row>
    <row r="47" spans="1:37" s="1373" customFormat="1" ht="24.75">
      <c r="A47" s="2873" t="s">
        <v>2936</v>
      </c>
      <c r="B47" s="1811" t="s">
        <v>2937</v>
      </c>
      <c r="C47" s="1811" t="s">
        <v>2938</v>
      </c>
      <c r="D47" s="1811" t="s">
        <v>2939</v>
      </c>
      <c r="E47" s="819" t="s">
        <v>2940</v>
      </c>
      <c r="F47" s="2874" t="s">
        <v>2941</v>
      </c>
      <c r="G47" s="1811" t="s">
        <v>754</v>
      </c>
      <c r="H47" s="2875" t="s">
        <v>2942</v>
      </c>
      <c r="I47" s="1811" t="s">
        <v>2943</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63.75">
      <c r="A48" s="2873" t="s">
        <v>2944</v>
      </c>
      <c r="B48" s="2876" t="str">
        <f>估价对象房地状况!C4</f>
        <v>估价对象位于天津市滨海新区响螺湾地区，周边商业氛围成熟度一般，人流量一般，商业繁华度一般。</v>
      </c>
      <c r="C48" s="2765"/>
      <c r="D48" s="1289">
        <f t="shared" ref="D48:D56" si="10">SUMIF($J$47:$N$47,C48,J48:N48)</f>
        <v>0</v>
      </c>
      <c r="E48" s="821">
        <f>ROUND(SUM(D48:D56),4)</f>
        <v>0</v>
      </c>
      <c r="F48" s="249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73" t="s">
        <v>2945</v>
      </c>
      <c r="B49" s="2877" t="str">
        <f>估价对象房地状况!C18</f>
        <v>估价对象紧邻城市支路——大新路、安阳道，周边路网密集程度一般、公共交通通达情况一般，有821、529路等公共交通，停车便捷程度一般，综合评价交通便捷度一般。</v>
      </c>
      <c r="C49" s="2765"/>
      <c r="D49" s="1289">
        <f t="shared" si="10"/>
        <v>0</v>
      </c>
      <c r="E49" s="822"/>
      <c r="F49" s="249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73" t="s">
        <v>2946</v>
      </c>
      <c r="B50" s="2877" t="str">
        <f>估价对象房地状况!C19</f>
        <v>区域内多为住宅用地，土地利用方向较为一致。</v>
      </c>
      <c r="C50" s="2765"/>
      <c r="D50" s="1289">
        <f t="shared" si="10"/>
        <v>0</v>
      </c>
      <c r="E50" s="822"/>
      <c r="F50" s="249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3" t="s">
        <v>2947</v>
      </c>
      <c r="B51" s="2878" t="s">
        <v>2948</v>
      </c>
      <c r="C51" s="2765"/>
      <c r="D51" s="1289">
        <f t="shared" si="10"/>
        <v>0</v>
      </c>
      <c r="E51" s="822"/>
      <c r="F51" s="249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3" t="s">
        <v>2949</v>
      </c>
      <c r="B52" s="2877" t="str">
        <f>估价对象房地状况!C24</f>
        <v>城市支路——大新路</v>
      </c>
      <c r="C52" s="2765"/>
      <c r="D52" s="1289">
        <f t="shared" si="10"/>
        <v>0</v>
      </c>
      <c r="E52" s="822"/>
      <c r="F52" s="249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3" t="s">
        <v>2950</v>
      </c>
      <c r="B53" s="2879" t="s">
        <v>2951</v>
      </c>
      <c r="C53" s="2765"/>
      <c r="D53" s="1289">
        <f t="shared" si="10"/>
        <v>0</v>
      </c>
      <c r="E53" s="822"/>
      <c r="F53" s="249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0" t="s">
        <v>2952</v>
      </c>
      <c r="B54" s="1727"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54" s="2765"/>
      <c r="D54" s="1289">
        <f t="shared" si="10"/>
        <v>0</v>
      </c>
      <c r="E54" s="822"/>
      <c r="F54" s="249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0" t="s">
        <v>2953</v>
      </c>
      <c r="B55" s="2877" t="str">
        <f>估价对象房地状况!C22</f>
        <v>估价对象所在区域基础设施水平达到“七通”。</v>
      </c>
      <c r="C55" s="2765"/>
      <c r="D55" s="1289">
        <f t="shared" si="10"/>
        <v>0</v>
      </c>
      <c r="E55" s="822"/>
      <c r="F55" s="249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81" t="s">
        <v>2954</v>
      </c>
      <c r="B56" s="2882" t="str">
        <f>估价对象房地状况!C20</f>
        <v>区域自然环境：彩带公园；人文环境：无博物馆、展览馆等人文景观；综合评价环境状况一般。</v>
      </c>
      <c r="C56" s="2765"/>
      <c r="D56" s="1289">
        <f t="shared" si="10"/>
        <v>0</v>
      </c>
      <c r="E56" s="825"/>
      <c r="F56" s="249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69" t="s">
        <v>2955</v>
      </c>
      <c r="B57" s="2870">
        <f>1+E59</f>
        <v>1</v>
      </c>
      <c r="C57" s="814"/>
      <c r="D57" s="814"/>
      <c r="E57" s="815"/>
      <c r="F57" s="287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3" t="s">
        <v>2936</v>
      </c>
      <c r="B58" s="1811"/>
      <c r="C58" s="1811" t="s">
        <v>2938</v>
      </c>
      <c r="D58" s="1811" t="s">
        <v>2939</v>
      </c>
      <c r="E58" s="819" t="s">
        <v>2940</v>
      </c>
      <c r="F58" s="2874" t="s">
        <v>2956</v>
      </c>
      <c r="G58" s="1811" t="s">
        <v>754</v>
      </c>
      <c r="H58" s="2875" t="s">
        <v>2942</v>
      </c>
      <c r="I58" s="1811" t="s">
        <v>2943</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24">
      <c r="A59" s="2873" t="s">
        <v>2957</v>
      </c>
      <c r="B59" s="2876">
        <f>估价对象房地状况!C17</f>
        <v>0</v>
      </c>
      <c r="C59" s="2765"/>
      <c r="D59" s="1289">
        <f t="shared" ref="D59:D67" si="15">SUMIF($J$58:$N$58,C59,J59:N59)</f>
        <v>0</v>
      </c>
      <c r="E59" s="821">
        <f>ROUND(SUM(D59:D67),4)</f>
        <v>0</v>
      </c>
      <c r="F59" s="249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73" t="s">
        <v>2945</v>
      </c>
      <c r="B60" s="2877" t="str">
        <f>估价对象房地状况!C18</f>
        <v>估价对象紧邻城市支路——大新路、安阳道，周边路网密集程度一般、公共交通通达情况一般，有821、529路等公共交通，停车便捷程度一般，综合评价交通便捷度一般。</v>
      </c>
      <c r="C60" s="2765"/>
      <c r="D60" s="1289">
        <f t="shared" si="15"/>
        <v>0</v>
      </c>
      <c r="E60" s="822"/>
      <c r="F60" s="249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73" t="s">
        <v>2946</v>
      </c>
      <c r="B61" s="2877" t="str">
        <f>估价对象房地状况!C19</f>
        <v>区域内多为住宅用地，土地利用方向较为一致。</v>
      </c>
      <c r="C61" s="2765"/>
      <c r="D61" s="1289">
        <f t="shared" si="15"/>
        <v>0</v>
      </c>
      <c r="E61" s="822"/>
      <c r="F61" s="249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3" t="s">
        <v>2947</v>
      </c>
      <c r="B62" s="2878" t="s">
        <v>2948</v>
      </c>
      <c r="C62" s="2765"/>
      <c r="D62" s="1289">
        <f t="shared" si="15"/>
        <v>0</v>
      </c>
      <c r="E62" s="822"/>
      <c r="F62" s="249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3" t="s">
        <v>2949</v>
      </c>
      <c r="B63" s="2877" t="str">
        <f>估价对象房地状况!C24</f>
        <v>城市支路——大新路</v>
      </c>
      <c r="C63" s="2765"/>
      <c r="D63" s="1289">
        <f t="shared" si="15"/>
        <v>0</v>
      </c>
      <c r="E63" s="822"/>
      <c r="F63" s="249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3" t="s">
        <v>2950</v>
      </c>
      <c r="B64" s="2879" t="s">
        <v>2951</v>
      </c>
      <c r="C64" s="2765"/>
      <c r="D64" s="1289">
        <f t="shared" si="15"/>
        <v>0</v>
      </c>
      <c r="E64" s="822"/>
      <c r="F64" s="249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73" t="s">
        <v>2952</v>
      </c>
      <c r="B65" s="1727"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65" s="2765"/>
      <c r="D65" s="1289">
        <f t="shared" si="15"/>
        <v>0</v>
      </c>
      <c r="E65" s="822"/>
      <c r="F65" s="249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3" t="s">
        <v>2953</v>
      </c>
      <c r="B66" s="1727" t="str">
        <f>估价对象房地状况!C22</f>
        <v>估价对象所在区域基础设施水平达到“七通”。</v>
      </c>
      <c r="C66" s="2765"/>
      <c r="D66" s="1289">
        <f t="shared" si="15"/>
        <v>0</v>
      </c>
      <c r="E66" s="822"/>
      <c r="F66" s="249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81" t="s">
        <v>2954</v>
      </c>
      <c r="B67" s="2883" t="str">
        <f>估价对象房地状况!C20</f>
        <v>区域自然环境：彩带公园；人文环境：无博物馆、展览馆等人文景观；综合评价环境状况一般。</v>
      </c>
      <c r="C67" s="2765"/>
      <c r="D67" s="1289">
        <f t="shared" si="15"/>
        <v>0</v>
      </c>
      <c r="E67" s="825"/>
      <c r="F67" s="249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69" t="s">
        <v>2958</v>
      </c>
      <c r="B68" s="2870">
        <f>1+E70</f>
        <v>1</v>
      </c>
      <c r="C68" s="814"/>
      <c r="D68" s="814"/>
      <c r="E68" s="815"/>
      <c r="F68" s="287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3" t="s">
        <v>2936</v>
      </c>
      <c r="B69" s="1811"/>
      <c r="C69" s="1811" t="s">
        <v>2938</v>
      </c>
      <c r="D69" s="1811" t="s">
        <v>2939</v>
      </c>
      <c r="E69" s="819" t="s">
        <v>2940</v>
      </c>
      <c r="F69" s="2874" t="s">
        <v>2956</v>
      </c>
      <c r="G69" s="1811" t="s">
        <v>754</v>
      </c>
      <c r="H69" s="2875" t="s">
        <v>2942</v>
      </c>
      <c r="I69" s="1811" t="s">
        <v>2943</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89.25">
      <c r="A70" s="2873" t="s">
        <v>2959</v>
      </c>
      <c r="B70" s="2876" t="str">
        <f>估价对象房地状况!C15</f>
        <v>估价对象周边居住用地比例较大、居住小区规模较大和社区发展完善程度较好，有远景庄园、碧桂园海昌天澜等住宅项目，综合评价居住社区成熟度较好。</v>
      </c>
      <c r="C70" s="2765"/>
      <c r="D70" s="1289">
        <f t="shared" ref="D70:D78" si="20">SUMIF($J$69:$N$69,C70,J70:N70)</f>
        <v>0</v>
      </c>
      <c r="E70" s="821">
        <f>ROUND(SUM(D70:D78),4)</f>
        <v>0</v>
      </c>
      <c r="F70" s="249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73" t="s">
        <v>2945</v>
      </c>
      <c r="B71" s="2877" t="str">
        <f>估价对象房地状况!C18</f>
        <v>估价对象紧邻城市支路——大新路、安阳道，周边路网密集程度一般、公共交通通达情况一般，有821、529路等公共交通，停车便捷程度一般，综合评价交通便捷度一般。</v>
      </c>
      <c r="C71" s="2765"/>
      <c r="D71" s="1289">
        <f t="shared" si="20"/>
        <v>0</v>
      </c>
      <c r="E71" s="826"/>
      <c r="F71" s="249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73" t="s">
        <v>2946</v>
      </c>
      <c r="B72" s="2877" t="str">
        <f>估价对象房地状况!C19</f>
        <v>区域内多为住宅用地，土地利用方向较为一致。</v>
      </c>
      <c r="C72" s="2765"/>
      <c r="D72" s="1289">
        <f t="shared" si="20"/>
        <v>0</v>
      </c>
      <c r="E72" s="826"/>
      <c r="F72" s="249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3" t="s">
        <v>2960</v>
      </c>
      <c r="B73" s="2877" t="str">
        <f>估价对象房地状况!C24</f>
        <v>城市支路——大新路</v>
      </c>
      <c r="C73" s="2765"/>
      <c r="D73" s="1289">
        <f t="shared" si="20"/>
        <v>0</v>
      </c>
      <c r="E73" s="826"/>
      <c r="F73" s="249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73" t="s">
        <v>2952</v>
      </c>
      <c r="B74" s="1727"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74" s="2765"/>
      <c r="D74" s="1289">
        <f t="shared" si="20"/>
        <v>0</v>
      </c>
      <c r="E74" s="826"/>
      <c r="F74" s="249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3" t="s">
        <v>2953</v>
      </c>
      <c r="B75" s="1727" t="str">
        <f>估价对象房地状况!C22</f>
        <v>估价对象所在区域基础设施水平达到“七通”。</v>
      </c>
      <c r="C75" s="2765"/>
      <c r="D75" s="1289">
        <f t="shared" si="20"/>
        <v>0</v>
      </c>
      <c r="E75" s="826"/>
      <c r="F75" s="249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4" customFormat="1" ht="24">
      <c r="A76" s="2873" t="s">
        <v>2950</v>
      </c>
      <c r="B76" s="2879" t="s">
        <v>2951</v>
      </c>
      <c r="C76" s="2765"/>
      <c r="D76" s="1289">
        <f t="shared" si="20"/>
        <v>0</v>
      </c>
      <c r="E76" s="826"/>
      <c r="F76" s="2497"/>
      <c r="G76" s="1287"/>
      <c r="H76" s="1291" t="str">
        <f t="shared" si="21"/>
        <v>——</v>
      </c>
      <c r="I76" s="820">
        <v>0.05</v>
      </c>
      <c r="J76" s="1288">
        <f t="shared" si="22"/>
        <v>0</v>
      </c>
      <c r="K76" s="1288">
        <f t="shared" si="23"/>
        <v>0</v>
      </c>
      <c r="L76" s="1288">
        <v>0</v>
      </c>
      <c r="M76" s="1288">
        <f t="shared" si="24"/>
        <v>0</v>
      </c>
      <c r="N76" s="1288">
        <f t="shared" si="24"/>
        <v>0</v>
      </c>
      <c r="AA76" s="2884"/>
      <c r="AB76" s="1374"/>
      <c r="AC76" s="1374"/>
      <c r="AD76" s="1374"/>
      <c r="AE76" s="1374"/>
      <c r="AF76" s="1374"/>
      <c r="AG76" s="1374"/>
      <c r="AH76" s="2884"/>
      <c r="AI76" s="2884"/>
      <c r="AJ76" s="2884"/>
      <c r="AK76" s="2884"/>
    </row>
    <row r="77" spans="1:37" ht="51">
      <c r="A77" s="2873" t="s">
        <v>2954</v>
      </c>
      <c r="B77" s="2876" t="str">
        <f>估价对象房地状况!C20</f>
        <v>区域自然环境：彩带公园；人文环境：无博物馆、展览馆等人文景观；综合评价环境状况一般。</v>
      </c>
      <c r="C77" s="2765"/>
      <c r="D77" s="1289">
        <f t="shared" si="20"/>
        <v>0</v>
      </c>
      <c r="E77" s="826"/>
      <c r="F77" s="2497"/>
      <c r="G77" s="1287"/>
      <c r="H77" s="1291" t="str">
        <f t="shared" si="21"/>
        <v>——</v>
      </c>
      <c r="I77" s="820">
        <v>0.15</v>
      </c>
      <c r="J77" s="1288">
        <f t="shared" si="22"/>
        <v>0</v>
      </c>
      <c r="K77" s="1288">
        <f t="shared" si="23"/>
        <v>0</v>
      </c>
      <c r="L77" s="1288">
        <v>0</v>
      </c>
      <c r="M77" s="1288">
        <f t="shared" si="24"/>
        <v>0</v>
      </c>
      <c r="N77" s="1288">
        <f t="shared" si="24"/>
        <v>0</v>
      </c>
      <c r="Z77" s="2715"/>
      <c r="AA77" s="2791"/>
      <c r="AG77" s="1375"/>
      <c r="AK77" s="2791"/>
    </row>
    <row r="78" spans="1:37" ht="24.75" thickBot="1">
      <c r="A78" s="2881" t="s">
        <v>2961</v>
      </c>
      <c r="B78" s="2885"/>
      <c r="C78" s="2765"/>
      <c r="D78" s="1289">
        <f t="shared" si="20"/>
        <v>0</v>
      </c>
      <c r="E78" s="827"/>
      <c r="F78" s="2497"/>
      <c r="G78" s="1287"/>
      <c r="H78" s="1291" t="str">
        <f t="shared" si="21"/>
        <v>——</v>
      </c>
      <c r="I78" s="824">
        <v>0.04</v>
      </c>
      <c r="J78" s="1288">
        <f t="shared" si="22"/>
        <v>0</v>
      </c>
      <c r="K78" s="1288">
        <f t="shared" si="23"/>
        <v>0</v>
      </c>
      <c r="L78" s="1288">
        <v>0</v>
      </c>
      <c r="M78" s="1288">
        <f t="shared" si="24"/>
        <v>0</v>
      </c>
      <c r="N78" s="1288">
        <f t="shared" si="24"/>
        <v>0</v>
      </c>
      <c r="Z78" s="2715"/>
      <c r="AA78" s="2791"/>
      <c r="AG78" s="1375"/>
      <c r="AK78" s="2791"/>
    </row>
    <row r="79" spans="1:37" ht="15">
      <c r="A79" s="2869" t="s">
        <v>2962</v>
      </c>
      <c r="B79" s="2870">
        <f>1+E81</f>
        <v>1</v>
      </c>
      <c r="C79" s="814"/>
      <c r="D79" s="814"/>
      <c r="E79" s="815"/>
      <c r="F79" s="2872"/>
      <c r="G79" s="6"/>
      <c r="H79" s="6"/>
      <c r="I79" s="6"/>
      <c r="J79" s="7"/>
      <c r="K79" s="7"/>
      <c r="L79" s="7"/>
      <c r="M79" s="7"/>
      <c r="N79" s="7"/>
      <c r="Z79" s="2715"/>
      <c r="AA79" s="2791"/>
      <c r="AG79" s="1375"/>
      <c r="AK79" s="2791"/>
    </row>
    <row r="80" spans="1:37" ht="24.75">
      <c r="A80" s="2873" t="s">
        <v>2936</v>
      </c>
      <c r="B80" s="1811"/>
      <c r="C80" s="1811" t="s">
        <v>2938</v>
      </c>
      <c r="D80" s="1811" t="s">
        <v>2939</v>
      </c>
      <c r="E80" s="819" t="s">
        <v>2940</v>
      </c>
      <c r="F80" s="2874" t="s">
        <v>2956</v>
      </c>
      <c r="G80" s="1811" t="s">
        <v>754</v>
      </c>
      <c r="H80" s="2875" t="s">
        <v>2942</v>
      </c>
      <c r="I80" s="1811" t="s">
        <v>2943</v>
      </c>
      <c r="J80" s="603" t="s">
        <v>2589</v>
      </c>
      <c r="K80" s="603" t="s">
        <v>2590</v>
      </c>
      <c r="L80" s="603" t="s">
        <v>2591</v>
      </c>
      <c r="M80" s="603" t="s">
        <v>2592</v>
      </c>
      <c r="N80" s="603" t="s">
        <v>2593</v>
      </c>
      <c r="Z80" s="2715"/>
      <c r="AA80" s="2791"/>
      <c r="AG80" s="1375"/>
      <c r="AK80" s="2791"/>
    </row>
    <row r="81" spans="1:37" ht="38.25">
      <c r="A81" s="2873" t="s">
        <v>2963</v>
      </c>
      <c r="B81" s="2877" t="str">
        <f>估价对象房地状况!G15</f>
        <v>估价对象位于XX开发区，园区建设成熟度XX，产业集聚程度XX</v>
      </c>
      <c r="C81" s="2765"/>
      <c r="D81" s="1289">
        <f t="shared" ref="D81:D88" si="25">SUMIF($J$80:$N$80,C81,J81:N81)</f>
        <v>0</v>
      </c>
      <c r="E81" s="821">
        <f>ROUND(SUM(D81:D88),4)</f>
        <v>0</v>
      </c>
      <c r="F81" s="249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5"/>
      <c r="AA81" s="2791"/>
      <c r="AG81" s="1375"/>
      <c r="AK81" s="2791"/>
    </row>
    <row r="82" spans="1:37" ht="51">
      <c r="A82" s="2873" t="s">
        <v>2945</v>
      </c>
      <c r="B82" s="2877" t="str">
        <f>估价对象房地状况!G16</f>
        <v>估价对象周边道路状况、公共交通通达情况、停车便捷程度，综合评价交通便捷度较好</v>
      </c>
      <c r="C82" s="2765"/>
      <c r="D82" s="1289">
        <f t="shared" si="25"/>
        <v>0</v>
      </c>
      <c r="E82" s="826"/>
      <c r="F82" s="2497"/>
      <c r="G82" s="1287"/>
      <c r="H82" s="1291" t="str">
        <f t="shared" si="26"/>
        <v>——</v>
      </c>
      <c r="I82" s="820">
        <v>0.33</v>
      </c>
      <c r="J82" s="1288">
        <f t="shared" si="27"/>
        <v>0</v>
      </c>
      <c r="K82" s="1288">
        <f t="shared" si="28"/>
        <v>0</v>
      </c>
      <c r="L82" s="1288">
        <v>0</v>
      </c>
      <c r="M82" s="1288">
        <f t="shared" si="29"/>
        <v>0</v>
      </c>
      <c r="N82" s="1288">
        <f t="shared" si="29"/>
        <v>0</v>
      </c>
      <c r="Z82" s="2715"/>
      <c r="AA82" s="2791"/>
      <c r="AG82" s="1375"/>
      <c r="AK82" s="2791"/>
    </row>
    <row r="83" spans="1:37" ht="24">
      <c r="A83" s="2873" t="s">
        <v>2946</v>
      </c>
      <c r="B83" s="2877">
        <f>估价对象房地状况!G17</f>
        <v>0</v>
      </c>
      <c r="C83" s="2765"/>
      <c r="D83" s="1289">
        <f t="shared" si="25"/>
        <v>0</v>
      </c>
      <c r="E83" s="826"/>
      <c r="F83" s="2497"/>
      <c r="G83" s="1287"/>
      <c r="H83" s="1291" t="str">
        <f t="shared" si="26"/>
        <v>——</v>
      </c>
      <c r="I83" s="820">
        <v>0.05</v>
      </c>
      <c r="J83" s="1288">
        <f t="shared" si="27"/>
        <v>0</v>
      </c>
      <c r="K83" s="1288">
        <f t="shared" si="28"/>
        <v>0</v>
      </c>
      <c r="L83" s="1288">
        <v>0</v>
      </c>
      <c r="M83" s="1288">
        <f t="shared" si="29"/>
        <v>0</v>
      </c>
      <c r="N83" s="1288">
        <f t="shared" si="29"/>
        <v>0</v>
      </c>
      <c r="Z83" s="2715"/>
      <c r="AA83" s="2791"/>
      <c r="AG83" s="1375"/>
      <c r="AK83" s="2791"/>
    </row>
    <row r="84" spans="1:37" ht="14.25">
      <c r="A84" s="2873" t="s">
        <v>2960</v>
      </c>
      <c r="B84" s="2877">
        <f>估价对象房地状况!G22</f>
        <v>0</v>
      </c>
      <c r="C84" s="2765"/>
      <c r="D84" s="1289">
        <f t="shared" si="25"/>
        <v>0</v>
      </c>
      <c r="E84" s="826"/>
      <c r="F84" s="2497"/>
      <c r="G84" s="1287"/>
      <c r="H84" s="1291" t="str">
        <f t="shared" si="26"/>
        <v>——</v>
      </c>
      <c r="I84" s="820">
        <v>0.04</v>
      </c>
      <c r="J84" s="1288">
        <f t="shared" si="27"/>
        <v>0</v>
      </c>
      <c r="K84" s="1288">
        <f t="shared" si="28"/>
        <v>0</v>
      </c>
      <c r="L84" s="1288">
        <v>0</v>
      </c>
      <c r="M84" s="1288">
        <f t="shared" si="29"/>
        <v>0</v>
      </c>
      <c r="N84" s="1288">
        <f t="shared" si="29"/>
        <v>0</v>
      </c>
      <c r="Z84" s="2715"/>
      <c r="AA84" s="2791"/>
      <c r="AG84" s="1375"/>
      <c r="AK84" s="2791"/>
    </row>
    <row r="85" spans="1:37" ht="25.5">
      <c r="A85" s="2873" t="s">
        <v>2952</v>
      </c>
      <c r="B85" s="1727" t="str">
        <f>估价对象房地状况!G19</f>
        <v>估价对象所在区域公共配套设施齐备情况</v>
      </c>
      <c r="C85" s="2765"/>
      <c r="D85" s="1289">
        <f t="shared" si="25"/>
        <v>0</v>
      </c>
      <c r="E85" s="826"/>
      <c r="F85" s="2497"/>
      <c r="G85" s="1287"/>
      <c r="H85" s="1291" t="str">
        <f t="shared" si="26"/>
        <v>——</v>
      </c>
      <c r="I85" s="820">
        <v>0.06</v>
      </c>
      <c r="J85" s="1288">
        <f t="shared" si="27"/>
        <v>0</v>
      </c>
      <c r="K85" s="1288">
        <f t="shared" si="28"/>
        <v>0</v>
      </c>
      <c r="L85" s="1288">
        <v>0</v>
      </c>
      <c r="M85" s="1288">
        <f t="shared" si="29"/>
        <v>0</v>
      </c>
      <c r="N85" s="1288">
        <f t="shared" si="29"/>
        <v>0</v>
      </c>
      <c r="Z85" s="2715"/>
      <c r="AA85" s="2791"/>
      <c r="AG85" s="1375"/>
      <c r="AK85" s="2791"/>
    </row>
    <row r="86" spans="1:37" ht="25.5">
      <c r="A86" s="2873" t="s">
        <v>2953</v>
      </c>
      <c r="B86" s="1727" t="str">
        <f>估价对象房地状况!G20</f>
        <v>估价对象所在区域基础设施水平</v>
      </c>
      <c r="C86" s="2765"/>
      <c r="D86" s="1289">
        <f t="shared" si="25"/>
        <v>0</v>
      </c>
      <c r="E86" s="826"/>
      <c r="F86" s="2497"/>
      <c r="G86" s="1287"/>
      <c r="H86" s="1291" t="str">
        <f t="shared" si="26"/>
        <v>——</v>
      </c>
      <c r="I86" s="820">
        <v>0.15</v>
      </c>
      <c r="J86" s="1288">
        <f t="shared" si="27"/>
        <v>0</v>
      </c>
      <c r="K86" s="1288">
        <f t="shared" si="28"/>
        <v>0</v>
      </c>
      <c r="L86" s="1288">
        <v>0</v>
      </c>
      <c r="M86" s="1288">
        <f t="shared" si="29"/>
        <v>0</v>
      </c>
      <c r="N86" s="1288">
        <f t="shared" si="29"/>
        <v>0</v>
      </c>
      <c r="Z86" s="2715"/>
      <c r="AA86" s="2791"/>
      <c r="AG86" s="1375"/>
      <c r="AK86" s="2791"/>
    </row>
    <row r="87" spans="1:37" ht="24">
      <c r="A87" s="2873" t="s">
        <v>2950</v>
      </c>
      <c r="B87" s="2879" t="s">
        <v>2964</v>
      </c>
      <c r="C87" s="2765"/>
      <c r="D87" s="1289">
        <f t="shared" si="25"/>
        <v>0</v>
      </c>
      <c r="E87" s="826"/>
      <c r="F87" s="2497"/>
      <c r="G87" s="1287"/>
      <c r="H87" s="1291" t="str">
        <f t="shared" si="26"/>
        <v>——</v>
      </c>
      <c r="I87" s="820">
        <v>0.05</v>
      </c>
      <c r="J87" s="1288">
        <f t="shared" si="27"/>
        <v>0</v>
      </c>
      <c r="K87" s="1288">
        <f t="shared" si="28"/>
        <v>0</v>
      </c>
      <c r="L87" s="1288">
        <v>0</v>
      </c>
      <c r="M87" s="1288">
        <f t="shared" si="29"/>
        <v>0</v>
      </c>
      <c r="N87" s="1288">
        <f t="shared" si="29"/>
        <v>0</v>
      </c>
      <c r="Z87" s="2715"/>
      <c r="AA87" s="2791"/>
      <c r="AG87" s="1375"/>
      <c r="AK87" s="2791"/>
    </row>
    <row r="88" spans="1:37" ht="39" thickBot="1">
      <c r="A88" s="2881" t="s">
        <v>2965</v>
      </c>
      <c r="B88" s="2886" t="str">
        <f>估价对象房地状况!G18</f>
        <v>该园区内是否有污染型企业，绿化情况，卫生条件，整体环境状况判断</v>
      </c>
      <c r="C88" s="2765"/>
      <c r="D88" s="1289">
        <f t="shared" si="25"/>
        <v>0</v>
      </c>
      <c r="E88" s="827"/>
      <c r="F88" s="2497"/>
      <c r="G88" s="1287"/>
      <c r="H88" s="1291" t="str">
        <f t="shared" si="26"/>
        <v>——</v>
      </c>
      <c r="I88" s="824">
        <v>0.06</v>
      </c>
      <c r="J88" s="1288">
        <f t="shared" si="27"/>
        <v>0</v>
      </c>
      <c r="K88" s="1288">
        <f t="shared" si="28"/>
        <v>0</v>
      </c>
      <c r="L88" s="1288">
        <v>0</v>
      </c>
      <c r="M88" s="1288">
        <f t="shared" si="29"/>
        <v>0</v>
      </c>
      <c r="N88" s="1288">
        <f t="shared" si="29"/>
        <v>0</v>
      </c>
      <c r="Z88" s="2715"/>
      <c r="AA88" s="2791"/>
      <c r="AG88" s="1375"/>
      <c r="AK88" s="2791"/>
    </row>
    <row r="90" spans="1:37">
      <c r="A90" s="3267" t="s">
        <v>2966</v>
      </c>
      <c r="B90" s="3267"/>
      <c r="C90" s="3267"/>
      <c r="D90" s="3267"/>
      <c r="E90" s="3267"/>
      <c r="F90" s="3267"/>
      <c r="G90" s="3267"/>
      <c r="H90" s="3267"/>
      <c r="I90" s="3267"/>
      <c r="J90" s="3267"/>
      <c r="K90" s="2887"/>
      <c r="L90" s="2887"/>
      <c r="M90" s="2887"/>
      <c r="N90" s="2887"/>
    </row>
    <row r="91" spans="1:37">
      <c r="A91" s="3269" t="s">
        <v>2967</v>
      </c>
      <c r="B91" s="3269" t="s">
        <v>2968</v>
      </c>
      <c r="C91" s="2841" t="s">
        <v>2969</v>
      </c>
      <c r="D91" s="2842"/>
      <c r="E91" s="2842"/>
      <c r="F91" s="2842"/>
      <c r="G91" s="2842"/>
      <c r="H91" s="2842"/>
      <c r="I91" s="2842"/>
      <c r="J91" s="2888"/>
      <c r="K91" s="2889"/>
      <c r="L91" s="2889"/>
      <c r="M91" s="2889"/>
      <c r="N91" s="2889"/>
    </row>
    <row r="92" spans="1:37">
      <c r="A92" s="3269"/>
      <c r="B92" s="3269"/>
      <c r="C92" s="945" t="s">
        <v>2833</v>
      </c>
      <c r="D92" s="945" t="s">
        <v>2834</v>
      </c>
      <c r="E92" s="945" t="s">
        <v>2835</v>
      </c>
      <c r="F92" s="945" t="s">
        <v>2836</v>
      </c>
      <c r="G92" s="945" t="s">
        <v>2837</v>
      </c>
      <c r="H92" s="945" t="s">
        <v>2838</v>
      </c>
      <c r="I92" s="945" t="s">
        <v>2839</v>
      </c>
      <c r="J92" s="945" t="s">
        <v>2840</v>
      </c>
      <c r="K92" s="945" t="s">
        <v>2841</v>
      </c>
      <c r="L92" s="945" t="s">
        <v>2842</v>
      </c>
      <c r="M92" s="945" t="s">
        <v>2843</v>
      </c>
      <c r="N92" s="945" t="s">
        <v>2844</v>
      </c>
    </row>
    <row r="93" spans="1:37">
      <c r="A93" s="3270" t="s">
        <v>2970</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71"/>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71"/>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71"/>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71"/>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71"/>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71"/>
      <c r="B99" s="2890" t="s">
        <v>2849</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72"/>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70" t="s">
        <v>2971</v>
      </c>
      <c r="B101" s="2894" t="s">
        <v>2972</v>
      </c>
      <c r="C101" s="2895">
        <f>$G$3</f>
        <v>2.4500000000000002</v>
      </c>
      <c r="D101" s="2895">
        <f t="shared" ref="D101:N101" si="31">$G$3</f>
        <v>2.4500000000000002</v>
      </c>
      <c r="E101" s="2895">
        <f t="shared" si="31"/>
        <v>2.4500000000000002</v>
      </c>
      <c r="F101" s="2895">
        <f t="shared" si="31"/>
        <v>2.4500000000000002</v>
      </c>
      <c r="G101" s="2895">
        <f t="shared" si="31"/>
        <v>2.4500000000000002</v>
      </c>
      <c r="H101" s="2895">
        <f t="shared" si="31"/>
        <v>2.4500000000000002</v>
      </c>
      <c r="I101" s="2895">
        <f t="shared" si="31"/>
        <v>2.4500000000000002</v>
      </c>
      <c r="J101" s="2895">
        <f t="shared" si="31"/>
        <v>2.4500000000000002</v>
      </c>
      <c r="K101" s="2895">
        <f t="shared" si="31"/>
        <v>2.4500000000000002</v>
      </c>
      <c r="L101" s="2895">
        <f t="shared" si="31"/>
        <v>2.4500000000000002</v>
      </c>
      <c r="M101" s="2895">
        <f t="shared" si="31"/>
        <v>2.4500000000000002</v>
      </c>
      <c r="N101" s="2895">
        <f t="shared" si="31"/>
        <v>2.4500000000000002</v>
      </c>
    </row>
    <row r="102" spans="1:14">
      <c r="A102" s="3271"/>
      <c r="B102" s="2890">
        <v>1</v>
      </c>
      <c r="C102" s="2891">
        <f>1.9362/C101</f>
        <v>0.79028571428571415</v>
      </c>
      <c r="D102" s="2891">
        <f>1.9362/D101</f>
        <v>0.79028571428571415</v>
      </c>
      <c r="E102" s="2891">
        <f>1.8629/E101</f>
        <v>0.7603673469387755</v>
      </c>
      <c r="F102" s="2891">
        <f>1.8629/F101</f>
        <v>0.7603673469387755</v>
      </c>
      <c r="G102" s="2891">
        <f>1.8629/G101</f>
        <v>0.7603673469387755</v>
      </c>
      <c r="H102" s="2891">
        <f>1.8629/H101</f>
        <v>0.7603673469387755</v>
      </c>
      <c r="I102" s="2891">
        <f>1.8629/I101</f>
        <v>0.7603673469387755</v>
      </c>
      <c r="J102" s="2891">
        <f>1.942/J101</f>
        <v>0.79265306122448975</v>
      </c>
      <c r="K102" s="2891">
        <f>1.942/K101</f>
        <v>0.79265306122448975</v>
      </c>
      <c r="L102" s="2891">
        <f>1.942/L101</f>
        <v>0.79265306122448975</v>
      </c>
      <c r="M102" s="2891">
        <f>1.942/M101</f>
        <v>0.79265306122448975</v>
      </c>
      <c r="N102" s="2891">
        <f>1.942/N101</f>
        <v>0.79265306122448975</v>
      </c>
    </row>
    <row r="103" spans="1:14">
      <c r="A103" s="3271"/>
      <c r="B103" s="2890">
        <v>2</v>
      </c>
      <c r="C103" s="2891">
        <f>1.4198/C101</f>
        <v>0.57951020408163256</v>
      </c>
      <c r="D103" s="2891">
        <f>1.4198/D101</f>
        <v>0.57951020408163256</v>
      </c>
      <c r="E103" s="2891">
        <f>1.3372/E101</f>
        <v>0.54579591836734687</v>
      </c>
      <c r="F103" s="2891">
        <f>1.3372/F101</f>
        <v>0.54579591836734687</v>
      </c>
      <c r="G103" s="2891">
        <f>1.3372/G101</f>
        <v>0.54579591836734687</v>
      </c>
      <c r="H103" s="2891">
        <f>1.3372/H101</f>
        <v>0.54579591836734687</v>
      </c>
      <c r="I103" s="2891">
        <f>1.3372/I101</f>
        <v>0.54579591836734687</v>
      </c>
      <c r="J103" s="2891">
        <f>1.2799/J101</f>
        <v>0.52240816326530615</v>
      </c>
      <c r="K103" s="2891">
        <f>1.2799/K101</f>
        <v>0.52240816326530615</v>
      </c>
      <c r="L103" s="2891">
        <f>1.2799/L101</f>
        <v>0.52240816326530615</v>
      </c>
      <c r="M103" s="2891">
        <f>1.2799/M101</f>
        <v>0.52240816326530615</v>
      </c>
      <c r="N103" s="2891">
        <f>1.2799/N101</f>
        <v>0.52240816326530615</v>
      </c>
    </row>
    <row r="104" spans="1:14">
      <c r="A104" s="3271"/>
      <c r="B104" s="2890">
        <v>3</v>
      </c>
      <c r="C104" s="2891">
        <f>1.1594/C101</f>
        <v>0.4732244897959183</v>
      </c>
      <c r="D104" s="2891">
        <f>1.1594/D101</f>
        <v>0.4732244897959183</v>
      </c>
      <c r="E104" s="2891">
        <f>1.0788/E101</f>
        <v>0.44032653061224486</v>
      </c>
      <c r="F104" s="2891">
        <f>1.0788/F101</f>
        <v>0.44032653061224486</v>
      </c>
      <c r="G104" s="2891">
        <f>1.0788/G101</f>
        <v>0.44032653061224486</v>
      </c>
      <c r="H104" s="2891">
        <f>1.0788/H101</f>
        <v>0.44032653061224486</v>
      </c>
      <c r="I104" s="2891">
        <f>1.0788/I101</f>
        <v>0.44032653061224486</v>
      </c>
      <c r="J104" s="2891">
        <f>1.0072/J101</f>
        <v>0.41110204081632656</v>
      </c>
      <c r="K104" s="2891">
        <f>1.0072/K101</f>
        <v>0.41110204081632656</v>
      </c>
      <c r="L104" s="2891">
        <f>1.0072/L101</f>
        <v>0.41110204081632656</v>
      </c>
      <c r="M104" s="2891">
        <f>1.0072/M101</f>
        <v>0.41110204081632656</v>
      </c>
      <c r="N104" s="2891">
        <f>1.0072/N101</f>
        <v>0.41110204081632656</v>
      </c>
    </row>
    <row r="105" spans="1:14">
      <c r="A105" s="3271"/>
      <c r="B105" s="2890">
        <v>4</v>
      </c>
      <c r="C105" s="2891">
        <f>0.9622/C101</f>
        <v>0.392734693877551</v>
      </c>
      <c r="D105" s="2891">
        <f>0.9622/D101</f>
        <v>0.392734693877551</v>
      </c>
      <c r="E105" s="2891">
        <f>0.8656/E101</f>
        <v>0.35330612244897958</v>
      </c>
      <c r="F105" s="2891">
        <f>0.8656/F101</f>
        <v>0.35330612244897958</v>
      </c>
      <c r="G105" s="2891">
        <f>0.8656/G101</f>
        <v>0.35330612244897958</v>
      </c>
      <c r="H105" s="2891">
        <f>0.8656/H101</f>
        <v>0.35330612244897958</v>
      </c>
      <c r="I105" s="2891">
        <f>0.8656/I101</f>
        <v>0.35330612244897958</v>
      </c>
      <c r="J105" s="2891">
        <f>0.7525/J101</f>
        <v>0.30714285714285711</v>
      </c>
      <c r="K105" s="2891">
        <f>0.7525/K101</f>
        <v>0.30714285714285711</v>
      </c>
      <c r="L105" s="2891">
        <f>0.7525/L101</f>
        <v>0.30714285714285711</v>
      </c>
      <c r="M105" s="2891">
        <f>0.7525/M101</f>
        <v>0.30714285714285711</v>
      </c>
      <c r="N105" s="2891">
        <f>0.7525/N101</f>
        <v>0.30714285714285711</v>
      </c>
    </row>
    <row r="106" spans="1:14">
      <c r="A106" s="3271"/>
      <c r="B106" s="2890">
        <v>5</v>
      </c>
      <c r="C106" s="2891">
        <f>0.8417/C101</f>
        <v>0.34355102040816327</v>
      </c>
      <c r="D106" s="2891">
        <f>0.8417/D101</f>
        <v>0.34355102040816327</v>
      </c>
      <c r="E106" s="2891">
        <f>0.7371/E101</f>
        <v>0.30085714285714282</v>
      </c>
      <c r="F106" s="2891">
        <f>0.7371/F101</f>
        <v>0.30085714285714282</v>
      </c>
      <c r="G106" s="2891">
        <f>0.7371/G101</f>
        <v>0.30085714285714282</v>
      </c>
      <c r="H106" s="2891">
        <f>0.7371/H101</f>
        <v>0.30085714285714282</v>
      </c>
      <c r="I106" s="2891">
        <f>0.7371/I101</f>
        <v>0.30085714285714282</v>
      </c>
      <c r="J106" s="2891">
        <f>0.5659/J101</f>
        <v>0.23097959183673467</v>
      </c>
      <c r="K106" s="2891">
        <f>0.5659/K101</f>
        <v>0.23097959183673467</v>
      </c>
      <c r="L106" s="2891">
        <f>0.5659/L101</f>
        <v>0.23097959183673467</v>
      </c>
      <c r="M106" s="2891">
        <f>0.5659/M101</f>
        <v>0.23097959183673467</v>
      </c>
      <c r="N106" s="2891">
        <f>0.5659/N101</f>
        <v>0.23097959183673467</v>
      </c>
    </row>
    <row r="107" spans="1:14">
      <c r="A107" s="3271"/>
      <c r="B107" s="2890">
        <v>6</v>
      </c>
      <c r="C107" s="2891">
        <f>0.7608/C101</f>
        <v>0.31053061224489797</v>
      </c>
      <c r="D107" s="2891">
        <f>0.7608/D101</f>
        <v>0.31053061224489797</v>
      </c>
      <c r="E107" s="2891">
        <f>0.6482/E101</f>
        <v>0.26457142857142857</v>
      </c>
      <c r="F107" s="2891">
        <f>0.6482/F101</f>
        <v>0.26457142857142857</v>
      </c>
      <c r="G107" s="2891">
        <f>0.6482/G101</f>
        <v>0.26457142857142857</v>
      </c>
      <c r="H107" s="2891">
        <f>0.6482/H101</f>
        <v>0.26457142857142857</v>
      </c>
      <c r="I107" s="2891">
        <f>0.6482/I101</f>
        <v>0.26457142857142857</v>
      </c>
      <c r="J107" s="2891">
        <f>0.4525/J101</f>
        <v>0.1846938775510204</v>
      </c>
      <c r="K107" s="2891">
        <f>0.4525/K101</f>
        <v>0.1846938775510204</v>
      </c>
      <c r="L107" s="2891">
        <f>0.4525/L101</f>
        <v>0.1846938775510204</v>
      </c>
      <c r="M107" s="2891">
        <f>0.4525/M101</f>
        <v>0.1846938775510204</v>
      </c>
      <c r="N107" s="2891">
        <f>0.4525/N101</f>
        <v>0.1846938775510204</v>
      </c>
    </row>
    <row r="108" spans="1:14">
      <c r="A108" s="3271"/>
      <c r="B108" s="3125" t="s">
        <v>2973</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72"/>
      <c r="B109" s="3126"/>
      <c r="C109" s="2893">
        <f>(-0.163*(C108^2)-0.59*C108+7617)*(10^(-4))/C101</f>
        <v>0.31089795918367347</v>
      </c>
      <c r="D109" s="2893">
        <f>(-0.163*(D108^2)-0.59*D108+7617)*(10^(-4))/D101</f>
        <v>0.31089795918367347</v>
      </c>
      <c r="E109" s="2893">
        <f>(-0.161*(E108^2)-7.509*E108+6533)*(10^(-4))/E101</f>
        <v>0.26665306122448978</v>
      </c>
      <c r="F109" s="2893">
        <f>(-0.161*(F108^2)-7.509*F108+6533)*(10^(-4))/F101</f>
        <v>0.26665306122448978</v>
      </c>
      <c r="G109" s="2893">
        <f>(-0.161*(G108^2)-7.509*G108+6533)*(10^(-4))/G101</f>
        <v>0.26665306122448978</v>
      </c>
      <c r="H109" s="2893">
        <f>(-0.161*(H108^2)-7.509*H108+6533)*(10^(-4))/H101</f>
        <v>0.26665306122448978</v>
      </c>
      <c r="I109" s="2893">
        <f>(-0.161*(I108^2)-7.509*I108+6533)*(10^(-4))/I101</f>
        <v>0.26665306122448978</v>
      </c>
      <c r="J109" s="2893">
        <f>(-0.214*(J108^2)-21.991*J108+4665)*(10^(-4))/J101</f>
        <v>0.19040816326530613</v>
      </c>
      <c r="K109" s="2893">
        <f>(-0.214*(K108^2)-21.991*K108+4665)*(10^(-4))/K101</f>
        <v>0.19040816326530613</v>
      </c>
      <c r="L109" s="2893">
        <f>(-0.214*(L108^2)-21.991*L108+4665)*(10^(-4))/L101</f>
        <v>0.19040816326530613</v>
      </c>
      <c r="M109" s="2893">
        <f>(-0.214*(M108^2)-21.991*M108+4665)*(10^(-4))/M101</f>
        <v>0.19040816326530613</v>
      </c>
      <c r="N109" s="2893">
        <f>(-0.214*(N108^2)-21.991*N108+4665)*(10^(-4))/N101</f>
        <v>0.19040816326530613</v>
      </c>
    </row>
    <row r="110" spans="1:14">
      <c r="A110" s="3268" t="s">
        <v>2974</v>
      </c>
      <c r="B110" s="3268"/>
      <c r="C110" s="3268"/>
      <c r="D110" s="3268"/>
      <c r="E110" s="3268"/>
      <c r="F110" s="3268"/>
      <c r="G110" s="3268"/>
      <c r="H110" s="3268"/>
      <c r="I110" s="3268"/>
      <c r="J110" s="3268"/>
      <c r="K110" s="2896"/>
      <c r="L110" s="2896"/>
      <c r="M110" s="2896"/>
      <c r="N110" s="2896"/>
    </row>
    <row r="112" spans="1:14" ht="13.5" thickBot="1"/>
    <row r="113" spans="1:13" ht="25.5" thickBot="1">
      <c r="A113" s="903" t="s">
        <v>2975</v>
      </c>
      <c r="B113" s="1290">
        <f>G3</f>
        <v>2.4500000000000002</v>
      </c>
      <c r="C113" s="904" t="s">
        <v>2976</v>
      </c>
      <c r="D113" s="905">
        <f>SUMPRODUCT((A115:A118=F113)*(B114:M114=H113)*B115:M118)</f>
        <v>0</v>
      </c>
      <c r="E113" s="2719" t="s">
        <v>2806</v>
      </c>
      <c r="F113" s="2898">
        <f>E2</f>
        <v>0</v>
      </c>
      <c r="G113" s="2719" t="s">
        <v>2807</v>
      </c>
      <c r="H113" s="2898">
        <f>G2</f>
        <v>0</v>
      </c>
      <c r="I113" s="2719"/>
      <c r="J113" s="2899"/>
      <c r="K113" s="2899"/>
      <c r="L113" s="2899"/>
      <c r="M113" s="2899"/>
    </row>
    <row r="114" spans="1:13">
      <c r="A114" s="908"/>
      <c r="B114" s="2900" t="s">
        <v>2977</v>
      </c>
      <c r="C114" s="2900" t="s">
        <v>2978</v>
      </c>
      <c r="D114" s="2900" t="s">
        <v>2979</v>
      </c>
      <c r="E114" s="2901" t="s">
        <v>2980</v>
      </c>
      <c r="F114" s="2901" t="s">
        <v>2981</v>
      </c>
      <c r="G114" s="2901" t="s">
        <v>2982</v>
      </c>
      <c r="H114" s="2902" t="s">
        <v>2983</v>
      </c>
      <c r="I114" s="2902" t="s">
        <v>2984</v>
      </c>
      <c r="J114" s="2903" t="s">
        <v>2985</v>
      </c>
      <c r="K114" s="2903" t="s">
        <v>2986</v>
      </c>
      <c r="L114" s="2903" t="s">
        <v>2987</v>
      </c>
      <c r="M114" s="2904" t="s">
        <v>2988</v>
      </c>
    </row>
    <row r="115" spans="1:13">
      <c r="A115" s="909" t="s">
        <v>2871</v>
      </c>
      <c r="B115" s="910">
        <f>ROUND(0.9335-0.0094*B113,4)</f>
        <v>0.91049999999999998</v>
      </c>
      <c r="C115" s="910">
        <f>B115</f>
        <v>0.91049999999999998</v>
      </c>
      <c r="D115" s="910">
        <f>ROUND(0.8331-0.0109*B113,4)</f>
        <v>0.80640000000000001</v>
      </c>
      <c r="E115" s="910">
        <f>D115</f>
        <v>0.80640000000000001</v>
      </c>
      <c r="F115" s="910">
        <f>E115</f>
        <v>0.80640000000000001</v>
      </c>
      <c r="G115" s="910">
        <f>F115</f>
        <v>0.80640000000000001</v>
      </c>
      <c r="H115" s="910">
        <f>G115</f>
        <v>0.80640000000000001</v>
      </c>
      <c r="I115" s="910">
        <f>ROUND(0.689-0.0155*B113,4)</f>
        <v>0.65100000000000002</v>
      </c>
      <c r="J115" s="910">
        <f t="shared" ref="J115:M118" si="33">I115</f>
        <v>0.65100000000000002</v>
      </c>
      <c r="K115" s="910">
        <f t="shared" si="33"/>
        <v>0.65100000000000002</v>
      </c>
      <c r="L115" s="910">
        <f t="shared" si="33"/>
        <v>0.65100000000000002</v>
      </c>
      <c r="M115" s="911">
        <f t="shared" si="33"/>
        <v>0.65100000000000002</v>
      </c>
    </row>
    <row r="116" spans="1:13">
      <c r="A116" s="909" t="s">
        <v>2872</v>
      </c>
      <c r="B116" s="910">
        <f>ROUND(0.949-0.012*B113,4)</f>
        <v>0.91959999999999997</v>
      </c>
      <c r="C116" s="910">
        <f>B116</f>
        <v>0.91959999999999997</v>
      </c>
      <c r="D116" s="910">
        <f>ROUND(0.8567-0.013*B113,4)</f>
        <v>0.82489999999999997</v>
      </c>
      <c r="E116" s="910">
        <f t="shared" ref="E116:H117" si="34">D116</f>
        <v>0.82489999999999997</v>
      </c>
      <c r="F116" s="910">
        <f t="shared" si="34"/>
        <v>0.82489999999999997</v>
      </c>
      <c r="G116" s="910">
        <f t="shared" si="34"/>
        <v>0.82489999999999997</v>
      </c>
      <c r="H116" s="910">
        <f t="shared" si="34"/>
        <v>0.82489999999999997</v>
      </c>
      <c r="I116" s="910">
        <f>ROUND(0.7694-0.014*B113,4)</f>
        <v>0.73509999999999998</v>
      </c>
      <c r="J116" s="910">
        <f t="shared" si="33"/>
        <v>0.73509999999999998</v>
      </c>
      <c r="K116" s="910">
        <f t="shared" si="33"/>
        <v>0.73509999999999998</v>
      </c>
      <c r="L116" s="910">
        <f t="shared" si="33"/>
        <v>0.73509999999999998</v>
      </c>
      <c r="M116" s="911">
        <f t="shared" si="33"/>
        <v>0.73509999999999998</v>
      </c>
    </row>
    <row r="117" spans="1:13">
      <c r="A117" s="909" t="s">
        <v>2873</v>
      </c>
      <c r="B117" s="910">
        <f>ROUND(0.8808-0.006*B113,4)</f>
        <v>0.86609999999999998</v>
      </c>
      <c r="C117" s="910">
        <f>B117</f>
        <v>0.86609999999999998</v>
      </c>
      <c r="D117" s="910">
        <f>ROUND(0.8748-0.008*B113,4)</f>
        <v>0.85519999999999996</v>
      </c>
      <c r="E117" s="910">
        <f t="shared" si="34"/>
        <v>0.85519999999999996</v>
      </c>
      <c r="F117" s="910">
        <f t="shared" si="34"/>
        <v>0.85519999999999996</v>
      </c>
      <c r="G117" s="910">
        <f t="shared" si="34"/>
        <v>0.85519999999999996</v>
      </c>
      <c r="H117" s="910">
        <f t="shared" si="34"/>
        <v>0.85519999999999996</v>
      </c>
      <c r="I117" s="910">
        <f>ROUND(0.7412-0.0095*B113,4)</f>
        <v>0.71789999999999998</v>
      </c>
      <c r="J117" s="910">
        <f t="shared" si="33"/>
        <v>0.71789999999999998</v>
      </c>
      <c r="K117" s="910">
        <f t="shared" si="33"/>
        <v>0.71789999999999998</v>
      </c>
      <c r="L117" s="910">
        <f t="shared" si="33"/>
        <v>0.71789999999999998</v>
      </c>
      <c r="M117" s="911">
        <f t="shared" si="33"/>
        <v>0.71789999999999998</v>
      </c>
    </row>
    <row r="118" spans="1:13" ht="13.5" thickBot="1">
      <c r="A118" s="714" t="s">
        <v>2874</v>
      </c>
      <c r="B118" s="912">
        <f>ROUND(0.7275-0.01*B113,4)</f>
        <v>0.70299999999999996</v>
      </c>
      <c r="C118" s="912">
        <f>B118</f>
        <v>0.70299999999999996</v>
      </c>
      <c r="D118" s="912">
        <f>ROUND(0.7043-0.012*B113,4)</f>
        <v>0.67490000000000006</v>
      </c>
      <c r="E118" s="912">
        <f>D118</f>
        <v>0.67490000000000006</v>
      </c>
      <c r="F118" s="912">
        <f>E118</f>
        <v>0.67490000000000006</v>
      </c>
      <c r="G118" s="912">
        <f>ROUND(0.6299-0.0122*B113,4)</f>
        <v>0.6</v>
      </c>
      <c r="H118" s="912">
        <f>G118</f>
        <v>0.6</v>
      </c>
      <c r="I118" s="912">
        <f>ROUND(0.5667-0.0136*B113,4)</f>
        <v>0.53339999999999999</v>
      </c>
      <c r="J118" s="912">
        <f t="shared" si="33"/>
        <v>0.53339999999999999</v>
      </c>
      <c r="K118" s="912">
        <f t="shared" si="33"/>
        <v>0.53339999999999999</v>
      </c>
      <c r="L118" s="912">
        <f t="shared" si="33"/>
        <v>0.53339999999999999</v>
      </c>
      <c r="M118" s="913">
        <f t="shared" si="33"/>
        <v>0.53339999999999999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7" t="s">
        <v>2997</v>
      </c>
    </row>
    <row r="2" spans="1:5" ht="15.75">
      <c r="A2" s="2905" t="s">
        <v>2989</v>
      </c>
      <c r="B2" s="2906" t="e">
        <f ca="1">SUMIF(B6:B13,"&lt;&gt;#ref!",B6:B13)</f>
        <v>#DIV/0!</v>
      </c>
      <c r="C2" s="2905" t="s">
        <v>2990</v>
      </c>
      <c r="D2" s="2905" t="s">
        <v>2991</v>
      </c>
      <c r="E2" s="2906">
        <f ca="1">SUMIF(E6:E13,"&lt;&gt;#ref!",E6:E13)</f>
        <v>0</v>
      </c>
    </row>
    <row r="3" spans="1:5" ht="15.75">
      <c r="A3" s="2905" t="s">
        <v>2992</v>
      </c>
      <c r="B3" s="2906" t="e">
        <f ca="1">ROUND(B2*10000/E2,0)</f>
        <v>#DIV/0!</v>
      </c>
      <c r="C3" s="2905" t="s">
        <v>2998</v>
      </c>
      <c r="D3" s="2907"/>
      <c r="E3" s="2907"/>
    </row>
    <row r="4" spans="1:5" ht="15.75">
      <c r="A4" s="2908"/>
      <c r="B4" s="2907"/>
      <c r="C4" s="2907"/>
      <c r="D4" s="2907"/>
      <c r="E4" s="2907"/>
    </row>
    <row r="5" spans="1:5" ht="28.5">
      <c r="A5" s="2909" t="s">
        <v>2993</v>
      </c>
      <c r="B5" s="2905" t="s">
        <v>2994</v>
      </c>
      <c r="C5" s="2906"/>
      <c r="D5" s="2907"/>
      <c r="E5" s="2905" t="s">
        <v>2995</v>
      </c>
    </row>
    <row r="6" spans="1:5" ht="15.75">
      <c r="A6" s="2910" t="s">
        <v>2996</v>
      </c>
      <c r="B6" s="2906" t="e">
        <f ca="1">SUMIF(INDIRECT("'"&amp;A6&amp;"'"&amp;"!A:A"),"总价",INDIRECT("'"&amp;A6&amp;"'"&amp;"!B:B"))</f>
        <v>#DIV/0!</v>
      </c>
      <c r="C6" s="2905" t="s">
        <v>2990</v>
      </c>
      <c r="D6" s="2907"/>
      <c r="E6" s="2571">
        <f ca="1">SUMIF(INDIRECT("'"&amp;A6&amp;"'"&amp;"!C:C"),"建筑面积",INDIRECT("'"&amp;A6&amp;"'"&amp;"!D:D"))</f>
        <v>0</v>
      </c>
    </row>
    <row r="7" spans="1:5" ht="15.75">
      <c r="A7" s="2910"/>
      <c r="B7" s="2906" t="e">
        <f ca="1">SUMIF(INDIRECT("'"&amp;A7&amp;"'"&amp;"!A:A"),"总价",INDIRECT("'"&amp;A7&amp;"'"&amp;"!B:B"))</f>
        <v>#REF!</v>
      </c>
      <c r="C7" s="2905" t="s">
        <v>2990</v>
      </c>
      <c r="D7" s="2907"/>
      <c r="E7" s="2571" t="e">
        <f t="shared" ref="E7:E13" ca="1" si="0">SUMIF(INDIRECT("'"&amp;A7&amp;"'"&amp;"!C:C"),"建筑面积",INDIRECT("'"&amp;A7&amp;"'"&amp;"!D:D"))</f>
        <v>#REF!</v>
      </c>
    </row>
    <row r="8" spans="1:5" ht="15.75">
      <c r="A8" s="2910"/>
      <c r="B8" s="2906" t="e">
        <f t="shared" ref="B8:B13" ca="1" si="1">SUMIF(INDIRECT("'"&amp;A8&amp;"'"&amp;"!A:A"),"总价",INDIRECT("'"&amp;A8&amp;"'"&amp;"!B:B"))</f>
        <v>#REF!</v>
      </c>
      <c r="C8" s="2905" t="s">
        <v>2990</v>
      </c>
      <c r="D8" s="2907"/>
      <c r="E8" s="2571" t="e">
        <f t="shared" ca="1" si="0"/>
        <v>#REF!</v>
      </c>
    </row>
    <row r="9" spans="1:5" ht="15.75">
      <c r="A9" s="2910"/>
      <c r="B9" s="2906" t="e">
        <f t="shared" ca="1" si="1"/>
        <v>#REF!</v>
      </c>
      <c r="C9" s="2905" t="s">
        <v>2990</v>
      </c>
      <c r="D9" s="2907"/>
      <c r="E9" s="2571" t="e">
        <f t="shared" ca="1" si="0"/>
        <v>#REF!</v>
      </c>
    </row>
    <row r="10" spans="1:5" ht="15.75">
      <c r="A10" s="2910"/>
      <c r="B10" s="2906" t="e">
        <f t="shared" ca="1" si="1"/>
        <v>#REF!</v>
      </c>
      <c r="C10" s="2905" t="s">
        <v>2990</v>
      </c>
      <c r="D10" s="2907"/>
      <c r="E10" s="2571" t="e">
        <f t="shared" ca="1" si="0"/>
        <v>#REF!</v>
      </c>
    </row>
    <row r="11" spans="1:5" ht="15.75">
      <c r="A11" s="2910"/>
      <c r="B11" s="2906" t="e">
        <f t="shared" ca="1" si="1"/>
        <v>#REF!</v>
      </c>
      <c r="C11" s="2905" t="s">
        <v>2990</v>
      </c>
      <c r="D11" s="2907"/>
      <c r="E11" s="2571" t="e">
        <f t="shared" ca="1" si="0"/>
        <v>#REF!</v>
      </c>
    </row>
    <row r="12" spans="1:5" ht="15.75">
      <c r="A12" s="2910"/>
      <c r="B12" s="2906" t="e">
        <f t="shared" ca="1" si="1"/>
        <v>#REF!</v>
      </c>
      <c r="C12" s="2905" t="s">
        <v>2990</v>
      </c>
      <c r="D12" s="2907"/>
      <c r="E12" s="2571" t="e">
        <f t="shared" ca="1" si="0"/>
        <v>#REF!</v>
      </c>
    </row>
    <row r="13" spans="1:5" ht="15.75">
      <c r="A13" s="2910"/>
      <c r="B13" s="2906" t="e">
        <f t="shared" ca="1" si="1"/>
        <v>#REF!</v>
      </c>
      <c r="C13" s="2905" t="s">
        <v>2990</v>
      </c>
      <c r="D13" s="2907"/>
      <c r="E13" s="257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2" t="s">
        <v>1150</v>
      </c>
      <c r="C1" s="3282"/>
      <c r="D1" s="3282"/>
      <c r="E1" s="3282"/>
      <c r="F1" s="3282"/>
      <c r="G1" s="3281" t="s">
        <v>1151</v>
      </c>
      <c r="H1" s="3281"/>
      <c r="I1" s="3281"/>
      <c r="J1" s="3281"/>
      <c r="K1" s="3281"/>
      <c r="L1" s="3281"/>
      <c r="N1" s="3281" t="s">
        <v>1152</v>
      </c>
      <c r="O1" s="3281"/>
      <c r="P1" s="3281"/>
      <c r="Q1" s="3281"/>
      <c r="R1" s="1449"/>
      <c r="S1" s="3281" t="s">
        <v>1153</v>
      </c>
      <c r="T1" s="3281"/>
      <c r="U1" s="3281"/>
      <c r="V1" s="3281"/>
      <c r="X1" s="3280" t="s">
        <v>1154</v>
      </c>
      <c r="Y1" s="3281"/>
      <c r="Z1" s="3281"/>
      <c r="AA1" s="3281"/>
      <c r="AB1" s="3281"/>
      <c r="AD1" s="3280" t="s">
        <v>1155</v>
      </c>
      <c r="AE1" s="3281"/>
      <c r="AF1" s="3281"/>
      <c r="AG1" s="3281"/>
      <c r="AH1" s="328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4" customFormat="1" ht="14.25">
      <c r="A3" s="2933" t="s">
        <v>3032</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1.4517</v>
      </c>
      <c r="Y3" s="2931">
        <f>ROUND(SUMPRODUCT(PRODUCT(1+O3:O$22)),4)</f>
        <v>1.2928999999999999</v>
      </c>
      <c r="Z3" s="2931">
        <f t="shared" ref="Z3:Z20" si="0">Y3</f>
        <v>1.2928999999999999</v>
      </c>
      <c r="AA3" s="2931">
        <f>ROUND(SUMPRODUCT(PRODUCT(1+P3:P$22)),4)</f>
        <v>1.5068999999999999</v>
      </c>
      <c r="AB3" s="2931">
        <f>ROUND(SUMPRODUCT(PRODUCT(1+Q3:Q$22)),4)</f>
        <v>1.2557</v>
      </c>
      <c r="AD3" s="2932">
        <f>ROUND(AVERAGE(I3:I$23)/100,4)</f>
        <v>2.1600000000000001E-2</v>
      </c>
      <c r="AE3" s="2932">
        <f>ROUND(AVERAGE(J3:J$23)/100,4)</f>
        <v>1.4999999999999999E-2</v>
      </c>
      <c r="AF3" s="2932">
        <f t="shared" ref="AF3:AF21" si="1">AE3</f>
        <v>1.4999999999999999E-2</v>
      </c>
      <c r="AG3" s="2932">
        <f>ROUND(AVERAGE(K3:K$23)/100,4)</f>
        <v>2.3900000000000001E-2</v>
      </c>
      <c r="AH3" s="2932">
        <f>ROUND(AVERAGE(L3:L$23)/100,4)</f>
        <v>1.2800000000000001E-2</v>
      </c>
    </row>
    <row r="4" spans="1:34" s="1456" customFormat="1" ht="14.25">
      <c r="B4" s="1457"/>
      <c r="C4" s="1457"/>
      <c r="D4" s="1458"/>
      <c r="E4" s="1458"/>
      <c r="F4" s="1457"/>
      <c r="G4" s="1459"/>
      <c r="H4" s="1460"/>
      <c r="I4" s="2918"/>
      <c r="J4" s="2918"/>
      <c r="K4" s="2918"/>
      <c r="L4" s="2918"/>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3039</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6">
        <v>2018</v>
      </c>
      <c r="H5" s="1732">
        <v>3</v>
      </c>
      <c r="I5" s="2919">
        <v>0</v>
      </c>
      <c r="J5" s="2919">
        <v>0</v>
      </c>
      <c r="K5" s="2919">
        <v>0</v>
      </c>
      <c r="L5" s="2919">
        <v>0</v>
      </c>
      <c r="N5" s="1470">
        <f>I5/100</f>
        <v>0</v>
      </c>
      <c r="O5" s="1470">
        <f t="shared" ref="O5" si="7">J5/100</f>
        <v>0</v>
      </c>
      <c r="P5" s="1470">
        <f t="shared" ref="P5" si="8">K5/100</f>
        <v>0</v>
      </c>
      <c r="Q5" s="1470">
        <f t="shared" ref="Q5" si="9">L5/100</f>
        <v>0</v>
      </c>
      <c r="R5" s="1734"/>
      <c r="S5" s="1735"/>
      <c r="T5" s="1734"/>
      <c r="U5" s="1734"/>
      <c r="V5" s="1734"/>
      <c r="W5" s="2923" t="s">
        <v>3033</v>
      </c>
      <c r="X5" s="1728">
        <f>ROUND(SUMPRODUCT(PRODUCT(1+N5:N$22)),4)</f>
        <v>1.4517</v>
      </c>
      <c r="Y5" s="1728">
        <f>ROUND(SUMPRODUCT(PRODUCT(1+O5:O$22)),4)</f>
        <v>1.2928999999999999</v>
      </c>
      <c r="Z5" s="1728">
        <f t="shared" ref="Z5" si="10">Y5</f>
        <v>1.2928999999999999</v>
      </c>
      <c r="AA5" s="1728">
        <f>ROUND(SUMPRODUCT(PRODUCT(1+P5:P$22)),4)</f>
        <v>1.5068999999999999</v>
      </c>
      <c r="AB5" s="1728">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3040</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34"/>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2"/>
      <c r="X6" s="1790">
        <f>ROUND(SUMPRODUCT(PRODUCT(1+N6:N$22)),4)</f>
        <v>1.4517</v>
      </c>
      <c r="Y6" s="1790">
        <f>ROUND(SUMPRODUCT(PRODUCT(1+O6:O$22)),4)</f>
        <v>1.2928999999999999</v>
      </c>
      <c r="Z6" s="1790">
        <f t="shared" ref="Z6" si="21">Y6</f>
        <v>1.2928999999999999</v>
      </c>
      <c r="AA6" s="1790">
        <f>ROUND(SUMPRODUCT(PRODUCT(1+P6:P$22)),4)</f>
        <v>1.5068999999999999</v>
      </c>
      <c r="AB6" s="1790">
        <f>ROUND(SUMPRODUCT(PRODUCT(1+Q6:Q$22)),4)</f>
        <v>1.2557</v>
      </c>
      <c r="AC6" s="1792"/>
      <c r="AD6" s="1791">
        <f>ROUND(AVERAGE(I6:I$23)/100,4)</f>
        <v>2.2700000000000001E-2</v>
      </c>
      <c r="AE6" s="1791">
        <f>ROUND(AVERAGE(J6:J$23)/100,4)</f>
        <v>1.5699999999999999E-2</v>
      </c>
      <c r="AF6" s="1791">
        <f t="shared" ref="AF6" si="22">AE6</f>
        <v>1.5699999999999999E-2</v>
      </c>
      <c r="AG6" s="1791">
        <f>ROUND(AVERAGE(K6:K$23)/100,4)</f>
        <v>2.5000000000000001E-2</v>
      </c>
      <c r="AH6" s="1791">
        <f>ROUND(AVERAGE(L6:L$23)/100,4)</f>
        <v>1.35E-2</v>
      </c>
    </row>
    <row r="7" spans="1:34" s="1469" customFormat="1" ht="13.5" thickBot="1">
      <c r="A7" s="1464" t="s">
        <v>3031</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3028</v>
      </c>
      <c r="B8" s="1472">
        <v>439</v>
      </c>
      <c r="C8" s="1472">
        <v>327</v>
      </c>
      <c r="D8" s="1472">
        <f>C8</f>
        <v>327</v>
      </c>
      <c r="E8" s="1472">
        <v>627</v>
      </c>
      <c r="F8" s="1473">
        <v>283</v>
      </c>
      <c r="G8" s="292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3029</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1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1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83">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8"/>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8"/>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9"/>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7">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8"/>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8"/>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9"/>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7">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8"/>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8"/>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9"/>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54"/>
        <v>252</v>
      </c>
      <c r="E24" s="1472">
        <v>409</v>
      </c>
      <c r="F24" s="1473">
        <v>227</v>
      </c>
      <c r="G24" s="3284">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5"/>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5"/>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6"/>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7">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8"/>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8"/>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9"/>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7">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8">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8">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9">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7">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8">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8">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9">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7">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8">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8">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9">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7">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8">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8">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9">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7">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8">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8">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9">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7">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8">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8">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9">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7">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8">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8">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9">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7">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8">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8">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9">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7">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8">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8">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9">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7">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8">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8">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9">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88" t="s">
        <v>3000</v>
      </c>
      <c r="D1" s="3289"/>
      <c r="E1" s="3289"/>
      <c r="F1" s="3289"/>
      <c r="G1" s="3289"/>
      <c r="H1" s="3289"/>
      <c r="I1" s="3289"/>
      <c r="J1" s="3289"/>
      <c r="K1" s="3289"/>
      <c r="L1" s="3289"/>
      <c r="M1" s="3289"/>
      <c r="N1" s="3289"/>
      <c r="O1" s="3289"/>
      <c r="P1" s="3289"/>
      <c r="Q1" s="3289"/>
      <c r="R1" s="3289"/>
      <c r="S1" s="3290"/>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3003</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3004</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3005</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3009</v>
      </c>
      <c r="B17" s="2912"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3" t="s">
        <v>3011</v>
      </c>
      <c r="E19" s="1794"/>
      <c r="F19" s="1794"/>
      <c r="G19" s="1794"/>
      <c r="H19" s="1283"/>
      <c r="I19" s="168"/>
      <c r="J19" s="168"/>
      <c r="K19" s="168"/>
      <c r="L19" s="168"/>
      <c r="M19" s="168"/>
      <c r="N19" s="168"/>
      <c r="O19" s="168"/>
      <c r="P19" s="168"/>
      <c r="Q19" s="168"/>
      <c r="R19" s="788"/>
      <c r="S19" s="138"/>
    </row>
    <row r="20" spans="1:45" ht="16.5" thickBot="1">
      <c r="A20" s="715" t="s">
        <v>3012</v>
      </c>
      <c r="B20" s="338" t="e">
        <f ca="1">IF(D20="——",S22,S22-F20)</f>
        <v>#REF!</v>
      </c>
      <c r="C20" s="168"/>
      <c r="D20" s="2914" t="s">
        <v>3013</v>
      </c>
      <c r="E20" s="1795"/>
      <c r="F20" s="1207" t="e">
        <f ca="1">SUMIF(INDIRECT("'"&amp;H20&amp;"'"&amp;"!A:A"),"承租人权益价值",INDIRECT("'"&amp;H20&amp;"'"&amp;"!c:c"))</f>
        <v>#REF!</v>
      </c>
      <c r="G20" s="1207" t="s">
        <v>3014</v>
      </c>
      <c r="H20" s="2915"/>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147" t="s">
        <v>33</v>
      </c>
      <c r="D22" s="3148"/>
      <c r="E22" s="3148"/>
      <c r="F22" s="3148"/>
      <c r="G22" s="3148"/>
      <c r="H22" s="3148"/>
      <c r="I22" s="3148"/>
      <c r="J22" s="3148"/>
      <c r="K22" s="3148"/>
      <c r="L22" s="3148"/>
      <c r="M22" s="3148"/>
      <c r="N22" s="3148"/>
      <c r="O22" s="3148"/>
      <c r="P22" s="3148"/>
      <c r="Q22" s="3287"/>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3"/>
      <c r="B4" s="2970" t="s">
        <v>1630</v>
      </c>
      <c r="C4" s="2970"/>
      <c r="D4" s="2970"/>
      <c r="E4" s="1963"/>
    </row>
    <row r="5" spans="1:5" ht="16.5" thickTop="1">
      <c r="A5" s="1961"/>
      <c r="B5" s="2968" t="s">
        <v>1622</v>
      </c>
      <c r="C5" s="1964" t="s">
        <v>1623</v>
      </c>
      <c r="D5" s="1043">
        <f ca="1">结果表!H101</f>
        <v>119535</v>
      </c>
      <c r="E5" s="1961"/>
    </row>
    <row r="6" spans="1:5" ht="15.75">
      <c r="A6" s="1961"/>
      <c r="B6" s="2968"/>
      <c r="C6" s="1964" t="s">
        <v>1624</v>
      </c>
      <c r="D6" s="1043" t="str">
        <f ca="1">NUMBERSTRING(INT(D5*10000),2)&amp;"元整"</f>
        <v>壹拾壹亿玖仟伍佰叁拾伍万元整</v>
      </c>
      <c r="E6" s="1961"/>
    </row>
    <row r="7" spans="1:5" ht="15.75">
      <c r="A7" s="1961"/>
      <c r="B7" s="2973"/>
      <c r="C7" s="1965" t="s">
        <v>1625</v>
      </c>
      <c r="D7" s="1044">
        <f ca="1">结果表!H102</f>
        <v>17750</v>
      </c>
      <c r="E7" s="1961"/>
    </row>
    <row r="8" spans="1:5" ht="15.75">
      <c r="A8" s="1961"/>
      <c r="B8" s="2974" t="str">
        <f>结果表!E103</f>
        <v>2.估价师知悉的法定优先受偿款</v>
      </c>
      <c r="C8" s="1966" t="s">
        <v>1626</v>
      </c>
      <c r="D8" s="1044">
        <f>结果表!H103</f>
        <v>0</v>
      </c>
      <c r="E8" s="1961"/>
    </row>
    <row r="9" spans="1:5" ht="15.75">
      <c r="A9" s="1961"/>
      <c r="B9" s="2976"/>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7" t="str">
        <f>结果表!E107</f>
        <v>3.房地产抵押价值</v>
      </c>
      <c r="C13" s="1969" t="s">
        <v>1623</v>
      </c>
      <c r="D13" s="1046">
        <f ca="1">结果表!H107</f>
        <v>119535</v>
      </c>
      <c r="E13" s="1961"/>
    </row>
    <row r="14" spans="1:5" ht="15.75">
      <c r="A14" s="1961"/>
      <c r="B14" s="2968"/>
      <c r="C14" s="1964" t="s">
        <v>1624</v>
      </c>
      <c r="D14" s="1043" t="str">
        <f ca="1">NUMBERSTRING(INT(D13*10000),2)&amp;"元整"</f>
        <v>壹拾壹亿玖仟伍佰叁拾伍万元整</v>
      </c>
      <c r="E14" s="1961"/>
    </row>
    <row r="15" spans="1:5" ht="15">
      <c r="A15" s="1961"/>
      <c r="B15" s="2973"/>
      <c r="C15" s="1965" t="s">
        <v>1634</v>
      </c>
      <c r="D15" s="1055">
        <f ca="1">结果表!H108</f>
        <v>17750</v>
      </c>
      <c r="E15" s="1961"/>
    </row>
    <row r="16" spans="1:5" ht="15">
      <c r="A16" s="1961"/>
      <c r="B16" s="2974" t="str">
        <f>结果表!E109</f>
        <v>——</v>
      </c>
      <c r="C16" s="1969" t="s">
        <v>1635</v>
      </c>
      <c r="D16" s="1970" t="str">
        <f>结果表!H109</f>
        <v>——</v>
      </c>
      <c r="E16" s="1961"/>
    </row>
    <row r="17" spans="1:5" ht="15.75">
      <c r="A17" s="1961"/>
      <c r="B17" s="2975"/>
      <c r="C17" s="1964" t="s">
        <v>1636</v>
      </c>
      <c r="D17" s="1043" t="e">
        <f>NUMBERSTRING(INT(D16*10000),2)&amp;"元整"</f>
        <v>#VALUE!</v>
      </c>
      <c r="E17" s="1961"/>
    </row>
    <row r="18" spans="1:5" ht="15">
      <c r="A18" s="1961"/>
      <c r="B18" s="2976"/>
      <c r="C18" s="1965" t="s">
        <v>1625</v>
      </c>
      <c r="D18" s="1055" t="str">
        <f>结果表!H110</f>
        <v>——</v>
      </c>
      <c r="E18" s="1961"/>
    </row>
    <row r="19" spans="1:5" ht="15.75">
      <c r="A19" s="1961"/>
      <c r="B19" s="2967" t="str">
        <f>结果表!E111</f>
        <v>——</v>
      </c>
      <c r="C19" s="1969" t="s">
        <v>1623</v>
      </c>
      <c r="D19" s="1044" t="str">
        <f>结果表!H111</f>
        <v>——</v>
      </c>
      <c r="E19" s="1961"/>
    </row>
    <row r="20" spans="1:5" ht="15.75">
      <c r="A20" s="1961"/>
      <c r="B20" s="2968"/>
      <c r="C20" s="1964" t="s">
        <v>1636</v>
      </c>
      <c r="D20" s="1043" t="e">
        <f>NUMBERSTRING(INT(D19*10000),2)&amp;"元整"</f>
        <v>#VALUE!</v>
      </c>
      <c r="E20" s="1961"/>
    </row>
    <row r="21" spans="1:5" ht="15.75" thickBot="1">
      <c r="A21" s="1961"/>
      <c r="B21" s="2969"/>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33312</v>
      </c>
      <c r="C2" s="2" t="s">
        <v>133</v>
      </c>
      <c r="D2" s="243"/>
      <c r="E2" s="243"/>
      <c r="F2" s="243"/>
      <c r="G2" s="243"/>
    </row>
    <row r="3" spans="1:7" s="244" customFormat="1" ht="18" customHeight="1" thickBot="1">
      <c r="A3" s="247" t="s">
        <v>85</v>
      </c>
      <c r="B3" s="248">
        <f ca="1">ROUND(B2*10000/'数据-汇总表'!E3,0)</f>
        <v>4947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1575</v>
      </c>
      <c r="D9" s="1035">
        <f>'数据-汇总表'!E5</f>
        <v>54311.28</v>
      </c>
      <c r="E9" s="269">
        <f>'数据-取费表'!B27</f>
        <v>290</v>
      </c>
      <c r="F9" s="265"/>
      <c r="G9" s="270"/>
    </row>
    <row r="10" spans="1:7" s="258" customFormat="1" ht="13.5" customHeight="1">
      <c r="A10" s="953" t="s">
        <v>801</v>
      </c>
      <c r="B10" s="268" t="s">
        <v>94</v>
      </c>
      <c r="C10" s="269">
        <f>ROUND(D10*E10/10000,0)</f>
        <v>417</v>
      </c>
      <c r="D10" s="1035">
        <f>'数据-汇总表'!E6</f>
        <v>13030.5</v>
      </c>
      <c r="E10" s="269">
        <f>'数据-取费表'!B28</f>
        <v>320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606</v>
      </c>
      <c r="D19" s="1039">
        <f>'数据-汇总表'!E3</f>
        <v>67341.78</v>
      </c>
      <c r="E19" s="255">
        <f>'数据-取费表'!B31</f>
        <v>90</v>
      </c>
      <c r="F19" s="275"/>
      <c r="G19" s="1" t="s">
        <v>1074</v>
      </c>
    </row>
    <row r="20" spans="1:7" s="258" customFormat="1" ht="13.5" customHeight="1">
      <c r="A20" s="951" t="s">
        <v>1057</v>
      </c>
      <c r="B20" s="254" t="s">
        <v>104</v>
      </c>
      <c r="C20" s="276">
        <f>ROUND((C5+C19)*F20,0)</f>
        <v>424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811</v>
      </c>
      <c r="D22" s="279">
        <f ca="1">C26</f>
        <v>4.0000000000000002E-4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780</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23</v>
      </c>
      <c r="D24" s="282"/>
      <c r="E24" s="282"/>
      <c r="F24" s="283"/>
      <c r="G24" s="284" t="s">
        <v>109</v>
      </c>
    </row>
    <row r="25" spans="1:7" s="258" customFormat="1" ht="24">
      <c r="A25" s="954" t="s">
        <v>793</v>
      </c>
      <c r="B25" s="259" t="s">
        <v>1058</v>
      </c>
      <c r="C25" s="1358">
        <f ca="1">ROUND(IF('数据-取费表'!B22&lt;=1,C20*F22*'数据-取费表'!B23/2,C20*(POWER((1+F22),'数据-取费表'!B23/2)-1)),0)</f>
        <v>8</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485</v>
      </c>
      <c r="D27" s="279">
        <f>C29</f>
        <v>4.0000000000000002E-4</v>
      </c>
      <c r="E27" s="280" t="s">
        <v>126</v>
      </c>
      <c r="F27" s="290">
        <f>'数据-取费表'!Q16</f>
        <v>7.0000000000000007E-2</v>
      </c>
      <c r="G27" s="291" t="s">
        <v>1069</v>
      </c>
    </row>
    <row r="28" spans="1:7" s="258" customFormat="1" ht="13.5" customHeight="1">
      <c r="A28" s="954" t="s">
        <v>794</v>
      </c>
      <c r="B28" s="292" t="s">
        <v>1062</v>
      </c>
      <c r="C28" s="293">
        <f>ROUND((C5+C19+C20)*F27*'数据-取费表'!B21/'数据-取费表'!B20,0)</f>
        <v>485</v>
      </c>
      <c r="D28" s="279"/>
      <c r="E28" s="280"/>
      <c r="F28" s="290"/>
      <c r="G28" s="291"/>
    </row>
    <row r="29" spans="1:7" s="258" customFormat="1" ht="13.5" customHeight="1">
      <c r="A29" s="954" t="s">
        <v>792</v>
      </c>
      <c r="B29" s="292" t="s">
        <v>1063</v>
      </c>
      <c r="C29" s="282">
        <f>ROUND(C21*F27*'数据-取费表'!B21/'数据-取费表'!B20,4)</f>
        <v>4.0000000000000002E-4</v>
      </c>
      <c r="D29" s="279"/>
      <c r="E29" s="280"/>
      <c r="F29" s="290"/>
      <c r="G29" s="291"/>
    </row>
    <row r="30" spans="1:7" s="258" customFormat="1" ht="13.5" customHeight="1">
      <c r="A30" s="951"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24785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7097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6112</v>
      </c>
      <c r="D34" s="261"/>
      <c r="E34" s="264"/>
      <c r="F34" s="301">
        <f>IF('数据-取费表'!B24=0,1,'数据-取费表'!N16)</f>
        <v>0.33300000000000002</v>
      </c>
      <c r="G34" s="263" t="s">
        <v>116</v>
      </c>
    </row>
    <row r="35" spans="1:7" ht="13.5" customHeight="1">
      <c r="A35" s="954" t="s">
        <v>796</v>
      </c>
      <c r="B35" s="259" t="s">
        <v>60</v>
      </c>
      <c r="C35" s="264">
        <f>ROUND(C34*F35,0)</f>
        <v>183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262</v>
      </c>
      <c r="D36" s="264"/>
      <c r="E36" s="264"/>
      <c r="F36" s="303">
        <f>'数据-取费表'!B34</f>
        <v>0.05</v>
      </c>
      <c r="G36" s="304" t="s">
        <v>62</v>
      </c>
    </row>
    <row r="37" spans="1:7" s="302" customFormat="1" ht="13.5" customHeight="1">
      <c r="A37" s="954" t="s">
        <v>798</v>
      </c>
      <c r="B37" s="259" t="s">
        <v>118</v>
      </c>
      <c r="C37" s="293">
        <f>ROUND(E37*D37*F34/10000,0)</f>
        <v>448</v>
      </c>
      <c r="D37" s="261">
        <f>'数据-汇总表'!E3</f>
        <v>67341.78</v>
      </c>
      <c r="E37" s="293">
        <f>'数据-取费表'!B35</f>
        <v>200</v>
      </c>
      <c r="F37" s="303"/>
      <c r="G37" s="305" t="s">
        <v>119</v>
      </c>
    </row>
    <row r="38" spans="1:7" ht="13.5" customHeight="1">
      <c r="A38" s="954" t="s">
        <v>799</v>
      </c>
      <c r="B38" s="259" t="s">
        <v>63</v>
      </c>
      <c r="C38" s="264">
        <f>ROUND(C34*F38,0)</f>
        <v>92</v>
      </c>
      <c r="D38" s="264"/>
      <c r="E38" s="264"/>
      <c r="F38" s="303">
        <f>'数据-取费表'!B36</f>
        <v>1.4999999999999999E-2</v>
      </c>
      <c r="G38" s="263" t="s">
        <v>117</v>
      </c>
    </row>
    <row r="39" spans="1:7" s="258" customFormat="1" ht="13.5" customHeight="1">
      <c r="A39" s="951" t="s">
        <v>783</v>
      </c>
      <c r="B39" s="254" t="s">
        <v>104</v>
      </c>
      <c r="C39" s="276">
        <f>ROUND(C33*F20,0)</f>
        <v>142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136</v>
      </c>
      <c r="D41" s="279">
        <f ca="1">C44</f>
        <v>4.0000000000000002E-4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133</v>
      </c>
      <c r="D42" s="282"/>
      <c r="E42" s="282"/>
      <c r="F42" s="283"/>
      <c r="G42" s="3152" t="s">
        <v>121</v>
      </c>
    </row>
    <row r="43" spans="1:7" ht="13.5" customHeight="1">
      <c r="A43" s="954" t="s">
        <v>792</v>
      </c>
      <c r="B43" s="259" t="s">
        <v>1064</v>
      </c>
      <c r="C43" s="282">
        <f ca="1">ROUND(IF('数据-取费表'!B22&lt;=1,C39*F22*'数据-取费表'!B21/2,C39*(POWER((1+F22),'数据-取费表'!B21/2)-1)),0)</f>
        <v>3</v>
      </c>
      <c r="D43" s="282"/>
      <c r="E43" s="282"/>
      <c r="F43" s="283"/>
      <c r="G43" s="3153"/>
    </row>
    <row r="44" spans="1:7" ht="13.5" customHeight="1">
      <c r="A44" s="954" t="s">
        <v>793</v>
      </c>
      <c r="B44" s="259" t="s">
        <v>1066</v>
      </c>
      <c r="C44" s="282">
        <f ca="1">ROUND(IF('数据-取费表'!B22&lt;=1,C40*F22*'数据-取费表'!B21/2,C40*(POWER((1+F22),'数据-取费表'!B21/2)-1)),4)</f>
        <v>4.0000000000000002E-4</v>
      </c>
      <c r="D44" s="282"/>
      <c r="E44" s="282"/>
      <c r="F44" s="283"/>
      <c r="G44" s="3154"/>
    </row>
    <row r="45" spans="1:7" s="258" customFormat="1" ht="13.5" customHeight="1">
      <c r="A45" s="951" t="s">
        <v>786</v>
      </c>
      <c r="B45" s="288" t="s">
        <v>112</v>
      </c>
      <c r="C45" s="289">
        <f>C46</f>
        <v>507</v>
      </c>
      <c r="D45" s="279">
        <f>C47</f>
        <v>1.4E-3</v>
      </c>
      <c r="E45" s="280" t="s">
        <v>129</v>
      </c>
      <c r="F45" s="290"/>
      <c r="G45" s="291" t="s">
        <v>1072</v>
      </c>
    </row>
    <row r="46" spans="1:7" s="258" customFormat="1" ht="13.5" customHeight="1">
      <c r="A46" s="954" t="s">
        <v>794</v>
      </c>
      <c r="B46" s="292" t="s">
        <v>1065</v>
      </c>
      <c r="C46" s="293">
        <f>ROUND((C33+C39)*F27,0)</f>
        <v>507</v>
      </c>
      <c r="D46" s="307"/>
      <c r="E46" s="280"/>
      <c r="F46" s="290"/>
      <c r="G46" s="291"/>
    </row>
    <row r="47" spans="1:7" s="258" customFormat="1" ht="13.5" customHeight="1">
      <c r="A47" s="954" t="s">
        <v>792</v>
      </c>
      <c r="B47" s="292" t="s">
        <v>1067</v>
      </c>
      <c r="C47" s="282">
        <f>ROUND(C40*F27,4)</f>
        <v>1.4E-3</v>
      </c>
      <c r="D47" s="307"/>
      <c r="E47" s="280"/>
      <c r="F47" s="290"/>
      <c r="G47" s="291"/>
    </row>
    <row r="48" spans="1:7" s="258" customFormat="1" ht="13.5" customHeight="1">
      <c r="A48" s="951" t="s">
        <v>787</v>
      </c>
      <c r="B48" s="254" t="s">
        <v>122</v>
      </c>
      <c r="C48" s="306">
        <f>F30</f>
        <v>5.6500000000000002E-2</v>
      </c>
      <c r="D48" s="280" t="s">
        <v>130</v>
      </c>
      <c r="E48" s="276"/>
      <c r="F48" s="281"/>
      <c r="G48" s="278" t="s">
        <v>123</v>
      </c>
    </row>
    <row r="49" spans="1:7" ht="16.5" customHeight="1">
      <c r="A49" s="951" t="s">
        <v>788</v>
      </c>
      <c r="B49" s="254" t="s">
        <v>131</v>
      </c>
      <c r="C49" s="276">
        <f ca="1">ROUND((C33+C39+C41+C45)/(1-C40-D41-D45-C48/(1+'数据-取费表'!B42)),0)</f>
        <v>8527</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8527</v>
      </c>
      <c r="D51" s="276"/>
      <c r="E51" s="276"/>
      <c r="F51" s="308"/>
      <c r="G51" s="278" t="s">
        <v>64</v>
      </c>
    </row>
    <row r="52" spans="1:7" s="252" customFormat="1" ht="16.5" thickBot="1">
      <c r="A52" s="309" t="s">
        <v>65</v>
      </c>
      <c r="B52" s="310"/>
      <c r="C52" s="311">
        <f ca="1">C31+C51</f>
        <v>33312</v>
      </c>
      <c r="D52" s="310"/>
      <c r="E52" s="310"/>
      <c r="F52" s="310"/>
      <c r="G52" s="312"/>
    </row>
    <row r="55" spans="1:7" ht="15">
      <c r="B55" s="314" t="s">
        <v>66</v>
      </c>
      <c r="C55" s="315"/>
    </row>
    <row r="56" spans="1:7">
      <c r="B56" s="317" t="s">
        <v>67</v>
      </c>
      <c r="C56" s="318">
        <f ca="1">ROUND(C51/C52,3)</f>
        <v>0.25600000000000001</v>
      </c>
    </row>
    <row r="57" spans="1:7">
      <c r="B57" s="317" t="s">
        <v>68</v>
      </c>
      <c r="C57" s="319">
        <f ca="1">1-C56</f>
        <v>0.74399999999999999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871</v>
      </c>
      <c r="B1" s="329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43279</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C14" sqref="C14"/>
    </sheetView>
  </sheetViews>
  <sheetFormatPr defaultRowHeight="13.5"/>
  <cols>
    <col min="2" max="2" width="25.625" customWidth="1"/>
    <col min="3" max="3" width="29.375" customWidth="1"/>
    <col min="4" max="4" width="12.25" customWidth="1"/>
    <col min="5" max="5" width="15" customWidth="1"/>
    <col min="6" max="6" width="13.25" customWidth="1"/>
  </cols>
  <sheetData>
    <row r="1" spans="1:6">
      <c r="A1" s="2943" t="s">
        <v>3080</v>
      </c>
      <c r="B1" s="2943" t="s">
        <v>3081</v>
      </c>
      <c r="C1" s="2943" t="s">
        <v>3082</v>
      </c>
      <c r="D1" s="2943" t="s">
        <v>3083</v>
      </c>
      <c r="E1" s="2943" t="s">
        <v>3084</v>
      </c>
      <c r="F1" s="2943" t="s">
        <v>3085</v>
      </c>
    </row>
    <row r="2" spans="1:6">
      <c r="A2" s="2944">
        <v>1</v>
      </c>
      <c r="B2" s="2943" t="s">
        <v>3086</v>
      </c>
      <c r="C2" s="2943" t="s">
        <v>3087</v>
      </c>
      <c r="D2" s="2944">
        <v>34849.86</v>
      </c>
      <c r="E2" s="2944">
        <v>33934.39</v>
      </c>
      <c r="F2" s="2944">
        <v>915.47</v>
      </c>
    </row>
    <row r="3" spans="1:6">
      <c r="A3" s="2944">
        <v>2</v>
      </c>
      <c r="B3" s="2943" t="s">
        <v>3088</v>
      </c>
      <c r="C3" s="2943" t="s">
        <v>3089</v>
      </c>
      <c r="D3" s="2944">
        <v>6250.46</v>
      </c>
      <c r="E3" s="2944">
        <v>5754.26</v>
      </c>
      <c r="F3" s="2944">
        <v>496.2</v>
      </c>
    </row>
    <row r="4" spans="1:6">
      <c r="A4" s="2944">
        <v>3</v>
      </c>
      <c r="B4" s="2943" t="s">
        <v>3090</v>
      </c>
      <c r="C4" s="2943" t="s">
        <v>3091</v>
      </c>
      <c r="D4" s="2944">
        <v>15212.87</v>
      </c>
      <c r="E4" s="2944">
        <v>14816.63</v>
      </c>
      <c r="F4" s="2944">
        <v>396.24</v>
      </c>
    </row>
    <row r="5" spans="1:6">
      <c r="A5" s="2944">
        <v>4</v>
      </c>
      <c r="B5" s="2943" t="s">
        <v>3092</v>
      </c>
      <c r="C5" s="2943" t="s">
        <v>3093</v>
      </c>
      <c r="D5" s="2944">
        <v>8387.2000000000007</v>
      </c>
      <c r="E5" s="2944">
        <v>0</v>
      </c>
      <c r="F5" s="2944">
        <v>8387.2000000000007</v>
      </c>
    </row>
    <row r="6" spans="1:6">
      <c r="A6" s="2944">
        <v>5</v>
      </c>
      <c r="B6" s="2943" t="s">
        <v>3094</v>
      </c>
      <c r="C6" s="2943" t="s">
        <v>3095</v>
      </c>
      <c r="D6" s="2944">
        <v>2641.39</v>
      </c>
      <c r="E6" s="2944">
        <v>499.06</v>
      </c>
      <c r="F6" s="2944">
        <v>2142.33</v>
      </c>
    </row>
    <row r="7" spans="1:6">
      <c r="A7" s="2944"/>
      <c r="B7" s="2944"/>
      <c r="C7" s="2944"/>
      <c r="D7" s="2944">
        <f>SUM(D2:D6)</f>
        <v>67341.78</v>
      </c>
      <c r="E7" s="2944">
        <f>SUM(E2:E6)</f>
        <v>55004.34</v>
      </c>
      <c r="F7" s="2944">
        <f>SUM(F2:F6)</f>
        <v>12337.44</v>
      </c>
    </row>
    <row r="10" spans="1:6">
      <c r="B10" s="2945" t="s">
        <v>3096</v>
      </c>
    </row>
    <row r="11" spans="1:6">
      <c r="B11" s="2945" t="s">
        <v>3097</v>
      </c>
      <c r="C11">
        <v>106984.7</v>
      </c>
    </row>
    <row r="12" spans="1:6">
      <c r="B12" s="2945" t="s">
        <v>3098</v>
      </c>
      <c r="C12">
        <v>262102.71</v>
      </c>
    </row>
    <row r="13" spans="1:6">
      <c r="B13" s="2945" t="s">
        <v>3099</v>
      </c>
      <c r="C13">
        <f>E7</f>
        <v>55004.34</v>
      </c>
    </row>
    <row r="14" spans="1:6">
      <c r="B14" s="2945" t="s">
        <v>3100</v>
      </c>
      <c r="C14">
        <f>ROUND(C13/C12*C11,2)</f>
        <v>22451.59</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1641</v>
      </c>
      <c r="B2" s="2987" t="s">
        <v>1642</v>
      </c>
      <c r="C2" s="2987" t="s">
        <v>1643</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1"/>
      <c r="B3" s="2981"/>
      <c r="C3" s="2981"/>
      <c r="D3" s="1047" t="s">
        <v>1638</v>
      </c>
      <c r="E3" s="1047" t="s">
        <v>1644</v>
      </c>
      <c r="F3" s="1047" t="s">
        <v>1638</v>
      </c>
      <c r="G3" s="1047" t="s">
        <v>1639</v>
      </c>
      <c r="H3" s="1047" t="s">
        <v>1638</v>
      </c>
      <c r="I3" s="1047" t="s">
        <v>1639</v>
      </c>
    </row>
    <row r="4" spans="1:9" ht="15">
      <c r="A4" s="1975" t="e">
        <f>项目基本情况!S2</f>
        <v>#REF!</v>
      </c>
      <c r="B4" s="1047">
        <f>项目基本情况!C17</f>
        <v>67341.78</v>
      </c>
      <c r="C4" s="1047">
        <f>项目基本情况!C18</f>
        <v>22451.59</v>
      </c>
      <c r="D4" s="1047">
        <f ca="1">结果表!D118</f>
        <v>111168</v>
      </c>
      <c r="E4" s="1047">
        <f ca="1">结果表!E118</f>
        <v>16508</v>
      </c>
      <c r="F4" s="1047">
        <f ca="1">结果表!F118</f>
        <v>8367</v>
      </c>
      <c r="G4" s="1047">
        <f ca="1">结果表!G118</f>
        <v>1242</v>
      </c>
      <c r="H4" s="1047">
        <f ca="1">结果表!H118</f>
        <v>119535</v>
      </c>
      <c r="I4" s="1047">
        <f ca="1">结果表!I118</f>
        <v>17750</v>
      </c>
    </row>
    <row r="5" spans="1:9" ht="30" customHeight="1">
      <c r="A5" s="2981" t="s">
        <v>1640</v>
      </c>
      <c r="B5" s="2981"/>
      <c r="C5" s="2981"/>
      <c r="D5" s="2982" t="str">
        <f ca="1">结果表!D119</f>
        <v>壹拾壹亿壹仟壹佰陆拾捌万元整</v>
      </c>
      <c r="E5" s="2982"/>
      <c r="F5" s="2982" t="str">
        <f ca="1">结果表!F119</f>
        <v>捌仟叁佰陆拾柒万元整</v>
      </c>
      <c r="G5" s="2982"/>
      <c r="H5" s="2982" t="str">
        <f ca="1">结果表!H119</f>
        <v>壹拾壹亿玖仟伍佰叁拾伍万元整</v>
      </c>
      <c r="I5" s="2982"/>
    </row>
    <row r="6" spans="1:9" ht="15.75">
      <c r="A6" s="2980" t="str">
        <f>结果表!A120</f>
        <v>估价师知悉的法定优先受偿款</v>
      </c>
      <c r="B6" s="2980"/>
      <c r="C6" s="2980"/>
      <c r="D6" s="2980">
        <f>结果表!D120</f>
        <v>0</v>
      </c>
      <c r="E6" s="2980"/>
      <c r="F6" s="2980"/>
      <c r="G6" s="2980"/>
      <c r="H6" s="2980"/>
      <c r="I6" s="2980"/>
    </row>
    <row r="7" spans="1:9" ht="15">
      <c r="A7" s="2981" t="s">
        <v>1640</v>
      </c>
      <c r="B7" s="2981"/>
      <c r="C7" s="2981"/>
      <c r="D7" s="2983" t="str">
        <f>结果表!D121</f>
        <v>零元整</v>
      </c>
      <c r="E7" s="2984"/>
      <c r="F7" s="2984"/>
      <c r="G7" s="2984"/>
      <c r="H7" s="2984"/>
      <c r="I7" s="2985"/>
    </row>
    <row r="8" spans="1:9" ht="15.75">
      <c r="A8" s="2980" t="str">
        <f>结果表!A122</f>
        <v>房地产抵押价值</v>
      </c>
      <c r="B8" s="2980"/>
      <c r="C8" s="2980"/>
      <c r="D8" s="2980">
        <f ca="1">结果表!D122</f>
        <v>119535</v>
      </c>
      <c r="E8" s="2980"/>
      <c r="F8" s="2980"/>
      <c r="G8" s="2980"/>
      <c r="H8" s="2980"/>
      <c r="I8" s="2980"/>
    </row>
    <row r="9" spans="1:9" ht="15">
      <c r="A9" s="2981" t="s">
        <v>1640</v>
      </c>
      <c r="B9" s="2981"/>
      <c r="C9" s="2981"/>
      <c r="D9" s="2982" t="str">
        <f ca="1">结果表!D123</f>
        <v>壹拾壹亿玖仟伍佰叁拾伍万元整</v>
      </c>
      <c r="E9" s="2982"/>
      <c r="F9" s="2982"/>
      <c r="G9" s="2982"/>
      <c r="H9" s="2982"/>
      <c r="I9" s="2982"/>
    </row>
    <row r="10" spans="1:9" ht="15.75">
      <c r="A10" s="2980" t="str">
        <f>结果表!A124</f>
        <v/>
      </c>
      <c r="B10" s="2980"/>
      <c r="C10" s="2980"/>
      <c r="D10" s="2980" t="str">
        <f>结果表!D124</f>
        <v>——</v>
      </c>
      <c r="E10" s="2980"/>
      <c r="F10" s="2980"/>
      <c r="G10" s="2980"/>
      <c r="H10" s="2980"/>
      <c r="I10" s="2980"/>
    </row>
    <row r="11" spans="1:9" ht="15">
      <c r="A11" s="2981" t="s">
        <v>1640</v>
      </c>
      <c r="B11" s="2981"/>
      <c r="C11" s="2981"/>
      <c r="D11" s="2982" t="e">
        <f>结果表!D125</f>
        <v>#VALUE!</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1640</v>
      </c>
      <c r="B13" s="2977"/>
      <c r="C13" s="2977"/>
      <c r="D13" s="2978" t="e">
        <f>结果表!D127</f>
        <v>#VALUE!</v>
      </c>
      <c r="E13" s="2978"/>
      <c r="F13" s="2978"/>
      <c r="G13" s="2978"/>
      <c r="H13" s="2978"/>
      <c r="I13" s="2978"/>
    </row>
    <row r="14" spans="1:9" ht="15" thickTop="1">
      <c r="A14" s="2979" t="s">
        <v>1645</v>
      </c>
      <c r="B14" s="2979"/>
      <c r="C14" s="2979"/>
      <c r="D14" s="2979"/>
      <c r="E14" s="2979"/>
      <c r="F14" s="2979"/>
      <c r="G14" s="2979"/>
      <c r="H14" s="2979"/>
      <c r="I14" s="2979"/>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4" t="s">
        <v>1662</v>
      </c>
      <c r="B1" s="2994"/>
      <c r="C1" s="2994"/>
      <c r="D1" s="2994"/>
    </row>
    <row r="2" spans="1:4" ht="18">
      <c r="A2" s="2995" t="s">
        <v>1646</v>
      </c>
      <c r="B2" s="2995"/>
      <c r="C2" s="2995"/>
      <c r="D2" s="2995"/>
    </row>
    <row r="3" spans="1:4" ht="18.75">
      <c r="A3" s="1979" t="s">
        <v>1647</v>
      </c>
      <c r="B3" s="1979" t="s">
        <v>1648</v>
      </c>
      <c r="C3" s="1979" t="s">
        <v>1649</v>
      </c>
      <c r="D3" s="1979" t="s">
        <v>1650</v>
      </c>
    </row>
    <row r="4" spans="1:4" ht="56.25" customHeight="1">
      <c r="A4" s="1980" t="str">
        <f>项目基本情况!B4</f>
        <v>刘梅</v>
      </c>
      <c r="B4" s="1981">
        <f ca="1">项目基本情况!C4</f>
        <v>1120140022</v>
      </c>
      <c r="C4" s="1982"/>
      <c r="D4" s="1983" t="s">
        <v>1651</v>
      </c>
    </row>
    <row r="5" spans="1:4" ht="56.25" customHeight="1">
      <c r="A5" s="1980" t="str">
        <f>项目基本情况!D4</f>
        <v>吴薇</v>
      </c>
      <c r="B5" s="1981">
        <f ca="1">项目基本情况!E4</f>
        <v>1419970001</v>
      </c>
      <c r="C5" s="1984"/>
      <c r="D5" s="1983" t="s">
        <v>1651</v>
      </c>
    </row>
    <row r="6" spans="1:4" ht="18">
      <c r="A6" s="2995" t="s">
        <v>1652</v>
      </c>
      <c r="B6" s="2995"/>
      <c r="C6" s="2995"/>
      <c r="D6" s="2995"/>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96" t="s">
        <v>1655</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不动产权证书》原件、，截至价值时点，估价对象已设定抵押。上述抵押权设定日期为2017年5月19日，权利人为资阳民生村镇股份有限公司，权利范围为资阳民生村镇股份有限公司，权利价值为310000万元。</v>
      </c>
      <c r="B15" s="2988"/>
      <c r="C15" s="2988"/>
      <c r="D15" s="2988"/>
    </row>
    <row r="16" spans="1:4" ht="30" customHeight="1">
      <c r="A16" s="2990" t="s">
        <v>1656</v>
      </c>
      <c r="B16" s="2990"/>
      <c r="C16" s="2990"/>
      <c r="D16" s="2990"/>
    </row>
    <row r="17" spans="1:4" ht="144" customHeight="1">
      <c r="A17" s="2990" t="s">
        <v>1657</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1"/>
      <c r="C21" s="2991"/>
      <c r="D21" s="2991"/>
    </row>
    <row r="22" spans="1:4" ht="18.75" customHeight="1">
      <c r="A22" s="2992" t="s">
        <v>1658</v>
      </c>
      <c r="B22" s="2992"/>
      <c r="C22" s="2992"/>
      <c r="D22" s="2992"/>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2" t="s">
        <v>1669</v>
      </c>
      <c r="B15" s="2997" t="s">
        <v>136</v>
      </c>
      <c r="C15" s="2998"/>
    </row>
    <row r="16" spans="1:7" ht="13.5">
      <c r="A16" s="3003"/>
      <c r="B16" s="2997" t="s">
        <v>69</v>
      </c>
      <c r="C16" s="2998"/>
    </row>
    <row r="17" spans="1:3" ht="13.5">
      <c r="A17" s="3003"/>
      <c r="B17" s="3000" t="s">
        <v>1670</v>
      </c>
      <c r="C17" s="2002" t="s">
        <v>1669</v>
      </c>
    </row>
    <row r="18" spans="1:3" ht="13.5">
      <c r="A18" s="3003"/>
      <c r="B18" s="3000"/>
      <c r="C18" s="2002" t="s">
        <v>1671</v>
      </c>
    </row>
    <row r="19" spans="1:3" ht="13.5">
      <c r="A19" s="3003"/>
      <c r="B19" s="3000"/>
      <c r="C19" s="2002" t="s">
        <v>1672</v>
      </c>
    </row>
    <row r="20" spans="1:3" ht="13.5">
      <c r="A20" s="3004"/>
      <c r="B20" s="2999" t="s">
        <v>1673</v>
      </c>
      <c r="C20" s="2998"/>
    </row>
    <row r="21" spans="1:3" ht="13.5">
      <c r="A21" s="2003" t="s">
        <v>1674</v>
      </c>
      <c r="B21" s="2004"/>
      <c r="C21" s="2005"/>
    </row>
    <row r="22" spans="1:3" ht="13.5">
      <c r="A22" s="3001" t="s">
        <v>1675</v>
      </c>
      <c r="B22" s="2999" t="s">
        <v>1676</v>
      </c>
      <c r="C22" s="2998"/>
    </row>
    <row r="23" spans="1:3" ht="13.5">
      <c r="A23" s="3001"/>
      <c r="B23" s="2999" t="s">
        <v>1677</v>
      </c>
      <c r="C23" s="2998"/>
    </row>
    <row r="24" spans="1:3" ht="13.5">
      <c r="A24" s="3001"/>
      <c r="B24" s="2999" t="s">
        <v>1678</v>
      </c>
      <c r="C24" s="2998"/>
    </row>
    <row r="25" spans="1:3" ht="13.5">
      <c r="A25" s="3001"/>
      <c r="B25" s="3000" t="s">
        <v>1679</v>
      </c>
      <c r="C25" s="2002" t="s">
        <v>1680</v>
      </c>
    </row>
    <row r="26" spans="1:3" ht="13.5">
      <c r="A26" s="3001"/>
      <c r="B26" s="3000"/>
      <c r="C26" s="2002" t="s">
        <v>1681</v>
      </c>
    </row>
    <row r="27" spans="1:3" ht="13.5">
      <c r="A27" s="3001"/>
      <c r="B27" s="3000"/>
      <c r="C27" s="2002" t="s">
        <v>1682</v>
      </c>
    </row>
    <row r="28" spans="1:3" ht="13.5">
      <c r="A28" s="3001"/>
      <c r="B28" s="3000"/>
      <c r="C28" s="2002" t="s">
        <v>1683</v>
      </c>
    </row>
    <row r="29" spans="1:3" ht="13.5">
      <c r="A29" s="3001"/>
      <c r="B29" s="3000"/>
      <c r="C29" s="2002" t="s">
        <v>1684</v>
      </c>
    </row>
    <row r="30" spans="1:3" ht="13.5">
      <c r="A30" s="3001"/>
      <c r="B30" s="3000"/>
      <c r="C30" s="2002" t="s">
        <v>1685</v>
      </c>
    </row>
    <row r="31" spans="1:3" ht="13.5">
      <c r="A31" s="3001"/>
      <c r="B31" s="3000"/>
      <c r="C31" s="2002" t="s">
        <v>1686</v>
      </c>
    </row>
    <row r="32" spans="1:3" ht="13.5">
      <c r="A32" s="3001"/>
      <c r="B32" s="3000"/>
      <c r="C32" s="2002" t="s">
        <v>1687</v>
      </c>
    </row>
    <row r="33" spans="1:3" ht="13.5">
      <c r="A33" s="3001"/>
      <c r="B33" s="3000"/>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43326</v>
      </c>
      <c r="C2" s="1022" t="s">
        <v>826</v>
      </c>
      <c r="D2" s="1022"/>
    </row>
    <row r="3" spans="1:6" ht="24" customHeight="1">
      <c r="A3" s="1023" t="s">
        <v>827</v>
      </c>
      <c r="B3" s="1024" t="s">
        <v>828</v>
      </c>
      <c r="C3" s="2341" t="s">
        <v>829</v>
      </c>
      <c r="D3" s="2344" t="s">
        <v>830</v>
      </c>
      <c r="E3" s="1025" t="s">
        <v>831</v>
      </c>
      <c r="F3" s="1024" t="s">
        <v>829</v>
      </c>
    </row>
    <row r="4" spans="1:6" ht="24" customHeight="1">
      <c r="A4" s="1704" t="s">
        <v>832</v>
      </c>
      <c r="B4" s="1025">
        <f ca="1">IF(C4&lt;B2,"已过期",1119970066)</f>
        <v>1119970066</v>
      </c>
      <c r="C4" s="2342">
        <v>43849</v>
      </c>
      <c r="D4" s="2345" t="s">
        <v>832</v>
      </c>
      <c r="E4" s="1025">
        <f ca="1">IF(F4&lt;B2,"已过期",96010014)</f>
        <v>96010014</v>
      </c>
      <c r="F4" s="1033">
        <v>47118</v>
      </c>
    </row>
    <row r="5" spans="1:6" ht="24" customHeight="1">
      <c r="A5" s="1704" t="s">
        <v>833</v>
      </c>
      <c r="B5" s="1025">
        <f ca="1">IF(C5&lt;B2,"已过期",1119970074)</f>
        <v>1119970074</v>
      </c>
      <c r="C5" s="2342">
        <v>43849</v>
      </c>
      <c r="D5" s="2345" t="s">
        <v>833</v>
      </c>
      <c r="E5" s="1025">
        <f ca="1">IF(F5&lt;B2,"已过期",2002110027)</f>
        <v>2002110027</v>
      </c>
      <c r="F5" s="1033">
        <v>46752</v>
      </c>
    </row>
    <row r="6" spans="1:6" ht="24" customHeight="1">
      <c r="A6" s="1704" t="s">
        <v>834</v>
      </c>
      <c r="B6" s="1025">
        <f ca="1">IF(C6&lt;B2,"已过期",1119970111)</f>
        <v>1119970111</v>
      </c>
      <c r="C6" s="2342">
        <v>43849</v>
      </c>
      <c r="D6" s="2345" t="s">
        <v>834</v>
      </c>
      <c r="E6" s="1025">
        <f ca="1">IF(F6&lt;B2,"已过期",94010078)</f>
        <v>94010078</v>
      </c>
      <c r="F6" s="1033">
        <v>46387</v>
      </c>
    </row>
    <row r="7" spans="1:6" ht="24" customHeight="1">
      <c r="A7" s="1704" t="s">
        <v>835</v>
      </c>
      <c r="B7" s="1025">
        <f ca="1">IF(C7&lt;B2,"已过期",1120050019)</f>
        <v>1120050019</v>
      </c>
      <c r="C7" s="2342">
        <v>43359</v>
      </c>
      <c r="D7" s="2345" t="s">
        <v>835</v>
      </c>
      <c r="E7" s="1025">
        <f ca="1">IF(F7&lt;B2,"已过期",2002110030)</f>
        <v>2002110030</v>
      </c>
      <c r="F7" s="1033">
        <v>46387</v>
      </c>
    </row>
    <row r="8" spans="1:6" ht="24" customHeight="1">
      <c r="A8" s="1704" t="s">
        <v>836</v>
      </c>
      <c r="B8" s="1025">
        <f ca="1">IF(C8&lt;B2,"已过期",1120000080)</f>
        <v>1120000080</v>
      </c>
      <c r="C8" s="2342">
        <v>43849</v>
      </c>
      <c r="D8" s="2345" t="s">
        <v>836</v>
      </c>
      <c r="E8" s="1025">
        <f ca="1">IF(F8&lt;B2,"已过期",2000110082)</f>
        <v>2000110082</v>
      </c>
      <c r="F8" s="1033">
        <v>46387</v>
      </c>
    </row>
    <row r="9" spans="1:6" ht="24" customHeight="1">
      <c r="A9" s="1704" t="s">
        <v>837</v>
      </c>
      <c r="B9" s="1025">
        <f ca="1">IF(C9&lt;B2,"已过期",1419970001)</f>
        <v>1419970001</v>
      </c>
      <c r="C9" s="2342">
        <v>43867</v>
      </c>
      <c r="D9" s="2345" t="s">
        <v>837</v>
      </c>
      <c r="E9" s="1025">
        <f ca="1">IF(F9&lt;B2,"已过期",2002110125)</f>
        <v>2002110125</v>
      </c>
      <c r="F9" s="1033">
        <v>47118</v>
      </c>
    </row>
    <row r="10" spans="1:6" ht="24" customHeight="1">
      <c r="A10" s="1704" t="s">
        <v>838</v>
      </c>
      <c r="B10" s="1025">
        <f ca="1">IF(C10&lt;B2,"已过期",1120060040)</f>
        <v>1120060040</v>
      </c>
      <c r="C10" s="2342">
        <v>43483</v>
      </c>
      <c r="D10" s="2345" t="s">
        <v>838</v>
      </c>
      <c r="E10" s="1025">
        <f ca="1">IF(F10&lt;B2,"已过期",2004110096)</f>
        <v>2004110096</v>
      </c>
      <c r="F10" s="1033">
        <v>47118</v>
      </c>
    </row>
    <row r="11" spans="1:6" ht="24" customHeight="1">
      <c r="A11" s="1704" t="s">
        <v>839</v>
      </c>
      <c r="B11" s="1025">
        <f ca="1">IF(C11&lt;B2,"已过期",1120100036)</f>
        <v>1120100036</v>
      </c>
      <c r="C11" s="2342">
        <v>43622</v>
      </c>
      <c r="D11" s="2345" t="s">
        <v>839</v>
      </c>
      <c r="E11" s="1025">
        <f ca="1">IF(F11&lt;B2,"已过期",2010110070)</f>
        <v>2010110070</v>
      </c>
      <c r="F11" s="1033">
        <v>47907</v>
      </c>
    </row>
    <row r="12" spans="1:6" ht="24" customHeight="1">
      <c r="A12" s="1704" t="s">
        <v>3038</v>
      </c>
      <c r="B12" s="1025">
        <v>1120110054</v>
      </c>
      <c r="C12" s="2935">
        <v>43937</v>
      </c>
      <c r="D12" s="1704" t="s">
        <v>3038</v>
      </c>
      <c r="E12" s="1025">
        <v>2008110060</v>
      </c>
      <c r="F12" s="1033">
        <v>47177</v>
      </c>
    </row>
    <row r="13" spans="1:6" ht="24" customHeight="1">
      <c r="A13" s="1704" t="s">
        <v>840</v>
      </c>
      <c r="B13" s="1025">
        <f ca="1">IF(C13&lt;B2,"已过期",1120070131)</f>
        <v>1120070131</v>
      </c>
      <c r="C13" s="2342">
        <v>43814</v>
      </c>
      <c r="D13" s="2345" t="s">
        <v>840</v>
      </c>
      <c r="E13" s="1025">
        <v>2014110011</v>
      </c>
      <c r="F13" s="1033">
        <v>49302</v>
      </c>
    </row>
    <row r="14" spans="1:6" ht="24" customHeight="1">
      <c r="A14" s="1704" t="s">
        <v>841</v>
      </c>
      <c r="B14" s="1025">
        <f ca="1">IF(C14&lt;B2,"已过期",1120130020)</f>
        <v>1120130020</v>
      </c>
      <c r="C14" s="2342">
        <v>43622</v>
      </c>
      <c r="D14" s="2345"/>
      <c r="E14" s="1025"/>
      <c r="F14" s="1025"/>
    </row>
    <row r="15" spans="1:6" ht="24" customHeight="1">
      <c r="A15" s="1705" t="s">
        <v>1149</v>
      </c>
      <c r="B15" s="1025">
        <v>1120070085</v>
      </c>
      <c r="C15" s="2342">
        <v>43814</v>
      </c>
      <c r="D15" s="2346" t="s">
        <v>1149</v>
      </c>
      <c r="E15" s="1025">
        <v>2004110128</v>
      </c>
      <c r="F15" s="1026">
        <v>47118</v>
      </c>
    </row>
    <row r="16" spans="1:6" ht="24" customHeight="1">
      <c r="A16" s="1704" t="s">
        <v>842</v>
      </c>
      <c r="B16" s="1025">
        <f ca="1">IF(C16&lt;B2,"已过期",1120140022)</f>
        <v>1120140022</v>
      </c>
      <c r="C16" s="2342">
        <v>44029</v>
      </c>
      <c r="D16" s="2345" t="s">
        <v>842</v>
      </c>
      <c r="E16" s="1025">
        <f ca="1">IF(F16&lt;B2,"已过期",2008110059)</f>
        <v>2008110059</v>
      </c>
      <c r="F16" s="1033">
        <v>47177</v>
      </c>
    </row>
    <row r="17" spans="1:7" ht="24" customHeight="1">
      <c r="A17" s="1704"/>
      <c r="B17" s="1025"/>
      <c r="C17" s="2342"/>
      <c r="D17" s="2345"/>
      <c r="E17" s="1025"/>
      <c r="F17" s="1033"/>
    </row>
    <row r="18" spans="1:7" ht="24" customHeight="1">
      <c r="A18" s="1704"/>
      <c r="B18" s="1025"/>
      <c r="C18" s="2342"/>
      <c r="D18" s="2345"/>
      <c r="E18" s="1025"/>
      <c r="F18" s="1033"/>
    </row>
    <row r="19" spans="1:7" ht="24" customHeight="1">
      <c r="A19" s="1704"/>
      <c r="B19" s="1025"/>
      <c r="C19" s="2342"/>
      <c r="D19" s="2345"/>
      <c r="E19" s="1025"/>
      <c r="F19" s="1025"/>
    </row>
    <row r="20" spans="1:7" ht="24" customHeight="1">
      <c r="A20" s="1704"/>
      <c r="B20" s="1025"/>
      <c r="C20" s="2342"/>
      <c r="D20" s="2345"/>
      <c r="E20" s="1025"/>
      <c r="F20" s="1025"/>
    </row>
    <row r="21" spans="1:7" ht="24" customHeight="1">
      <c r="A21" s="1704"/>
      <c r="B21" s="1025"/>
      <c r="C21" s="2342"/>
      <c r="D21" s="2345" t="s">
        <v>843</v>
      </c>
      <c r="E21" s="1025">
        <f ca="1">IF(F21&lt;B2,"已过期",2011110090)</f>
        <v>2011110090</v>
      </c>
      <c r="F21" s="1033">
        <v>48302</v>
      </c>
    </row>
    <row r="22" spans="1:7" ht="24" customHeight="1">
      <c r="A22" s="1704" t="s">
        <v>844</v>
      </c>
      <c r="B22" s="1025">
        <f ca="1">IF(C22&lt;B2,"已过期",1120020033)</f>
        <v>1120020033</v>
      </c>
      <c r="C22" s="2935">
        <v>44339</v>
      </c>
      <c r="D22" s="2345" t="s">
        <v>844</v>
      </c>
      <c r="E22" s="1025">
        <f ca="1">IF(F22&lt;B2,"已过期",2000110137)</f>
        <v>2000110137</v>
      </c>
      <c r="F22" s="1033">
        <v>46387</v>
      </c>
    </row>
    <row r="23" spans="1:7" ht="24" customHeight="1">
      <c r="A23" s="1704" t="s">
        <v>845</v>
      </c>
      <c r="B23" s="1025">
        <f ca="1">IF(C23&lt;B2,"已过期",1120130048)</f>
        <v>1120130048</v>
      </c>
      <c r="C23" s="2342">
        <v>43686</v>
      </c>
      <c r="D23" s="2345"/>
      <c r="E23" s="1025"/>
      <c r="F23" s="1025"/>
    </row>
    <row r="24" spans="1:7" s="1027" customFormat="1" ht="24" customHeight="1">
      <c r="A24" s="1705" t="s">
        <v>1333</v>
      </c>
      <c r="B24" s="1705" t="s">
        <v>1333</v>
      </c>
      <c r="C24" s="2343" t="s">
        <v>1333</v>
      </c>
      <c r="D24" s="2346" t="s">
        <v>1333</v>
      </c>
      <c r="E24" s="1705" t="s">
        <v>1333</v>
      </c>
      <c r="F24" s="1705" t="s">
        <v>1333</v>
      </c>
    </row>
    <row r="25" spans="1:7" ht="24" customHeight="1">
      <c r="A25" s="3005" t="s">
        <v>846</v>
      </c>
      <c r="B25" s="3005"/>
      <c r="C25" s="3005"/>
      <c r="D25" s="3005"/>
      <c r="E25" s="3005"/>
      <c r="F25" s="3005"/>
      <c r="G25" s="3005"/>
    </row>
    <row r="26" spans="1:7" s="1028" customFormat="1" ht="24" customHeight="1">
      <c r="A26" s="3006" t="s">
        <v>847</v>
      </c>
      <c r="B26" s="3006"/>
      <c r="C26" s="3007"/>
      <c r="D26" s="3008" t="s">
        <v>848</v>
      </c>
      <c r="E26" s="3006"/>
      <c r="F26" s="3006"/>
    </row>
    <row r="27" spans="1:7" s="1030" customFormat="1" ht="24" customHeight="1">
      <c r="A27" s="1029" t="s">
        <v>849</v>
      </c>
      <c r="B27" s="1024" t="s">
        <v>850</v>
      </c>
      <c r="C27" s="2341" t="s">
        <v>851</v>
      </c>
      <c r="D27" s="2349" t="s">
        <v>849</v>
      </c>
      <c r="E27" s="1024" t="s">
        <v>850</v>
      </c>
      <c r="F27" s="1024" t="s">
        <v>851</v>
      </c>
    </row>
    <row r="28" spans="1:7" s="1030" customFormat="1" ht="24" customHeight="1">
      <c r="A28" s="1031" t="s">
        <v>852</v>
      </c>
      <c r="B28" s="1032" t="s">
        <v>853</v>
      </c>
      <c r="C28" s="2347">
        <v>43725</v>
      </c>
      <c r="D28" s="2350" t="s">
        <v>854</v>
      </c>
      <c r="E28" s="1031" t="s">
        <v>855</v>
      </c>
      <c r="F28" s="1061">
        <v>44377</v>
      </c>
    </row>
    <row r="29" spans="1:7" s="1030" customFormat="1" ht="24" customHeight="1">
      <c r="A29" s="1031"/>
      <c r="B29" s="1031"/>
      <c r="C29" s="2348"/>
      <c r="D29" s="235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规证面积整理</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2018-08-14T10:23:03Z</dcterms:modified>
</cp:coreProperties>
</file>