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defaultThemeVersion="124226"/>
  <mc:AlternateContent xmlns:mc="http://schemas.openxmlformats.org/markup-compatibility/2006">
    <mc:Choice Requires="x15">
      <x15ac:absPath xmlns:x15ac="http://schemas.microsoft.com/office/spreadsheetml/2010/11/ac" url="C:\Users\www\Desktop\"/>
    </mc:Choice>
  </mc:AlternateContent>
  <xr:revisionPtr revIDLastSave="0" documentId="13_ncr:1_{E8A60600-A3E9-43DF-9297-93A8ABE2D28D}" xr6:coauthVersionLast="46" xr6:coauthVersionMax="46" xr10:uidLastSave="{00000000-0000-0000-0000-000000000000}"/>
  <bookViews>
    <workbookView xWindow="-120" yWindow="-120" windowWidth="38640" windowHeight="21240" tabRatio="899" firstSheet="13"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8" r:id="rId17"/>
    <sheet name="案例" sheetId="77"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29" hidden="1">'比较法-租金'!$A$1:$L$50</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9">'比较法-租金'!$A$1:$K$55,'比较法-租金'!$A$58:$M$132</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7" i="33" l="1"/>
  <c r="C34" i="34" l="1"/>
  <c r="B25" i="31" l="1"/>
  <c r="B15" i="74" s="1"/>
  <c r="B26" i="31"/>
  <c r="B16" i="74" s="1"/>
  <c r="B27" i="31"/>
  <c r="B17" i="74" s="1"/>
  <c r="B28" i="31"/>
  <c r="B18" i="74" s="1"/>
  <c r="B24" i="31"/>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c r="Q40" i="33"/>
  <c r="Z40" i="33"/>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S41" i="33"/>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44" i="33"/>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W44"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F121" i="33"/>
  <c r="G121" i="33" s="1"/>
  <c r="H121" i="33" s="1"/>
  <c r="I121" i="33" s="1"/>
  <c r="J121" i="33" s="1"/>
  <c r="K121" i="33" s="1"/>
  <c r="L121" i="33" s="1"/>
  <c r="M121" i="33" s="1"/>
  <c r="U42" i="33"/>
  <c r="F36" i="33"/>
  <c r="S36" i="33" s="1"/>
  <c r="G111"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L27" i="6" s="1"/>
  <c r="G1" i="68"/>
  <c r="K1" i="12"/>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C5" i="43" s="1"/>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U44" i="33"/>
  <c r="AB44"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Q9" i="1"/>
  <c r="AR11" i="1"/>
  <c r="T9"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H111" i="33"/>
  <c r="I111" i="33"/>
  <c r="J111" i="33"/>
  <c r="K111" i="33" s="1"/>
  <c r="L111" i="33" s="1"/>
  <c r="M111" i="33" s="1"/>
  <c r="J36" i="33"/>
  <c r="H36" i="33"/>
  <c r="AB36" i="33" s="1"/>
  <c r="W32" i="33"/>
  <c r="J27" i="33"/>
  <c r="W27" i="33" s="1"/>
  <c r="S25" i="33"/>
  <c r="J25" i="33"/>
  <c r="AC25" i="33" s="1"/>
  <c r="AC10" i="33"/>
  <c r="W10" i="33"/>
  <c r="AC37" i="21"/>
  <c r="U33" i="21"/>
  <c r="AA23" i="21"/>
  <c r="J23" i="21"/>
  <c r="AC23" i="21" s="1"/>
  <c r="F85" i="21"/>
  <c r="G85" i="21" s="1"/>
  <c r="H23" i="21"/>
  <c r="S6" i="43"/>
  <c r="S4" i="43"/>
  <c r="S7" i="43"/>
  <c r="AR8" i="1"/>
  <c r="AP7" i="1"/>
  <c r="AB45" i="21"/>
  <c r="AC33" i="21"/>
  <c r="W33" i="21"/>
  <c r="AA33" i="21"/>
  <c r="W32" i="21"/>
  <c r="AB32" i="21"/>
  <c r="U32" i="21"/>
  <c r="U32" i="39"/>
  <c r="W19" i="37"/>
  <c r="AC19" i="37"/>
  <c r="W23" i="37"/>
  <c r="AC23" i="37"/>
  <c r="J11" i="37"/>
  <c r="AC11" i="37" s="1"/>
  <c r="W10" i="37"/>
  <c r="AC10" i="37"/>
  <c r="J11" i="34"/>
  <c r="AC36" i="33"/>
  <c r="W36" i="33"/>
  <c r="U36" i="33"/>
  <c r="U23" i="21"/>
  <c r="AB23" i="21"/>
  <c r="W11" i="37"/>
  <c r="W11" i="34"/>
  <c r="AC11" i="34"/>
  <c r="F34" i="11"/>
  <c r="C36" i="11" s="1"/>
  <c r="F11" i="12"/>
  <c r="C23" i="12" s="1"/>
  <c r="F34" i="68"/>
  <c r="R8" i="1"/>
  <c r="AE7" i="1"/>
  <c r="AE8" i="1"/>
  <c r="AG6" i="1"/>
  <c r="H109" i="9"/>
  <c r="M49" i="9" s="1"/>
  <c r="H110" i="9"/>
  <c r="D18" i="53" s="1"/>
  <c r="B35" i="72" s="1"/>
  <c r="D124" i="9"/>
  <c r="D125" i="9" s="1"/>
  <c r="D11" i="52" s="1"/>
  <c r="D16" i="53"/>
  <c r="B34" i="72" s="1"/>
  <c r="D17" i="53"/>
  <c r="B36" i="72" s="1"/>
  <c r="J7" i="33"/>
  <c r="W7" i="33" s="1"/>
  <c r="H112" i="9"/>
  <c r="D21" i="53" s="1"/>
  <c r="B39" i="72" s="1"/>
  <c r="H111" i="9"/>
  <c r="D126" i="9"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G17" i="43" s="1"/>
  <c r="C16" i="43" s="1"/>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B12" i="76"/>
  <c r="D34" i="9"/>
  <c r="D2" i="36"/>
  <c r="F37" i="67"/>
  <c r="F16" i="15"/>
  <c r="M29" i="67"/>
  <c r="B11" i="76"/>
  <c r="L48" i="67"/>
  <c r="D2" i="35"/>
  <c r="F20" i="31"/>
  <c r="M6" i="67"/>
  <c r="F40" i="15"/>
  <c r="D2" i="33"/>
  <c r="L48" i="15"/>
  <c r="M6" i="15"/>
  <c r="E7" i="76"/>
  <c r="F4" i="73"/>
  <c r="E10" i="76"/>
  <c r="F41" i="15"/>
  <c r="D2" i="34"/>
  <c r="AO9" i="1"/>
  <c r="D35" i="9"/>
  <c r="M23" i="67"/>
  <c r="M9" i="15"/>
  <c r="B7" i="76"/>
  <c r="B10" i="76"/>
  <c r="M28" i="67"/>
  <c r="J15" i="67"/>
  <c r="F16" i="67"/>
  <c r="D5" i="73"/>
  <c r="F7" i="73"/>
  <c r="L47" i="15"/>
  <c r="M23" i="15"/>
  <c r="D2" i="21"/>
  <c r="E9" i="76"/>
  <c r="F42" i="15"/>
  <c r="F13" i="15"/>
  <c r="AO11" i="1"/>
  <c r="E8" i="76"/>
  <c r="M24" i="15"/>
  <c r="F6" i="15"/>
  <c r="F13" i="67"/>
  <c r="F3" i="73"/>
  <c r="M22" i="15"/>
  <c r="M9" i="67"/>
  <c r="D6" i="73"/>
  <c r="F9" i="67"/>
  <c r="D3" i="73"/>
  <c r="C76" i="67"/>
  <c r="E11" i="76"/>
  <c r="F9" i="15"/>
  <c r="C76" i="15"/>
  <c r="F26" i="15"/>
  <c r="D2" i="37"/>
  <c r="M24" i="67"/>
  <c r="F37" i="15"/>
  <c r="F35" i="15"/>
  <c r="AO10" i="1"/>
  <c r="AO12" i="1"/>
  <c r="M27" i="15"/>
  <c r="F36" i="67"/>
  <c r="E2" i="68"/>
  <c r="AO8" i="1"/>
  <c r="AO13" i="1"/>
  <c r="M27" i="67"/>
  <c r="B9" i="76"/>
  <c r="F26" i="67"/>
  <c r="E2" i="69"/>
  <c r="E12" i="76"/>
  <c r="E13" i="76"/>
  <c r="M28" i="15"/>
  <c r="F43" i="15"/>
  <c r="F8" i="67"/>
  <c r="F40" i="67"/>
  <c r="M21" i="15"/>
  <c r="F38" i="15"/>
  <c r="M22" i="67"/>
  <c r="F7" i="15"/>
  <c r="F7" i="67"/>
  <c r="B8" i="76"/>
  <c r="J15" i="15"/>
  <c r="M8" i="15"/>
  <c r="M26" i="67"/>
  <c r="L47" i="67"/>
  <c r="F6" i="73"/>
  <c r="B13" i="76"/>
  <c r="F5" i="73"/>
  <c r="M26" i="15"/>
  <c r="M29" i="15"/>
  <c r="F36" i="15"/>
  <c r="F8" i="15"/>
  <c r="F43" i="67"/>
  <c r="M8" i="67"/>
  <c r="F38" i="67"/>
  <c r="F42" i="67"/>
  <c r="AO7" i="1"/>
  <c r="S28" i="33" l="1"/>
  <c r="AB28" i="33"/>
  <c r="D127" i="9"/>
  <c r="D13" i="52" s="1"/>
  <c r="D12" i="52"/>
  <c r="I14" i="74"/>
  <c r="B8" i="74" s="1"/>
  <c r="C13" i="71"/>
  <c r="D14" i="71"/>
  <c r="E8" i="6"/>
  <c r="L65" i="9"/>
  <c r="M65" i="9" s="1"/>
  <c r="L63" i="9"/>
  <c r="M63" i="9" s="1"/>
  <c r="M69" i="9" s="1"/>
  <c r="N69" i="9" s="1"/>
  <c r="L66" i="9"/>
  <c r="M66" i="9" s="1"/>
  <c r="L67" i="9"/>
  <c r="M67" i="9" s="1"/>
  <c r="L68" i="9"/>
  <c r="M68" i="9" s="1"/>
  <c r="L64" i="9"/>
  <c r="M64" i="9" s="1"/>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G28" i="6" s="1"/>
  <c r="G30" i="6" s="1"/>
  <c r="G31" i="6" s="1"/>
  <c r="BE5" i="3"/>
  <c r="E10" i="6" s="1"/>
  <c r="AC5" i="3"/>
  <c r="BD5" i="3"/>
  <c r="E14" i="6" s="1"/>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G29" i="6" s="1"/>
  <c r="E8" i="71"/>
  <c r="E7" i="71" s="1"/>
  <c r="E6" i="71" s="1"/>
  <c r="E5" i="71" s="1"/>
  <c r="V9" i="71"/>
  <c r="H48" i="43"/>
  <c r="H14" i="74"/>
  <c r="B7" i="74" s="1"/>
  <c r="U21" i="39"/>
  <c r="J9" i="21"/>
  <c r="C20" i="43"/>
  <c r="V13" i="71"/>
  <c r="D5" i="43"/>
  <c r="D10" i="52"/>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D19" i="53"/>
  <c r="H7" i="33"/>
  <c r="AB7" i="33" s="1"/>
  <c r="S37" i="21"/>
  <c r="S17" i="37"/>
  <c r="W17" i="21"/>
  <c r="AC38" i="21"/>
  <c r="AB14" i="34"/>
  <c r="AA11" i="37"/>
  <c r="W23" i="36"/>
  <c r="H55" i="43"/>
  <c r="AB16" i="35"/>
  <c r="BM5" i="3"/>
  <c r="F29" i="6" s="1"/>
  <c r="S25" i="21"/>
  <c r="AA25" i="21"/>
  <c r="AZ557" i="3"/>
  <c r="S13" i="33"/>
  <c r="AA13" i="33"/>
  <c r="S44" i="39"/>
  <c r="BL586" i="3"/>
  <c r="AZ586" i="3" s="1"/>
  <c r="BL585" i="3"/>
  <c r="E117" i="33"/>
  <c r="F117" i="33" s="1"/>
  <c r="G117" i="33" s="1"/>
  <c r="J39" i="33"/>
  <c r="H39" i="33"/>
  <c r="F63" i="40"/>
  <c r="D65" i="40"/>
  <c r="H54" i="43"/>
  <c r="F7" i="33"/>
  <c r="AA23" i="37"/>
  <c r="U28" i="21"/>
  <c r="H50" i="43"/>
  <c r="BP5" i="3"/>
  <c r="E11" i="6" s="1"/>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15" i="33"/>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AZ19" i="3" s="1"/>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J22" i="43"/>
  <c r="B113" i="43"/>
  <c r="F101" i="43"/>
  <c r="E22" i="43"/>
  <c r="C101" i="43"/>
  <c r="N104" i="46"/>
  <c r="H22" i="43"/>
  <c r="H101" i="43"/>
  <c r="M101" i="43"/>
  <c r="M104" i="43" s="1"/>
  <c r="E101" i="43"/>
  <c r="E104" i="43" s="1"/>
  <c r="AH11" i="43"/>
  <c r="AH13" i="43" s="1"/>
  <c r="AD11" i="43"/>
  <c r="AD13" i="43" s="1"/>
  <c r="Z11" i="43"/>
  <c r="Z13" i="43" s="1"/>
  <c r="S5" i="43"/>
  <c r="T5" i="43" s="1"/>
  <c r="V5" i="43" s="1"/>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T14" i="43"/>
  <c r="V14" i="43" s="1"/>
  <c r="F31" i="15"/>
  <c r="K4" i="4"/>
  <c r="B46" i="48" s="1"/>
  <c r="B4" i="72" s="1"/>
  <c r="B4" i="62"/>
  <c r="B71" i="72" s="1"/>
  <c r="D9" i="53"/>
  <c r="B25" i="72" s="1"/>
  <c r="B24" i="72"/>
  <c r="K120" i="9"/>
  <c r="A18" i="62" s="1"/>
  <c r="B64" i="72" s="1"/>
  <c r="T11" i="43"/>
  <c r="V11" i="43" s="1"/>
  <c r="T12" i="43"/>
  <c r="V12" i="43" s="1"/>
  <c r="Y9" i="71"/>
  <c r="Z9" i="71" s="1"/>
  <c r="Y8" i="71"/>
  <c r="Z8" i="71" s="1"/>
  <c r="AA9" i="71"/>
  <c r="AB3" i="71"/>
  <c r="C35" i="43"/>
  <c r="E35" i="43" s="1"/>
  <c r="C36" i="43"/>
  <c r="E36" i="43" s="1"/>
  <c r="T9" i="43"/>
  <c r="V9" i="43" s="1"/>
  <c r="C39" i="43"/>
  <c r="C37" i="43"/>
  <c r="E37" i="43" s="1"/>
  <c r="B9" i="71"/>
  <c r="X9" i="71"/>
  <c r="AB9" i="71"/>
  <c r="T4" i="43"/>
  <c r="V4" i="43" s="1"/>
  <c r="T15" i="43"/>
  <c r="V15" i="43" s="1"/>
  <c r="T6" i="43"/>
  <c r="V6" i="43" s="1"/>
  <c r="Y3" i="71"/>
  <c r="Z3" i="71" s="1"/>
  <c r="F9" i="71"/>
  <c r="F8" i="71" s="1"/>
  <c r="F7" i="71" s="1"/>
  <c r="F6" i="71" s="1"/>
  <c r="F5" i="71" s="1"/>
  <c r="AF3" i="71"/>
  <c r="P22" i="43" s="1"/>
  <c r="C34" i="43"/>
  <c r="T10" i="43"/>
  <c r="V10" i="43" s="1"/>
  <c r="T7" i="43"/>
  <c r="V7" i="43" s="1"/>
  <c r="C33" i="43"/>
  <c r="T16" i="43"/>
  <c r="V16" i="43" s="1"/>
  <c r="T13" i="43"/>
  <c r="V13" i="43" s="1"/>
  <c r="T8" i="43"/>
  <c r="V8" i="43" s="1"/>
  <c r="C38" i="43"/>
  <c r="T3" i="43"/>
  <c r="V3"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C17" i="15"/>
  <c r="C16" i="15"/>
  <c r="G1" i="73"/>
  <c r="D7" i="73"/>
  <c r="C14" i="15"/>
  <c r="C16" i="67"/>
  <c r="D4" i="73"/>
  <c r="S42" i="33" l="1"/>
  <c r="U7" i="33"/>
  <c r="E20" i="43"/>
  <c r="M28" i="43" s="1"/>
  <c r="E64" i="39"/>
  <c r="E59" i="40"/>
  <c r="E61" i="39"/>
  <c r="E56" i="40"/>
  <c r="E125" i="3"/>
  <c r="F20" i="6"/>
  <c r="E20" i="6" s="1"/>
  <c r="K7" i="1" s="1"/>
  <c r="T21" i="71"/>
  <c r="D21" i="71"/>
  <c r="U21" i="71" s="1"/>
  <c r="C20" i="71"/>
  <c r="AC26" i="37"/>
  <c r="W26" i="37"/>
  <c r="F65" i="40"/>
  <c r="G63" i="40"/>
  <c r="AC24" i="35"/>
  <c r="W24" i="35"/>
  <c r="AB39" i="33"/>
  <c r="T48" i="33" s="1"/>
  <c r="G48" i="33" s="1"/>
  <c r="G52" i="33" s="1"/>
  <c r="H52" i="33" s="1"/>
  <c r="U39" i="33"/>
  <c r="E51" i="40"/>
  <c r="AB23" i="34"/>
  <c r="C33" i="71"/>
  <c r="D32" i="71"/>
  <c r="AA38" i="40"/>
  <c r="S38" i="40"/>
  <c r="AA9" i="36"/>
  <c r="S9" i="36"/>
  <c r="W40" i="40"/>
  <c r="AC40" i="40"/>
  <c r="AC39" i="33"/>
  <c r="W39" i="33"/>
  <c r="F30" i="6"/>
  <c r="E28" i="6"/>
  <c r="C12" i="71"/>
  <c r="T13" i="71"/>
  <c r="D13" i="71"/>
  <c r="U13" i="71" s="1"/>
  <c r="AC12" i="34"/>
  <c r="W12" i="34"/>
  <c r="AB9" i="21"/>
  <c r="U9" i="21"/>
  <c r="E16" i="6"/>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G35" i="43"/>
  <c r="I35" i="43" s="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B38" i="72"/>
  <c r="D20" i="53"/>
  <c r="B40" i="72" s="1"/>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27" i="6" s="1"/>
  <c r="K21" i="6" s="1"/>
  <c r="M21" i="6" s="1"/>
  <c r="I21" i="6" s="1"/>
  <c r="S21" i="6" s="1"/>
  <c r="E107" i="43"/>
  <c r="E105" i="43"/>
  <c r="E57" i="40"/>
  <c r="E62" i="39"/>
  <c r="E66" i="39" s="1"/>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G36" i="43"/>
  <c r="I36" i="43"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B40" i="1"/>
  <c r="J18" i="15"/>
  <c r="C32" i="67"/>
  <c r="Q60" i="67"/>
  <c r="Q73" i="67"/>
  <c r="N28" i="43"/>
  <c r="M11" i="67"/>
  <c r="J10" i="67" s="1"/>
  <c r="J5" i="67" s="1"/>
  <c r="F11" i="15"/>
  <c r="M11" i="15"/>
  <c r="J10" i="15" s="1"/>
  <c r="J5" i="15" s="1"/>
  <c r="F11" i="67"/>
  <c r="F1" i="15"/>
  <c r="Q52" i="15"/>
  <c r="J18" i="67"/>
  <c r="C32" i="15"/>
  <c r="F1" i="67"/>
  <c r="Q52" i="67"/>
  <c r="Q60" i="15"/>
  <c r="Q73" i="15"/>
  <c r="Q61" i="67"/>
  <c r="Q74" i="67"/>
  <c r="Q74" i="15"/>
  <c r="Q61" i="15"/>
  <c r="AE6" i="1"/>
  <c r="P28" i="43" l="1"/>
  <c r="R48" i="33"/>
  <c r="E48" i="33" s="1"/>
  <c r="O28" i="43"/>
  <c r="T57" i="71"/>
  <c r="D57" i="71"/>
  <c r="D20" i="71"/>
  <c r="C19" i="71"/>
  <c r="D19" i="71" s="1"/>
  <c r="T53" i="71"/>
  <c r="D53" i="71"/>
  <c r="C11" i="71"/>
  <c r="D12" i="71"/>
  <c r="D33" i="71"/>
  <c r="T33" i="71"/>
  <c r="D49" i="71"/>
  <c r="T49" i="71"/>
  <c r="K14" i="1"/>
  <c r="M14" i="1" s="1"/>
  <c r="O14" i="1" s="1"/>
  <c r="E30" i="6"/>
  <c r="H63" i="40"/>
  <c r="G65" i="40"/>
  <c r="M7" i="1"/>
  <c r="M16" i="1" s="1"/>
  <c r="G16" i="1"/>
  <c r="Q16" i="1"/>
  <c r="H16" i="1"/>
  <c r="V48" i="33"/>
  <c r="I48" i="33" s="1"/>
  <c r="I52" i="33" s="1"/>
  <c r="J52" i="33" s="1"/>
  <c r="E70" i="39"/>
  <c r="F68" i="39"/>
  <c r="F27" i="6"/>
  <c r="F31" i="6" s="1"/>
  <c r="C48" i="11"/>
  <c r="C30" i="11"/>
  <c r="K25" i="6"/>
  <c r="M25" i="6" s="1"/>
  <c r="I25" i="6" s="1"/>
  <c r="S25" i="6" s="1"/>
  <c r="H6" i="3"/>
  <c r="E6" i="3" s="1"/>
  <c r="K24" i="6"/>
  <c r="M24" i="6" s="1"/>
  <c r="I24" i="6" s="1"/>
  <c r="S24" i="6" s="1"/>
  <c r="K26" i="6"/>
  <c r="M26" i="6" s="1"/>
  <c r="I26" i="6" s="1"/>
  <c r="S26" i="6" s="1"/>
  <c r="K19" i="6"/>
  <c r="S6" i="1" s="1"/>
  <c r="K20" i="6"/>
  <c r="K23" i="6"/>
  <c r="M23" i="6" s="1"/>
  <c r="I23" i="6" s="1"/>
  <c r="S23" i="6" s="1"/>
  <c r="K22" i="6"/>
  <c r="M22" i="6" s="1"/>
  <c r="I22" i="6" s="1"/>
  <c r="S22" i="6" s="1"/>
  <c r="E3" i="6"/>
  <c r="D3" i="21" s="1"/>
  <c r="AY6" i="3"/>
  <c r="AY425" i="3" s="1"/>
  <c r="E31" i="6"/>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C27" i="43"/>
  <c r="J26" i="67"/>
  <c r="J24" i="67"/>
  <c r="J24" i="15"/>
  <c r="J26" i="15"/>
  <c r="J29" i="15" s="1"/>
  <c r="C53" i="67"/>
  <c r="C48" i="67" s="1"/>
  <c r="C53" i="15"/>
  <c r="C48" i="15" s="1"/>
  <c r="C10" i="15"/>
  <c r="C5" i="15" s="1"/>
  <c r="F25" i="12"/>
  <c r="F22" i="69"/>
  <c r="F41" i="69" s="1"/>
  <c r="F24" i="67"/>
  <c r="C24" i="67" s="1"/>
  <c r="F22" i="11"/>
  <c r="F22" i="68"/>
  <c r="F24" i="15"/>
  <c r="C24" i="15" s="1"/>
  <c r="C17" i="67"/>
  <c r="E6" i="76"/>
  <c r="F41" i="67"/>
  <c r="C14" i="67"/>
  <c r="AY157" i="3" l="1"/>
  <c r="C34" i="11"/>
  <c r="N16" i="1"/>
  <c r="L16" i="1"/>
  <c r="C34" i="68"/>
  <c r="AY293" i="3"/>
  <c r="AY534" i="3"/>
  <c r="T6" i="1"/>
  <c r="E6" i="70"/>
  <c r="E2" i="70" s="1"/>
  <c r="AY248" i="3"/>
  <c r="AY103" i="3"/>
  <c r="M19" i="6"/>
  <c r="I19" i="6" s="1"/>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Q6" i="1"/>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D26" i="6" s="1"/>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K27" i="6"/>
  <c r="C17" i="4"/>
  <c r="B4" i="52" s="1"/>
  <c r="B43" i="72" s="1"/>
  <c r="D14" i="12"/>
  <c r="D17" i="12" s="1"/>
  <c r="C17" i="12" s="1"/>
  <c r="C18" i="67"/>
  <c r="C15" i="67"/>
  <c r="D3" i="37"/>
  <c r="D3" i="34"/>
  <c r="D19" i="11"/>
  <c r="C19" i="11" s="1"/>
  <c r="C20" i="11" s="1"/>
  <c r="E6" i="6"/>
  <c r="M18" i="9"/>
  <c r="B118" i="9" s="1"/>
  <c r="B14" i="74" s="1"/>
  <c r="B1" i="74" s="1"/>
  <c r="AR6" i="1"/>
  <c r="M20" i="6"/>
  <c r="I20" i="6" s="1"/>
  <c r="S20" i="6" s="1"/>
  <c r="S7" i="1"/>
  <c r="D8" i="6"/>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B6" i="76"/>
  <c r="H19" i="6" l="1"/>
  <c r="L18" i="9"/>
  <c r="C35" i="69"/>
  <c r="C38" i="69"/>
  <c r="D9" i="6"/>
  <c r="C18" i="4"/>
  <c r="C4" i="52" s="1"/>
  <c r="B45" i="72" s="1"/>
  <c r="D24" i="6"/>
  <c r="H24" i="6"/>
  <c r="H26" i="6"/>
  <c r="H23" i="6"/>
  <c r="E61" i="40"/>
  <c r="S10" i="40"/>
  <c r="AA10" i="40"/>
  <c r="F50" i="69"/>
  <c r="F50" i="68"/>
  <c r="F50" i="11"/>
  <c r="AA10" i="39"/>
  <c r="S10" i="39"/>
  <c r="F45" i="69"/>
  <c r="C29" i="69"/>
  <c r="D27" i="69" s="1"/>
  <c r="C47" i="69"/>
  <c r="D45" i="69" s="1"/>
  <c r="C38" i="68"/>
  <c r="C35" i="68"/>
  <c r="D15" i="6"/>
  <c r="D10" i="71"/>
  <c r="C9" i="71"/>
  <c r="I65" i="40"/>
  <c r="J63" i="40"/>
  <c r="C15" i="12"/>
  <c r="C12" i="12"/>
  <c r="W10" i="40"/>
  <c r="AC10" i="40"/>
  <c r="C38" i="11"/>
  <c r="C35" i="11"/>
  <c r="H25" i="6"/>
  <c r="D19" i="6"/>
  <c r="U10" i="39"/>
  <c r="AB10" i="39"/>
  <c r="G70" i="39"/>
  <c r="H68" i="39"/>
  <c r="D22" i="6"/>
  <c r="H22" i="6"/>
  <c r="D13" i="6"/>
  <c r="D11" i="6"/>
  <c r="D25" i="6"/>
  <c r="D10" i="6"/>
  <c r="D16" i="6" s="1"/>
  <c r="D12" i="6"/>
  <c r="D23" i="6"/>
  <c r="R23" i="6" s="1"/>
  <c r="C28" i="11"/>
  <c r="C27" i="11" s="1"/>
  <c r="AC10" i="39"/>
  <c r="W10" i="39"/>
  <c r="F45" i="68"/>
  <c r="C29" i="68"/>
  <c r="D27" i="68" s="1"/>
  <c r="C47" i="68"/>
  <c r="D45" i="68" s="1"/>
  <c r="F7" i="36"/>
  <c r="AA7" i="36" s="1"/>
  <c r="R36" i="36" s="1"/>
  <c r="H21" i="6"/>
  <c r="D28" i="6"/>
  <c r="D30" i="6" s="1"/>
  <c r="D20" i="6"/>
  <c r="R20" i="6" s="1"/>
  <c r="R7" i="1" s="1"/>
  <c r="D14" i="6"/>
  <c r="C33" i="11"/>
  <c r="C49" i="33"/>
  <c r="B2" i="33" s="1"/>
  <c r="AB10" i="40"/>
  <c r="U10" i="40"/>
  <c r="C29" i="11"/>
  <c r="D27" i="11" s="1"/>
  <c r="C47" i="11"/>
  <c r="D45" i="11" s="1"/>
  <c r="H20" i="6"/>
  <c r="C19" i="67"/>
  <c r="C20" i="67" s="1"/>
  <c r="C26" i="67" s="1"/>
  <c r="M27" i="6"/>
  <c r="C14" i="12"/>
  <c r="D10" i="68"/>
  <c r="D10" i="11"/>
  <c r="C10" i="11" s="1"/>
  <c r="D6" i="6"/>
  <c r="D10" i="69"/>
  <c r="D20" i="12"/>
  <c r="C20" i="12" s="1"/>
  <c r="C18" i="12" s="1"/>
  <c r="AQ7" i="1"/>
  <c r="AR7" i="1"/>
  <c r="T7" i="1"/>
  <c r="T16" i="1" s="1"/>
  <c r="S16" i="1"/>
  <c r="C7" i="74"/>
  <c r="C8" i="74"/>
  <c r="H27" i="6"/>
  <c r="I27" i="6"/>
  <c r="S19" i="6"/>
  <c r="S27" i="6" s="1"/>
  <c r="R26" i="6"/>
  <c r="R25" i="6"/>
  <c r="R21" i="6"/>
  <c r="R19" i="6"/>
  <c r="A7" i="51"/>
  <c r="B7" i="7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76" s="1"/>
  <c r="B3" i="43"/>
  <c r="J14" i="15"/>
  <c r="C57" i="15"/>
  <c r="C36" i="15"/>
  <c r="C33" i="15"/>
  <c r="C31" i="15" s="1"/>
  <c r="C13" i="15"/>
  <c r="Q49" i="15"/>
  <c r="J19" i="15"/>
  <c r="J17" i="15" s="1"/>
  <c r="J59" i="15"/>
  <c r="J60" i="15" s="1"/>
  <c r="C22" i="11"/>
  <c r="C31" i="11" s="1"/>
  <c r="C33" i="67"/>
  <c r="B3" i="33" l="1"/>
  <c r="C16" i="12"/>
  <c r="C21" i="12" s="1"/>
  <c r="C22" i="12" s="1"/>
  <c r="C30" i="12" s="1"/>
  <c r="C28" i="12" s="1"/>
  <c r="I68" i="39"/>
  <c r="H70" i="39"/>
  <c r="A10" i="51"/>
  <c r="B9" i="72" s="1"/>
  <c r="C8" i="71"/>
  <c r="T9" i="71"/>
  <c r="D9" i="71"/>
  <c r="U9" i="71" s="1"/>
  <c r="C39" i="11"/>
  <c r="C42" i="11"/>
  <c r="K63" i="40"/>
  <c r="J65" i="40"/>
  <c r="M19" i="9"/>
  <c r="C118" i="9" s="1"/>
  <c r="C14" i="74" s="1"/>
  <c r="B2" i="74" s="1"/>
  <c r="L19" i="9"/>
  <c r="J7" i="35"/>
  <c r="D27" i="6"/>
  <c r="D31" i="6" s="1"/>
  <c r="I6" i="6" s="1"/>
  <c r="C23" i="67"/>
  <c r="C29" i="67" s="1"/>
  <c r="C36" i="67" s="1"/>
  <c r="R22" i="6"/>
  <c r="R27" i="6" s="1"/>
  <c r="R24" i="6"/>
  <c r="D19" i="68"/>
  <c r="C10" i="68"/>
  <c r="D19" i="69"/>
  <c r="C10" i="69"/>
  <c r="C8" i="69" s="1"/>
  <c r="C5" i="69" s="1"/>
  <c r="C23" i="69" s="1"/>
  <c r="R6" i="1"/>
  <c r="I5" i="6"/>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M21" i="67"/>
  <c r="F35" i="67"/>
  <c r="L51" i="15"/>
  <c r="J19" i="67" l="1"/>
  <c r="J17" i="67" s="1"/>
  <c r="C57" i="67"/>
  <c r="C64" i="67" s="1"/>
  <c r="Q49" i="67"/>
  <c r="J59" i="67"/>
  <c r="J60" i="67" s="1"/>
  <c r="Q48" i="67" s="1"/>
  <c r="C13" i="67"/>
  <c r="C75" i="67" s="1"/>
  <c r="D8" i="71"/>
  <c r="C7" i="71"/>
  <c r="K65" i="40"/>
  <c r="L63" i="40"/>
  <c r="C46" i="11"/>
  <c r="C45" i="11" s="1"/>
  <c r="C43" i="11"/>
  <c r="C41" i="11" s="1"/>
  <c r="J14" i="67"/>
  <c r="D7" i="74"/>
  <c r="D8" i="74"/>
  <c r="J68" i="39"/>
  <c r="I70" i="39"/>
  <c r="C37" i="67"/>
  <c r="C27" i="12"/>
  <c r="C25" i="12" s="1"/>
  <c r="C32" i="12" s="1"/>
  <c r="B2" i="12" s="1"/>
  <c r="B3" i="12" s="1"/>
  <c r="D37" i="69"/>
  <c r="C37" i="69" s="1"/>
  <c r="C33" i="69" s="1"/>
  <c r="C19" i="69"/>
  <c r="D37" i="68"/>
  <c r="C37" i="68" s="1"/>
  <c r="C33" i="68" s="1"/>
  <c r="C19" i="68"/>
  <c r="J20" i="67"/>
  <c r="F63" i="67"/>
  <c r="C62" i="67" s="1"/>
  <c r="R16" i="1"/>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Q70" i="67" l="1"/>
  <c r="C56" i="67"/>
  <c r="C65" i="67" s="1"/>
  <c r="C58" i="67" s="1"/>
  <c r="C67" i="67" s="1"/>
  <c r="C68" i="67" s="1"/>
  <c r="C71" i="67" s="1"/>
  <c r="L65" i="40"/>
  <c r="M63" i="40"/>
  <c r="K68" i="39"/>
  <c r="J70" i="39"/>
  <c r="C49" i="11"/>
  <c r="C51" i="11" s="1"/>
  <c r="J22" i="67"/>
  <c r="J13" i="67"/>
  <c r="J23" i="67"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L46" i="67" s="1"/>
  <c r="B2" i="15"/>
  <c r="B3" i="15" s="1"/>
  <c r="Q56" i="15"/>
  <c r="Q65" i="15"/>
  <c r="C43" i="15"/>
  <c r="Q47" i="15"/>
  <c r="Q53" i="15" s="1"/>
  <c r="C83" i="15"/>
  <c r="C82" i="15" s="1"/>
  <c r="C46" i="15"/>
  <c r="C52" i="11" l="1"/>
  <c r="B2" i="11" s="1"/>
  <c r="B3" i="11" s="1"/>
  <c r="J16" i="67"/>
  <c r="J25" i="67"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19" i="9"/>
  <c r="C20" i="9"/>
  <c r="C56" i="11" l="1"/>
  <c r="C57" i="11" s="1"/>
  <c r="M20" i="43"/>
  <c r="D5" i="71"/>
  <c r="N65" i="40"/>
  <c r="H7" i="40" s="1"/>
  <c r="O63" i="40"/>
  <c r="O65" i="40" s="1"/>
  <c r="J7" i="40" s="1"/>
  <c r="F7" i="40"/>
  <c r="M68" i="39"/>
  <c r="L70" i="39"/>
  <c r="C30" i="67"/>
  <c r="C39" i="67" s="1"/>
  <c r="C102" i="9"/>
  <c r="C21" i="9"/>
  <c r="C103" i="9"/>
  <c r="C49" i="68"/>
  <c r="C51" i="68" s="1"/>
  <c r="C49" i="69"/>
  <c r="C51" i="69" s="1"/>
  <c r="C31" i="68"/>
  <c r="C31" i="69"/>
  <c r="L51" i="67"/>
  <c r="AA7" i="40" l="1"/>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0" i="31"/>
  <c r="R33" i="31"/>
  <c r="R29" i="31"/>
  <c r="R32" i="31"/>
  <c r="B2" i="68"/>
  <c r="B3" i="68" s="1"/>
  <c r="E46" i="40" l="1"/>
  <c r="F46" i="40" s="1"/>
  <c r="E47" i="40"/>
  <c r="F47" i="40" s="1"/>
  <c r="C43" i="40"/>
  <c r="C42" i="40"/>
  <c r="F7" i="39"/>
  <c r="H7" i="39"/>
  <c r="J7" i="39"/>
  <c r="B3" i="67"/>
  <c r="B2" i="67"/>
  <c r="S32" i="31"/>
  <c r="S29" i="31"/>
  <c r="S34" i="31"/>
  <c r="S31" i="31"/>
  <c r="S33" i="31"/>
  <c r="S30" i="31"/>
  <c r="S35" i="31"/>
  <c r="D20" i="9"/>
  <c r="D19" i="9"/>
  <c r="AO6" i="1"/>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1" i="39"/>
  <c r="J51" i="39" s="1"/>
  <c r="I52" i="39"/>
  <c r="J52" i="39" s="1"/>
  <c r="G51" i="39"/>
  <c r="H51" i="39" s="1"/>
  <c r="G52" i="39"/>
  <c r="H52" i="39" s="1"/>
  <c r="C32" i="9"/>
  <c r="R24" i="31"/>
  <c r="E51" i="39" l="1"/>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B21" i="31" s="1"/>
  <c r="D15" i="74"/>
  <c r="G15" i="74" s="1"/>
  <c r="K7" i="78"/>
  <c r="H119" i="9"/>
  <c r="H5" i="52" s="1"/>
  <c r="C104" i="9"/>
  <c r="D14" i="74"/>
  <c r="H4" i="52"/>
  <c r="H101" i="9"/>
  <c r="R22" i="31" l="1"/>
  <c r="F15" i="74"/>
  <c r="E15" i="74"/>
  <c r="D45" i="9"/>
  <c r="M48" i="9"/>
  <c r="H107" i="9"/>
  <c r="D5" i="53"/>
  <c r="E14" i="74"/>
  <c r="F14" i="74"/>
  <c r="B5" i="74"/>
  <c r="C5" i="74" l="1"/>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68" i="9" l="1"/>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D6" i="74" l="1"/>
  <c r="C6" i="74"/>
  <c r="C96" i="9"/>
  <c r="E96" i="9" s="1"/>
  <c r="E97" i="9" s="1"/>
  <c r="C80" i="9"/>
  <c r="E80" i="9" s="1"/>
  <c r="E81" i="9" s="1"/>
  <c r="F4" i="52"/>
  <c r="B51" i="72" s="1"/>
  <c r="D119" i="9"/>
  <c r="D5" i="52" s="1"/>
  <c r="B49" i="72" s="1"/>
  <c r="D4" i="52"/>
  <c r="B47" i="72" s="1"/>
  <c r="C81" i="9" l="1"/>
  <c r="C97" i="9"/>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<sst xmlns="http://schemas.openxmlformats.org/spreadsheetml/2006/main" count="7541" uniqueCount="3186">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</sst>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a16="http://schemas.microsoft.com/office/drawing/2014/main"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a16="http://schemas.microsoft.com/office/drawing/2014/main"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估价对象为北京市房地产，为所有。根据《国有土地使用证》[]，估价对象（分摊）出让国有建设用地使用权面积为0平方米，建筑面积为1266.65平方米。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估价对象为北京市房地产,属开发建设的办公项目，该项目尚在开发建设中。根据《国有土地使用证》[]，估价对象（分摊）出让国有建设用地使用权面积为0平方米，规划建筑面积为1266.65平方米。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434</v>
      </c>
    </row>
    <row r="21" spans="1:2" s="1365" customFormat="1">
      <c r="A21" s="1363" t="s">
        <v>1202</v>
      </c>
      <c r="B21" s="1364">
        <f ca="1">'预评函-2'!D7</f>
        <v>34523</v>
      </c>
    </row>
    <row r="22" spans="1:2" s="1365" customFormat="1">
      <c r="A22" s="1363" t="s">
        <v>1203</v>
      </c>
      <c r="B22" s="1364" t="str">
        <f ca="1">'预评函-2'!D6</f>
        <v>肆佰叁拾肆万元整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434</v>
      </c>
    </row>
    <row r="31" spans="1:2" s="1365" customFormat="1">
      <c r="A31" s="1363" t="s">
        <v>1241</v>
      </c>
      <c r="B31" s="1364">
        <f ca="1">'预评函-2'!D15</f>
        <v>3426</v>
      </c>
    </row>
    <row r="32" spans="1:2" s="1365" customFormat="1">
      <c r="A32" s="1363" t="s">
        <v>1208</v>
      </c>
      <c r="B32" s="1364" t="str">
        <f ca="1">'预评函-2'!D14</f>
        <v>肆佰叁拾肆万元整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1266.6499999999999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41" t="s">
        <v>832</v>
      </c>
      <c r="C54" s="1738" t="s">
        <v>1248</v>
      </c>
    </row>
    <row r="55" spans="1:4">
      <c r="A55" s="3113"/>
      <c r="B55" s="1741" t="s">
        <v>833</v>
      </c>
      <c r="C55" s="1738" t="s">
        <v>1249</v>
      </c>
    </row>
    <row r="56" spans="1:4">
      <c r="A56" s="3113"/>
      <c r="B56" s="1741" t="s">
        <v>834</v>
      </c>
      <c r="C56" s="1738" t="s">
        <v>1253</v>
      </c>
    </row>
    <row r="57" spans="1:4">
      <c r="A57" s="311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C37" sqref="C3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14" t="str">
        <f>IF(B10="北京市","北京市",C10)&amp;F10&amp;IF(结果表!G1="在建","出让国有建设用地使用权及在建建筑物",IF(结果表!G1="土地","出让国有建设用地使用权",))&amp;B9&amp;"预评估"</f>
        <v>北京市房地产市场价值预评估</v>
      </c>
      <c r="C1" s="3115"/>
      <c r="D1" s="3115"/>
      <c r="E1" s="3115"/>
      <c r="F1" s="3115"/>
      <c r="G1" s="3115"/>
      <c r="H1" s="3115"/>
      <c r="I1" s="3116"/>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17" t="s">
        <v>2922</v>
      </c>
      <c r="E8" s="2614"/>
      <c r="F8" s="2615"/>
      <c r="G8" s="2889"/>
      <c r="H8" s="2889"/>
      <c r="I8" s="2889"/>
      <c r="J8" s="2664"/>
      <c r="K8" s="2839"/>
      <c r="L8" s="2838"/>
      <c r="M8" s="2838"/>
      <c r="N8" s="2664"/>
      <c r="O8" s="2675"/>
      <c r="P8" s="2664"/>
      <c r="Q8" s="2664"/>
      <c r="R8" s="2664"/>
    </row>
    <row r="9" spans="1:28" ht="13.5" thickBot="1">
      <c r="A9" s="2616" t="s">
        <v>2923</v>
      </c>
      <c r="B9" s="2617" t="s">
        <v>3066</v>
      </c>
      <c r="C9" s="2618"/>
      <c r="D9" s="3118"/>
      <c r="E9" s="2617"/>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56703</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34.229999999999997</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4"/>
      <c r="C16" s="3125"/>
      <c r="D16" s="3126"/>
      <c r="E16" s="2638" t="s">
        <v>2939</v>
      </c>
      <c r="F16" s="3127"/>
      <c r="G16" s="3128"/>
      <c r="H16" s="3128"/>
      <c r="I16" s="3129"/>
      <c r="J16" s="2664"/>
      <c r="K16" s="2843"/>
      <c r="L16" s="2676"/>
      <c r="M16" s="2676"/>
      <c r="N16" s="2734"/>
      <c r="O16" s="2676"/>
      <c r="P16" s="2734"/>
      <c r="Q16" s="2664"/>
      <c r="R16" s="2664"/>
    </row>
    <row r="17" spans="1:28">
      <c r="A17" s="319" t="s">
        <v>2940</v>
      </c>
      <c r="B17" s="308" t="s">
        <v>2941</v>
      </c>
      <c r="C17" s="11">
        <f>'数据-汇总表'!E3</f>
        <v>1266.6499999999999</v>
      </c>
      <c r="D17" s="2546" t="s">
        <v>2942</v>
      </c>
      <c r="E17" s="3130" t="s">
        <v>2943</v>
      </c>
      <c r="F17" s="3131"/>
      <c r="G17" s="3131"/>
      <c r="H17" s="3131"/>
      <c r="I17" s="3132"/>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33" t="s">
        <v>2947</v>
      </c>
      <c r="F18" s="3134"/>
      <c r="G18" s="3134"/>
      <c r="H18" s="3134"/>
      <c r="I18" s="3135"/>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20" t="s">
        <v>2951</v>
      </c>
      <c r="C20" s="3121"/>
      <c r="D20" s="3122" t="s">
        <v>2952</v>
      </c>
      <c r="E20" s="3123"/>
      <c r="F20" s="2873" t="s">
        <v>1742</v>
      </c>
      <c r="G20" s="2890"/>
      <c r="H20" s="2890"/>
      <c r="I20" s="2890"/>
      <c r="J20" s="2664"/>
      <c r="K20" s="311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7"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7"/>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7"/>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8"/>
      <c r="B30" s="308" t="s">
        <v>2963</v>
      </c>
      <c r="C30" s="3139"/>
      <c r="D30" s="3140"/>
      <c r="E30" s="2890"/>
      <c r="F30" s="2890"/>
      <c r="G30" s="2890"/>
      <c r="H30" s="2890"/>
      <c r="I30" s="2890"/>
      <c r="J30" s="2664"/>
      <c r="K30" s="2841"/>
      <c r="L30" s="2838"/>
      <c r="M30" s="2838"/>
      <c r="N30" s="2664"/>
      <c r="O30" s="2675"/>
      <c r="P30" s="2664"/>
      <c r="Q30" s="2664"/>
      <c r="R30" s="2664"/>
      <c r="S30" s="2664"/>
      <c r="T30" s="2664"/>
      <c r="U30" s="2664"/>
      <c r="V30" s="2664"/>
    </row>
    <row r="31" spans="1:28">
      <c r="A31" s="3141"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42"/>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42"/>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36" t="s">
        <v>2973</v>
      </c>
      <c r="T34" s="2653" t="str">
        <f>NUMBERSTRING(7-K34,1)&amp;"通"</f>
        <v>七通</v>
      </c>
      <c r="U34" s="2664"/>
      <c r="V34" s="2664"/>
    </row>
    <row r="35" spans="1:30">
      <c r="A35" s="2654"/>
      <c r="B35" s="3143" t="s">
        <v>2974</v>
      </c>
      <c r="C35" s="3143"/>
      <c r="D35" s="3143"/>
      <c r="E35" s="3143"/>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36"/>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6" t="s">
        <v>1794</v>
      </c>
      <c r="F2" s="2885"/>
      <c r="G2" s="2876"/>
      <c r="H2" s="2877"/>
      <c r="I2" s="2549" t="s">
        <v>1818</v>
      </c>
      <c r="J2" s="2885"/>
      <c r="K2" s="2885"/>
      <c r="L2" s="2885"/>
      <c r="M2" s="2885"/>
      <c r="N2" s="2887"/>
      <c r="O2" s="2885"/>
      <c r="P2" s="2885"/>
    </row>
    <row r="3" spans="1:16" ht="15.75" thickBot="1">
      <c r="A3" s="3156" t="s">
        <v>1791</v>
      </c>
      <c r="B3" s="3156"/>
      <c r="C3" s="3156"/>
      <c r="D3" s="46">
        <f>'数据-基础表'!AY6</f>
        <v>0</v>
      </c>
      <c r="E3" s="46">
        <f>'数据-基础表'!AZ5</f>
        <v>1266.6499999999999</v>
      </c>
      <c r="F3" s="2885"/>
      <c r="G3" s="1307"/>
      <c r="H3" s="1157" t="s">
        <v>1792</v>
      </c>
      <c r="I3" s="964" t="e">
        <f>ROUND('数据-基础表'!B3/'数据-基础表'!A3,2)</f>
        <v>#DIV/0!</v>
      </c>
      <c r="J3" s="2885"/>
      <c r="K3" s="2885"/>
      <c r="L3" s="2885"/>
      <c r="M3" s="2885"/>
      <c r="N3" s="2887"/>
      <c r="O3" s="2885"/>
      <c r="P3" s="2885"/>
    </row>
    <row r="4" spans="1:16" ht="15">
      <c r="A4" s="3157"/>
      <c r="B4" s="3158"/>
      <c r="C4" s="3159"/>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60" t="s">
        <v>1796</v>
      </c>
      <c r="C5" s="3160"/>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60" t="s">
        <v>1797</v>
      </c>
      <c r="C6" s="3160"/>
      <c r="D6" s="48">
        <f>ROUND($D$3*E6/$E$3,2)</f>
        <v>0</v>
      </c>
      <c r="E6" s="49">
        <f>E3-E5</f>
        <v>1266.6499999999999</v>
      </c>
      <c r="F6" s="2885"/>
      <c r="G6" s="2879" t="s">
        <v>1798</v>
      </c>
      <c r="H6" s="1308" t="s">
        <v>1799</v>
      </c>
      <c r="I6" s="2880" t="e">
        <f>ROUND(F31/D31,2)</f>
        <v>#DIV/0!</v>
      </c>
      <c r="J6" s="2885"/>
      <c r="K6" s="2885"/>
      <c r="L6" s="2885"/>
      <c r="M6" s="2885"/>
      <c r="N6" s="2885"/>
      <c r="O6" s="2885"/>
      <c r="P6" s="2885"/>
    </row>
    <row r="7" spans="1:16" ht="15.75" thickBot="1">
      <c r="A7" s="3152"/>
      <c r="B7" s="3153"/>
      <c r="C7" s="3154"/>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1266.6499999999999</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1266.6499999999999</v>
      </c>
      <c r="F16" s="2885"/>
      <c r="G16" s="2886"/>
      <c r="H16" s="1835" t="s">
        <v>1821</v>
      </c>
      <c r="I16" s="1836"/>
      <c r="J16" s="1301"/>
      <c r="K16" s="3149" t="s">
        <v>1821</v>
      </c>
      <c r="L16" s="3150"/>
      <c r="M16" s="3150"/>
      <c r="N16" s="3150"/>
      <c r="O16" s="3150"/>
      <c r="P16" s="3151"/>
    </row>
    <row r="17" spans="1:19" ht="15">
      <c r="A17" s="1837" t="s">
        <v>1822</v>
      </c>
      <c r="B17" s="1838" t="s">
        <v>1823</v>
      </c>
      <c r="C17" s="1839" t="s">
        <v>1824</v>
      </c>
      <c r="D17" s="1840" t="s">
        <v>1812</v>
      </c>
      <c r="E17" s="1841" t="s">
        <v>1813</v>
      </c>
      <c r="F17" s="1842"/>
      <c r="G17" s="1843"/>
      <c r="H17" s="1844" t="s">
        <v>1825</v>
      </c>
      <c r="I17" s="1845" t="s">
        <v>1810</v>
      </c>
      <c r="J17" s="1301"/>
      <c r="K17" s="3146" t="s">
        <v>1826</v>
      </c>
      <c r="L17" s="3147"/>
      <c r="M17" s="3148"/>
      <c r="N17" s="3146" t="s">
        <v>1827</v>
      </c>
      <c r="O17" s="3147"/>
      <c r="P17" s="314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1140.9099999999999</v>
      </c>
      <c r="F20" s="3025">
        <f>'数据-基础表'!B3-'数据-汇总表'!F19</f>
        <v>1140.9099999999999</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1140.9099999999999</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1266.6499999999999</v>
      </c>
      <c r="F27" s="1302">
        <f>IF(SUM(F19:F26)=E8,SUM(F19:F26),"地上面积有误")</f>
        <v>1266.6499999999999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1266.6499999999999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1266.6499999999999</v>
      </c>
      <c r="F31" s="686">
        <f>F27+F30</f>
        <v>1266.6499999999999</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56703</v>
      </c>
      <c r="F6" s="68">
        <f>SUMIF(项目基本情况!D$12:I$12,C6,项目基本情况!D$15:I$15)</f>
        <v>34.229999999999997</v>
      </c>
      <c r="G6" s="69">
        <f>IF(ISERROR(ROUND(POWER(1+H6,D6-F6)*(POWER(1+H6,F6)-1)/(POWER(1+H6,D6)-1),3)),0,ROUND(POWER(1+H6,D6-F6)*(POWER(1+H6,F6)-1)/(POWER(1+H6,D6)-1),3))</f>
        <v>0.88900000000000001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34.229999999999997</v>
      </c>
      <c r="AF6" s="1534"/>
      <c r="AG6" s="143">
        <f>IF(AF6="",0,AE6-AF6)</f>
        <v>0</v>
      </c>
      <c r="AH6" s="79">
        <v>125.74</v>
      </c>
      <c r="AI6" s="81">
        <v>365</v>
      </c>
      <c r="AJ6" s="82"/>
      <c r="AK6" s="83">
        <v>0.02</v>
      </c>
      <c r="AL6" s="84">
        <v>2E-3</v>
      </c>
      <c r="AM6" s="85">
        <v>0.02</v>
      </c>
      <c r="AN6" s="1903" t="s">
        <v>3127</v>
      </c>
      <c r="AO6" s="55">
        <f ca="1">SUMIF(INDIRECT("'"&amp;AN6&amp;"'"&amp;"!A:A"),"总价",INDIRECT("'"&amp;AN6&amp;"'"&amp;"!B:B"))</f>
        <v>465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56703</v>
      </c>
      <c r="F7" s="68">
        <f>SUMIF(项目基本情况!D$12:I$12,C7,项目基本情况!D$15:I$15)</f>
        <v>34.229999999999997</v>
      </c>
      <c r="G7" s="69">
        <f t="shared" ref="G7:G11" si="2">IF(ISERROR(ROUND(POWER(1+H7,D7-F7)*(POWER(1+H7,F7)-1)/(POWER(1+H7,D7)-1),3)),0,ROUND(POWER(1+H7,D7-F7)*(POWER(1+H7,F7)-1)/(POWER(1+H7,D7)-1),3))</f>
        <v>0.88900000000000001</v>
      </c>
      <c r="H7" s="741">
        <v>0.05</v>
      </c>
      <c r="I7" s="741">
        <v>5.5E-2</v>
      </c>
      <c r="J7" s="70">
        <v>8.5000000000000006E-2</v>
      </c>
      <c r="K7" s="1161">
        <f>SUMIF('数据-汇总表'!C$19:C$33,A7,'数据-汇总表'!E$19:E$33)</f>
        <v>1140.9099999999999</v>
      </c>
      <c r="L7" s="742">
        <v>2800</v>
      </c>
      <c r="M7" s="71">
        <f t="shared" si="0"/>
        <v>319</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0.88900000000000001</v>
      </c>
      <c r="H16" s="95">
        <f>ROUND(SUMPRODUCT(H6:H13,K6:K13)/SUMPRODUCT((H6:H13&gt;0)*(K6:K13)),3)</f>
        <v>0.05</v>
      </c>
      <c r="I16" s="96"/>
      <c r="J16" s="96"/>
      <c r="K16" s="97">
        <f>SUM(K6:K15)</f>
        <v>1266.6499999999999</v>
      </c>
      <c r="L16" s="98">
        <f>ROUND(M16*10000/SUM(K6:K14),0)</f>
        <v>2795</v>
      </c>
      <c r="M16" s="98">
        <f>SUM(M6:M14)</f>
        <v>354</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61" t="s">
        <v>3031</v>
      </c>
      <c r="B1" s="3162"/>
      <c r="C1" s="3162"/>
      <c r="D1" s="3162"/>
      <c r="E1" s="3162"/>
      <c r="F1" s="3162"/>
      <c r="G1" s="316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F6:L18"/>
  <sheetViews>
    <sheetView workbookViewId="0">
      <selection activeCell="H21" sqref="H2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3141</v>
      </c>
      <c r="G6" s="3060" t="s">
        <v>3139</v>
      </c>
      <c r="H6" s="3060" t="s">
        <v>3138</v>
      </c>
      <c r="I6" s="3060" t="s">
        <v>3140</v>
      </c>
      <c r="K6" s="3060" t="s">
        <v>3142</v>
      </c>
      <c r="L6" s="3060"/>
    </row>
    <row r="7" spans="6:12">
      <c r="F7" s="3061">
        <v>101</v>
      </c>
      <c r="G7" s="3061">
        <f ca="1">典型户型修正!R24</f>
        <v>34523</v>
      </c>
      <c r="H7" s="3061">
        <v>125.74</v>
      </c>
      <c r="I7" s="3061">
        <f ca="1">G7*H7</f>
        <v>4340922.0199999996</v>
      </c>
      <c r="K7" s="3061">
        <f ca="1">SUM(I7:I11)</f>
        <v>20696676.899999999</v>
      </c>
      <c r="L7" s="3061"/>
    </row>
    <row r="8" spans="6:12">
      <c r="F8" s="3061">
        <v>102</v>
      </c>
      <c r="G8" s="3061">
        <f ca="1">典型户型修正!R25</f>
        <v>34523</v>
      </c>
      <c r="H8" s="3061">
        <v>138.44999999999999</v>
      </c>
      <c r="I8" s="3061">
        <f t="shared" ref="I8:I11" ca="1" si="0">G8*H8</f>
        <v>4779709.3499999996</v>
      </c>
    </row>
    <row r="9" spans="6:12">
      <c r="F9" s="3061">
        <v>103</v>
      </c>
      <c r="G9" s="3061">
        <f ca="1">典型户型修正!R26</f>
        <v>34523</v>
      </c>
      <c r="H9" s="3061">
        <v>137.61000000000001</v>
      </c>
      <c r="I9" s="3061">
        <f t="shared" ca="1" si="0"/>
        <v>4750710.03</v>
      </c>
    </row>
    <row r="10" spans="6:12">
      <c r="F10" s="3061">
        <v>104</v>
      </c>
      <c r="G10" s="3061">
        <f ca="1">典型户型修正!R27</f>
        <v>34523</v>
      </c>
      <c r="H10" s="3061">
        <v>121.22</v>
      </c>
      <c r="I10" s="3061">
        <f t="shared" ca="1" si="0"/>
        <v>4184878.06</v>
      </c>
    </row>
    <row r="11" spans="6:12">
      <c r="F11" s="3061">
        <v>105</v>
      </c>
      <c r="G11" s="3061">
        <f ca="1">典型户型修正!R28</f>
        <v>36612</v>
      </c>
      <c r="H11" s="3061">
        <v>72.12</v>
      </c>
      <c r="I11" s="3061">
        <f t="shared" ca="1" si="0"/>
        <v>2640457.44</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R39:R40"/>
  <sheetViews>
    <sheetView workbookViewId="0">
      <selection activeCell="Q94" sqref="Q94"/>
    </sheetView>
  </sheetViews>
  <sheetFormatPr defaultRowHeight="13.5"/>
  <sheetData>
    <row r="39" spans="18:18">
      <c r="R39" s="3070" t="s">
        <v>3175</v>
      </c>
    </row>
    <row r="40" spans="18:18">
      <c r="R40" s="3070" t="s">
        <v>3176</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I19" sqref="I19"/>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2069</v>
      </c>
      <c r="C5" s="2737">
        <f ca="1">ROUND(B5*10000/$B$1,0)</f>
        <v>34765</v>
      </c>
      <c r="D5" s="2737" t="e">
        <f ca="1">ROUND(B5*10000/$B$2,0)</f>
        <v>#DIV/0!</v>
      </c>
      <c r="E5" s="2914"/>
      <c r="F5" s="2915"/>
      <c r="G5" s="2915"/>
      <c r="H5" s="2916"/>
      <c r="I5" s="2916"/>
      <c r="J5" s="2916"/>
      <c r="K5" s="2916"/>
    </row>
    <row r="6" spans="1:11" ht="16.5">
      <c r="A6" s="2737" t="s">
        <v>1322</v>
      </c>
      <c r="B6" s="2737">
        <f ca="1">SUM(G14:G23)</f>
        <v>2069</v>
      </c>
      <c r="C6" s="2737">
        <f ca="1">ROUND(B6*10000/$B$1,0)</f>
        <v>34765</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434</v>
      </c>
      <c r="E14" s="2743">
        <f ca="1">ROUND(D14*10000/B14,0)</f>
        <v>34516</v>
      </c>
      <c r="F14" s="2743" t="e">
        <f ca="1">ROUND(D14*10000/C14,0)</f>
        <v>#DIV/0!</v>
      </c>
      <c r="G14" s="2743">
        <f ca="1">结果表!D122</f>
        <v>434</v>
      </c>
      <c r="H14" s="2743" t="str">
        <f>结果表!D124</f>
        <v>——</v>
      </c>
      <c r="I14" s="2743" t="str">
        <f>结果表!D126</f>
        <v>——</v>
      </c>
      <c r="J14" s="2915"/>
      <c r="K14" s="2916"/>
    </row>
    <row r="15" spans="1:11" ht="16.5">
      <c r="A15" s="2742" t="s">
        <v>1315</v>
      </c>
      <c r="B15" s="2744">
        <f>典型户型修正!B25</f>
        <v>138.44999999999999</v>
      </c>
      <c r="C15" s="2744"/>
      <c r="D15" s="2744">
        <f ca="1">典型户型修正!S25</f>
        <v>478</v>
      </c>
      <c r="E15" s="2743">
        <f t="shared" ref="E15:E23" ca="1" si="0">ROUND(D15*10000/B15,0)</f>
        <v>34525</v>
      </c>
      <c r="F15" s="2743" t="e">
        <f t="shared" ref="F15:F23" ca="1" si="1">ROUND(D15*10000/C15,0)</f>
        <v>#DIV/0!</v>
      </c>
      <c r="G15" s="1502">
        <f ca="1">D15</f>
        <v>478</v>
      </c>
      <c r="H15" s="1502"/>
      <c r="I15" s="2744"/>
      <c r="J15" s="2915"/>
      <c r="K15" s="2916"/>
    </row>
    <row r="16" spans="1:11" ht="16.5">
      <c r="A16" s="2742" t="s">
        <v>1314</v>
      </c>
      <c r="B16" s="2744">
        <f>典型户型修正!B26</f>
        <v>137.61000000000001</v>
      </c>
      <c r="C16" s="2744"/>
      <c r="D16" s="2744">
        <f ca="1">典型户型修正!S26</f>
        <v>475</v>
      </c>
      <c r="E16" s="2743">
        <f t="shared" ca="1" si="0"/>
        <v>34518</v>
      </c>
      <c r="F16" s="2743" t="e">
        <f t="shared" ca="1" si="1"/>
        <v>#DIV/0!</v>
      </c>
      <c r="G16" s="1502">
        <f t="shared" ref="G16:G18" ca="1" si="2">D16</f>
        <v>475</v>
      </c>
      <c r="H16" s="1502"/>
      <c r="I16" s="2744"/>
      <c r="J16" s="2916"/>
      <c r="K16" s="2916"/>
    </row>
    <row r="17" spans="1:11" ht="16.5">
      <c r="A17" s="2742" t="s">
        <v>1313</v>
      </c>
      <c r="B17" s="2744">
        <f>典型户型修正!B27</f>
        <v>121.22</v>
      </c>
      <c r="C17" s="2744"/>
      <c r="D17" s="2744">
        <f ca="1">典型户型修正!S27</f>
        <v>418</v>
      </c>
      <c r="E17" s="2743">
        <f t="shared" ca="1" si="0"/>
        <v>34483</v>
      </c>
      <c r="F17" s="2743" t="e">
        <f t="shared" ca="1" si="1"/>
        <v>#DIV/0!</v>
      </c>
      <c r="G17" s="1502">
        <f t="shared" ca="1" si="2"/>
        <v>418</v>
      </c>
      <c r="H17" s="1502"/>
      <c r="I17" s="2744"/>
      <c r="J17" s="2916"/>
      <c r="K17" s="2916"/>
    </row>
    <row r="18" spans="1:11" ht="16.5">
      <c r="A18" s="2742" t="s">
        <v>1312</v>
      </c>
      <c r="B18" s="2744">
        <f>典型户型修正!B28</f>
        <v>72.12</v>
      </c>
      <c r="C18" s="2744"/>
      <c r="D18" s="2744">
        <f ca="1">典型户型修正!S28</f>
        <v>264</v>
      </c>
      <c r="E18" s="2743">
        <f t="shared" ca="1" si="0"/>
        <v>36606</v>
      </c>
      <c r="F18" s="2743" t="e">
        <f t="shared" ca="1" si="1"/>
        <v>#DIV/0!</v>
      </c>
      <c r="G18" s="1502">
        <f t="shared" ca="1" si="2"/>
        <v>264</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北京市房地产市场价值预评估</v>
      </c>
      <c r="C37" s="3071"/>
      <c r="D37" s="3071"/>
      <c r="E37" s="3071"/>
      <c r="F37" s="3071"/>
      <c r="G37" s="3071"/>
      <c r="H37" s="3071"/>
      <c r="I37" s="307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233" t="str">
        <f>项目基本情况!S2</f>
        <v>北京市房地产</v>
      </c>
      <c r="B2" s="3234"/>
      <c r="C2" s="3234"/>
      <c r="D2" s="3234"/>
      <c r="E2" s="3234"/>
      <c r="F2" s="3234"/>
      <c r="G2" s="3234"/>
      <c r="H2" s="3234"/>
      <c r="I2" s="3235"/>
    </row>
    <row r="3" spans="1:12" ht="12.75">
      <c r="A3" s="3237" t="s">
        <v>1951</v>
      </c>
      <c r="B3" s="3238"/>
      <c r="C3" s="3238"/>
      <c r="D3" s="3238"/>
      <c r="E3" s="3238"/>
      <c r="F3" s="3238"/>
      <c r="G3" s="3238"/>
      <c r="H3" s="3238"/>
      <c r="I3" s="3238"/>
    </row>
    <row r="4" spans="1:12" ht="14.25">
      <c r="A4" s="1942" t="s">
        <v>1952</v>
      </c>
      <c r="B4" s="1943" t="s">
        <v>1953</v>
      </c>
      <c r="C4" s="1944" t="s">
        <v>3091</v>
      </c>
      <c r="D4" s="1944" t="s">
        <v>3127</v>
      </c>
      <c r="E4" s="3242" t="s">
        <v>1954</v>
      </c>
      <c r="F4" s="3243"/>
      <c r="G4" s="3243"/>
      <c r="H4" s="3243"/>
      <c r="I4" s="324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8" t="s">
        <v>1955</v>
      </c>
      <c r="B5" s="3236">
        <v>25</v>
      </c>
      <c r="C5" s="3239"/>
      <c r="D5" s="3227"/>
      <c r="E5" s="136" t="s">
        <v>1956</v>
      </c>
      <c r="F5" s="1945"/>
      <c r="G5" s="1945"/>
      <c r="H5" s="1945"/>
      <c r="I5" s="1559"/>
    </row>
    <row r="6" spans="1:12" ht="12.75">
      <c r="A6" s="3178"/>
      <c r="B6" s="3236"/>
      <c r="C6" s="3241"/>
      <c r="D6" s="3227"/>
      <c r="E6" s="136" t="s">
        <v>1957</v>
      </c>
      <c r="F6" s="1945"/>
      <c r="G6" s="1945"/>
      <c r="H6" s="1945"/>
      <c r="I6" s="1559"/>
    </row>
    <row r="7" spans="1:12" ht="12.75">
      <c r="A7" s="3178"/>
      <c r="B7" s="3236"/>
      <c r="C7" s="3240"/>
      <c r="D7" s="3227"/>
      <c r="E7" s="136" t="s">
        <v>1958</v>
      </c>
      <c r="F7" s="1945"/>
      <c r="G7" s="1945"/>
      <c r="H7" s="1945"/>
      <c r="I7" s="1559"/>
    </row>
    <row r="8" spans="1:12" ht="12.75">
      <c r="A8" s="3178" t="s">
        <v>1959</v>
      </c>
      <c r="B8" s="3236">
        <v>15</v>
      </c>
      <c r="C8" s="3239"/>
      <c r="D8" s="3227"/>
      <c r="E8" s="136" t="s">
        <v>1960</v>
      </c>
      <c r="F8" s="1945"/>
      <c r="G8" s="1945"/>
      <c r="H8" s="1945"/>
      <c r="I8" s="1559"/>
    </row>
    <row r="9" spans="1:12" ht="12.75">
      <c r="A9" s="3178"/>
      <c r="B9" s="3236"/>
      <c r="C9" s="3240"/>
      <c r="D9" s="3227"/>
      <c r="E9" s="136" t="s">
        <v>1961</v>
      </c>
      <c r="F9" s="1945"/>
      <c r="G9" s="1945"/>
      <c r="H9" s="1945"/>
      <c r="I9" s="1559"/>
    </row>
    <row r="10" spans="1:12" ht="12.75">
      <c r="A10" s="3178" t="s">
        <v>1962</v>
      </c>
      <c r="B10" s="3236">
        <v>15</v>
      </c>
      <c r="C10" s="3239"/>
      <c r="D10" s="3227"/>
      <c r="E10" s="136" t="s">
        <v>1963</v>
      </c>
      <c r="F10" s="1945"/>
      <c r="G10" s="1945"/>
      <c r="H10" s="1945"/>
      <c r="I10" s="1559"/>
    </row>
    <row r="11" spans="1:12" ht="12.75">
      <c r="A11" s="3178"/>
      <c r="B11" s="3236"/>
      <c r="C11" s="3240"/>
      <c r="D11" s="3227"/>
      <c r="E11" s="136" t="s">
        <v>1964</v>
      </c>
      <c r="F11" s="1945"/>
      <c r="G11" s="1945"/>
      <c r="H11" s="1945"/>
      <c r="I11" s="1559"/>
    </row>
    <row r="12" spans="1:12" ht="12.75">
      <c r="A12" s="3178" t="s">
        <v>1965</v>
      </c>
      <c r="B12" s="3236">
        <v>15</v>
      </c>
      <c r="C12" s="3239"/>
      <c r="D12" s="3227"/>
      <c r="E12" s="136" t="s">
        <v>1966</v>
      </c>
      <c r="F12" s="1945"/>
      <c r="G12" s="1945"/>
      <c r="H12" s="1945"/>
      <c r="I12" s="1559"/>
    </row>
    <row r="13" spans="1:12" ht="12.75">
      <c r="A13" s="3178"/>
      <c r="B13" s="3236"/>
      <c r="C13" s="3240"/>
      <c r="D13" s="3227"/>
      <c r="E13" s="136" t="s">
        <v>1967</v>
      </c>
      <c r="F13" s="1945"/>
      <c r="G13" s="1945"/>
      <c r="H13" s="1945"/>
      <c r="I13" s="1559"/>
    </row>
    <row r="14" spans="1:12" ht="12.75">
      <c r="A14" s="3178" t="s">
        <v>1968</v>
      </c>
      <c r="B14" s="3236">
        <v>30</v>
      </c>
      <c r="C14" s="3239">
        <v>5</v>
      </c>
      <c r="D14" s="3227">
        <v>5</v>
      </c>
      <c r="E14" s="136" t="s">
        <v>1969</v>
      </c>
      <c r="F14" s="1945"/>
      <c r="G14" s="1945"/>
      <c r="H14" s="1945"/>
      <c r="I14" s="1559"/>
    </row>
    <row r="15" spans="1:12" ht="12.75">
      <c r="A15" s="3178"/>
      <c r="B15" s="3236"/>
      <c r="C15" s="3241"/>
      <c r="D15" s="3227"/>
      <c r="E15" s="136" t="s">
        <v>1970</v>
      </c>
      <c r="F15" s="1945"/>
      <c r="G15" s="1945"/>
      <c r="H15" s="1945"/>
      <c r="I15" s="1559"/>
    </row>
    <row r="16" spans="1:12" ht="12.75">
      <c r="A16" s="3178"/>
      <c r="B16" s="3236"/>
      <c r="C16" s="3240"/>
      <c r="D16" s="322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8" t="s">
        <v>2872</v>
      </c>
      <c r="F18" s="3259"/>
      <c r="G18" s="3259"/>
      <c r="H18" s="3259"/>
      <c r="I18" s="3259"/>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403</v>
      </c>
      <c r="D19" s="140">
        <f ca="1">SUMIF(INDIRECT("'"&amp;D4&amp;"'"&amp;"!A:A"),结果表!B19,INDIRECT("'"&amp;D4&amp;"'"&amp;"!B:B"))</f>
        <v>465</v>
      </c>
      <c r="E19" s="1949" t="s">
        <v>1979</v>
      </c>
      <c r="F19" s="1950" t="s">
        <v>1978</v>
      </c>
      <c r="G19" s="141">
        <f ca="1">ROUND(C19*$C$18+D19*$D$18,0)</f>
        <v>434</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32067</v>
      </c>
      <c r="D20" s="143">
        <f ca="1">SUMIF(INDIRECT("'"&amp;D4&amp;"'"&amp;"!A:A"),结果表!B20,INDIRECT("'"&amp;D4&amp;"'"&amp;"!B:B"))</f>
        <v>36978</v>
      </c>
      <c r="E20" s="1952"/>
      <c r="F20" s="1157" t="s">
        <v>1982</v>
      </c>
      <c r="G20" s="144">
        <f ca="1">ROUND(C20*$C$18+D20*$D$18,0)</f>
        <v>34523</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0.15384615384615374</v>
      </c>
      <c r="E22" s="134"/>
      <c r="F22" s="134"/>
      <c r="G22" s="134"/>
      <c r="H22" s="134"/>
      <c r="I22" s="134"/>
    </row>
    <row r="23" spans="1:36" ht="13.5" thickBot="1">
      <c r="A23" s="1935"/>
      <c r="B23" s="1935"/>
      <c r="C23" s="1935"/>
      <c r="D23" s="1935"/>
      <c r="E23" s="134"/>
      <c r="F23" s="134"/>
      <c r="G23" s="134"/>
      <c r="H23" s="134"/>
      <c r="I23" s="134"/>
    </row>
    <row r="24" spans="1:36" ht="14.25">
      <c r="A24" s="3251" t="s">
        <v>1986</v>
      </c>
      <c r="B24" s="1950" t="s">
        <v>1978</v>
      </c>
      <c r="C24" s="141">
        <f>IF(B30=0,0,D30)</f>
        <v>0</v>
      </c>
      <c r="D24" s="1957"/>
      <c r="E24" s="134"/>
      <c r="F24" s="134"/>
      <c r="G24" s="134"/>
      <c r="H24" s="134"/>
      <c r="I24" s="134"/>
    </row>
    <row r="25" spans="1:36" ht="14.25">
      <c r="A25" s="3252"/>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34523</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28" t="s">
        <v>1999</v>
      </c>
      <c r="B36" s="1975" t="s">
        <v>2000</v>
      </c>
      <c r="C36" s="150"/>
      <c r="D36" s="1976"/>
      <c r="E36" s="1977"/>
      <c r="F36" s="1978"/>
      <c r="G36" s="134"/>
      <c r="H36" s="134"/>
      <c r="I36" s="134"/>
    </row>
    <row r="37" spans="1:15" ht="15.75" thickBot="1">
      <c r="A37" s="3229"/>
      <c r="B37" s="1862" t="s">
        <v>2001</v>
      </c>
      <c r="C37" s="152"/>
      <c r="D37" s="1301"/>
      <c r="E37" s="1301"/>
      <c r="F37" s="1978"/>
      <c r="G37" s="134"/>
      <c r="H37" s="134"/>
      <c r="I37" s="134"/>
    </row>
    <row r="38" spans="1:15" ht="15.75" thickBot="1">
      <c r="A38" s="3230"/>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48" t="s">
        <v>2013</v>
      </c>
      <c r="B45" s="3249"/>
      <c r="C45" s="3250"/>
      <c r="D45" s="160">
        <f ca="1">ROUND(H101*F45,0)</f>
        <v>434</v>
      </c>
      <c r="E45" s="161" t="s">
        <v>2014</v>
      </c>
      <c r="F45" s="162">
        <v>1</v>
      </c>
      <c r="G45" s="163" t="s">
        <v>2015</v>
      </c>
      <c r="H45" s="134"/>
      <c r="I45" s="134"/>
      <c r="J45" s="3165" t="s">
        <v>2016</v>
      </c>
      <c r="K45" s="3165"/>
      <c r="L45" s="3165"/>
      <c r="M45" s="3165"/>
      <c r="N45" s="3165"/>
      <c r="O45" s="3165"/>
    </row>
    <row r="46" spans="1:15" ht="14.25" customHeight="1">
      <c r="A46" s="3245" t="s">
        <v>2017</v>
      </c>
      <c r="B46" s="3246"/>
      <c r="C46" s="3246"/>
      <c r="D46" s="3246"/>
      <c r="E46" s="3246"/>
      <c r="F46" s="3246"/>
      <c r="G46" s="3247"/>
      <c r="H46" s="1994"/>
      <c r="I46" s="164"/>
      <c r="J46" s="2748">
        <v>1</v>
      </c>
      <c r="K46" s="3166" t="s">
        <v>2018</v>
      </c>
      <c r="L46" s="3166"/>
      <c r="M46" s="3167"/>
      <c r="N46" s="3167"/>
      <c r="O46" s="3167"/>
    </row>
    <row r="47" spans="1:15" ht="12" customHeight="1">
      <c r="A47" s="165" t="s">
        <v>2019</v>
      </c>
      <c r="B47" s="166"/>
      <c r="C47" s="167"/>
      <c r="D47" s="1247" t="s">
        <v>2020</v>
      </c>
      <c r="E47" s="308" t="s">
        <v>2021</v>
      </c>
      <c r="F47" s="168" t="s">
        <v>2022</v>
      </c>
      <c r="G47" s="2771" t="s">
        <v>2023</v>
      </c>
      <c r="H47" s="2772"/>
      <c r="I47" s="164"/>
      <c r="J47" s="2748">
        <v>2</v>
      </c>
      <c r="K47" s="3166" t="s">
        <v>2024</v>
      </c>
      <c r="L47" s="3166"/>
      <c r="M47" s="3168">
        <f>'数据-取费表'!B2</f>
        <v>44209</v>
      </c>
      <c r="N47" s="3168"/>
      <c r="O47" s="3168"/>
    </row>
    <row r="48" spans="1:15" ht="25.5">
      <c r="A48" s="3231" t="s">
        <v>2025</v>
      </c>
      <c r="B48" s="3232"/>
      <c r="C48" s="3232"/>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3137</v>
      </c>
      <c r="I48" s="1994"/>
      <c r="J48" s="2748">
        <v>3</v>
      </c>
      <c r="K48" s="3166" t="s">
        <v>2027</v>
      </c>
      <c r="L48" s="3166"/>
      <c r="M48" s="3169">
        <f ca="1">H101</f>
        <v>434</v>
      </c>
      <c r="N48" s="3169"/>
      <c r="O48" s="3169"/>
    </row>
    <row r="49" spans="1:35" ht="25.5" customHeight="1">
      <c r="A49" s="2557" t="s">
        <v>2028</v>
      </c>
      <c r="B49" s="3214" t="s">
        <v>2029</v>
      </c>
      <c r="C49" s="3214"/>
      <c r="D49" s="1777">
        <v>0</v>
      </c>
      <c r="E49" s="330" t="s">
        <v>2030</v>
      </c>
      <c r="F49" s="2649" t="s">
        <v>34</v>
      </c>
      <c r="G49" s="3197"/>
      <c r="H49" s="2529" t="s">
        <v>2875</v>
      </c>
      <c r="I49" s="2530"/>
      <c r="J49" s="2748">
        <v>4</v>
      </c>
      <c r="K49" s="3166" t="str">
        <f>IF(项目基本情况!E8="房地产抵押价值","房地产抵押价值","抵押担保权已注销时的房地产抵押价值")</f>
        <v>抵押担保权已注销时的房地产抵押价值</v>
      </c>
      <c r="L49" s="3166"/>
      <c r="M49" s="3169" t="str">
        <f>IF(项目基本情况!E8="房地产抵押价值",H107,H109)</f>
        <v>——</v>
      </c>
      <c r="N49" s="3169"/>
      <c r="O49" s="3169"/>
    </row>
    <row r="50" spans="1:35" ht="25.5" customHeight="1">
      <c r="A50" s="2776"/>
      <c r="B50" s="3214" t="s">
        <v>2031</v>
      </c>
      <c r="C50" s="3214"/>
      <c r="D50" s="2777"/>
      <c r="E50" s="338"/>
      <c r="F50" s="2649"/>
      <c r="G50" s="3198"/>
      <c r="H50" s="2531" t="s">
        <v>2876</v>
      </c>
      <c r="I50" s="2530"/>
      <c r="J50" s="3165" t="s">
        <v>2032</v>
      </c>
      <c r="K50" s="3165"/>
      <c r="L50" s="3165"/>
      <c r="M50" s="3165"/>
      <c r="N50" s="3165"/>
      <c r="O50" s="3165"/>
    </row>
    <row r="51" spans="1:35" ht="20.45" customHeight="1">
      <c r="A51" s="2778"/>
      <c r="B51" s="3214" t="s">
        <v>2033</v>
      </c>
      <c r="C51" s="3214"/>
      <c r="D51" s="1247"/>
      <c r="E51" s="333"/>
      <c r="F51" s="2649"/>
      <c r="G51" s="3199"/>
      <c r="H51" s="2531" t="s">
        <v>2877</v>
      </c>
      <c r="I51" s="2530"/>
      <c r="J51" s="2749" t="s">
        <v>2034</v>
      </c>
      <c r="K51" s="3166" t="s">
        <v>2035</v>
      </c>
      <c r="L51" s="3166"/>
      <c r="M51" s="2749" t="s">
        <v>2036</v>
      </c>
      <c r="N51" s="2749" t="s">
        <v>2037</v>
      </c>
      <c r="O51" s="2749" t="s">
        <v>2038</v>
      </c>
    </row>
    <row r="52" spans="1:35" ht="24" customHeight="1">
      <c r="A52" s="2559" t="s">
        <v>2039</v>
      </c>
      <c r="B52" s="3214" t="s">
        <v>2040</v>
      </c>
      <c r="C52" s="3214"/>
      <c r="D52" s="1247">
        <f ca="1">ROUND(D45*'数据-取费表'!B41/(1+'数据-取费表'!C42),0)</f>
        <v>23</v>
      </c>
      <c r="E52" s="2558" t="s">
        <v>2041</v>
      </c>
      <c r="F52" s="2779">
        <f>'数据-取费表'!B41</f>
        <v>5.5000000000000007E-2</v>
      </c>
      <c r="G52" s="2780"/>
      <c r="H52" s="2769"/>
      <c r="I52" s="1995"/>
      <c r="J52" s="2748">
        <v>1</v>
      </c>
      <c r="K52" s="3191" t="s">
        <v>2042</v>
      </c>
      <c r="L52" s="3191"/>
      <c r="M52" s="2750">
        <f ca="1">D48</f>
        <v>23</v>
      </c>
      <c r="N52" s="2748" t="str">
        <f>E48</f>
        <v>(销售额-原购置价)×税（费）率</v>
      </c>
      <c r="O52" s="2751">
        <f>F48</f>
        <v>5.5000000000000007E-2</v>
      </c>
    </row>
    <row r="53" spans="1:35" ht="12" customHeight="1">
      <c r="A53" s="2559" t="s">
        <v>2043</v>
      </c>
      <c r="B53" s="3215" t="s">
        <v>3036</v>
      </c>
      <c r="C53" s="3216"/>
      <c r="D53" s="1247">
        <f ca="1">ROUND(D45*'数据-取费表'!B41/(1+'数据-取费表'!C42),0)</f>
        <v>23</v>
      </c>
      <c r="E53" s="2558" t="s">
        <v>2041</v>
      </c>
      <c r="F53" s="2779">
        <f>'数据-取费表'!B41</f>
        <v>5.5000000000000007E-2</v>
      </c>
      <c r="G53" s="2780"/>
      <c r="H53" s="2769"/>
      <c r="I53" s="1995"/>
      <c r="J53" s="2748">
        <v>2</v>
      </c>
      <c r="K53" s="3191" t="s">
        <v>2044</v>
      </c>
      <c r="L53" s="3191"/>
      <c r="M53" s="2750">
        <f t="shared" ref="M53:O54" ca="1" si="0">D55</f>
        <v>0</v>
      </c>
      <c r="N53" s="2748" t="str">
        <f t="shared" si="0"/>
        <v>销售额×税（费）率</v>
      </c>
      <c r="O53" s="2751" t="str">
        <f t="shared" si="0"/>
        <v>免征</v>
      </c>
    </row>
    <row r="54" spans="1:35" ht="12" customHeight="1">
      <c r="A54" s="2559" t="s">
        <v>2045</v>
      </c>
      <c r="B54" s="3215" t="s">
        <v>3037</v>
      </c>
      <c r="C54" s="3216"/>
      <c r="D54" s="1247">
        <f ca="1">C68</f>
        <v>23</v>
      </c>
      <c r="E54" s="333" t="s">
        <v>2046</v>
      </c>
      <c r="F54" s="2779">
        <f>'数据-取费表'!B41</f>
        <v>5.5000000000000007E-2</v>
      </c>
      <c r="G54" s="2780"/>
      <c r="H54" s="2781"/>
      <c r="I54" s="1995"/>
      <c r="J54" s="2748">
        <v>3</v>
      </c>
      <c r="K54" s="3191" t="s">
        <v>2047</v>
      </c>
      <c r="L54" s="3191"/>
      <c r="M54" s="2750">
        <f t="shared" ca="1" si="0"/>
        <v>246</v>
      </c>
      <c r="N54" s="2748" t="str">
        <f t="shared" si="0"/>
        <v>增值额×税（费）率</v>
      </c>
      <c r="O54" s="2752" t="str">
        <f t="shared" si="0"/>
        <v>免征</v>
      </c>
    </row>
    <row r="55" spans="1:35" ht="24" customHeight="1">
      <c r="A55" s="3254" t="s">
        <v>2048</v>
      </c>
      <c r="B55" s="3232"/>
      <c r="C55" s="3232"/>
      <c r="D55" s="2548">
        <f ca="1">IF(H55="个人住宅",0,ROUND(D45*I55,0))</f>
        <v>0</v>
      </c>
      <c r="E55" s="2558" t="s">
        <v>2049</v>
      </c>
      <c r="F55" s="2779" t="str">
        <f>IF(H55="正常",I55,"免征")</f>
        <v>免征</v>
      </c>
      <c r="G55" s="2780"/>
      <c r="H55" s="2775"/>
      <c r="I55" s="170">
        <f>'数据-取费表'!B49</f>
        <v>5.0000000000000001E-4</v>
      </c>
      <c r="J55" s="2748">
        <f>IF(H59="非个人房产","",4)</f>
        <v>4</v>
      </c>
      <c r="K55" s="3191" t="str">
        <f>IF(H59="非个人房产","——","个人所得税")</f>
        <v>个人所得税</v>
      </c>
      <c r="L55" s="3191"/>
      <c r="M55" s="2753">
        <f ca="1">D59</f>
        <v>4</v>
      </c>
      <c r="N55" s="2229" t="str">
        <f>E59</f>
        <v>差额计税</v>
      </c>
      <c r="O55" s="2754">
        <f>F59</f>
        <v>0.01</v>
      </c>
    </row>
    <row r="56" spans="1:35" ht="24.75">
      <c r="A56" s="3254" t="s">
        <v>2050</v>
      </c>
      <c r="B56" s="3232"/>
      <c r="C56" s="3232"/>
      <c r="D56" s="2548">
        <f ca="1">IF(H56="个人住宅",D57,D58)</f>
        <v>246</v>
      </c>
      <c r="E56" s="2558" t="s">
        <v>2051</v>
      </c>
      <c r="F56" s="2779" t="str">
        <f>IF(H56="正常",F58,"免征")</f>
        <v>免征</v>
      </c>
      <c r="G56" s="2782" t="s">
        <v>2052</v>
      </c>
      <c r="H56" s="2783"/>
      <c r="I56" s="1996"/>
      <c r="J56" s="2748" t="str">
        <f>IF(项目基本情况!K6="上海银行",IF(J55="",4,J55+1),"")</f>
        <v/>
      </c>
      <c r="K56" s="3172" t="str">
        <f>IF(项目基本情况!K6="上海银行","其他处置费用","")</f>
        <v/>
      </c>
      <c r="L56" s="3173"/>
      <c r="M56" s="2750" t="str">
        <f>IF(项目基本情况!K6="上海银行",M69,"")</f>
        <v/>
      </c>
      <c r="N56" s="3172" t="str">
        <f>IF(项目基本情况!K6="上海银行","包含处置中涉及的律师、诉讼、拍卖、评估等费用","")</f>
        <v/>
      </c>
      <c r="O56" s="3175"/>
    </row>
    <row r="57" spans="1:35" ht="12.75">
      <c r="A57" s="2559" t="s">
        <v>2028</v>
      </c>
      <c r="B57" s="3215" t="s">
        <v>2053</v>
      </c>
      <c r="C57" s="3216"/>
      <c r="D57" s="1777">
        <v>0</v>
      </c>
      <c r="E57" s="330" t="s">
        <v>2030</v>
      </c>
      <c r="F57" s="308"/>
      <c r="G57" s="2780"/>
      <c r="H57" s="2784"/>
      <c r="I57" s="1996"/>
      <c r="J57" s="3191">
        <f>IF(AND(J55="",J56=""),4,IF(项目基本情况!K6="上海银行",结果表!J56+1,结果表!J55+1))</f>
        <v>5</v>
      </c>
      <c r="K57" s="3191" t="s">
        <v>2054</v>
      </c>
      <c r="L57" s="2755" t="s">
        <v>2055</v>
      </c>
      <c r="M57" s="2756"/>
      <c r="N57" s="2757">
        <f ca="1">SUMIF(M52:M56,"&lt;9e307")</f>
        <v>273</v>
      </c>
      <c r="O57" s="2758"/>
      <c r="P57" s="2918" t="e">
        <f ca="1">N57/M49</f>
        <v>#VALUE!</v>
      </c>
    </row>
    <row r="58" spans="1:35" ht="24.75">
      <c r="A58" s="2559" t="s">
        <v>2039</v>
      </c>
      <c r="B58" s="3215" t="s">
        <v>2056</v>
      </c>
      <c r="C58" s="3214"/>
      <c r="D58" s="2548">
        <f ca="1">IF(H58="转让取得",C81,C97)</f>
        <v>246</v>
      </c>
      <c r="E58" s="2558" t="s">
        <v>2051</v>
      </c>
      <c r="F58" s="308" t="s">
        <v>34</v>
      </c>
      <c r="G58" s="2780"/>
      <c r="H58" s="2783"/>
      <c r="I58" s="1996"/>
      <c r="J58" s="3191"/>
      <c r="K58" s="3191"/>
      <c r="L58" s="2755" t="s">
        <v>2057</v>
      </c>
      <c r="M58" s="2759"/>
      <c r="N58" s="2760" t="str">
        <f ca="1">NUMBERSTRING(INT(N57*10000),2)&amp;"元整"</f>
        <v>贰佰柒拾叁万元整</v>
      </c>
      <c r="O58" s="2761"/>
    </row>
    <row r="59" spans="1:35" ht="24.75" thickBot="1">
      <c r="A59" s="3195" t="s">
        <v>2058</v>
      </c>
      <c r="B59" s="3196"/>
      <c r="C59" s="3196"/>
      <c r="D59" s="2785">
        <f ca="1">IF(H59="非个人房产","——",IF(H59="个人住宅（满五唯一有凭证）",0,IF(H59="个人其他（无凭证）",ROUND(D45*F59,0),ROUND(C67*F59,0))))</f>
        <v>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3"/>
      <c r="I59" s="2532" t="s">
        <v>2878</v>
      </c>
      <c r="J59" s="3193">
        <f>J57+1</f>
        <v>6</v>
      </c>
      <c r="K59" s="3191" t="s">
        <v>2059</v>
      </c>
      <c r="L59" s="2748" t="s">
        <v>2055</v>
      </c>
      <c r="M59" s="2762"/>
      <c r="N59" s="2763" t="e">
        <f ca="1">M49-N57</f>
        <v>#VALUE!</v>
      </c>
      <c r="O59" s="2764"/>
    </row>
    <row r="60" spans="1:35" ht="12" customHeight="1">
      <c r="A60" s="1997"/>
      <c r="B60" s="1935"/>
      <c r="C60" s="1935"/>
      <c r="D60" s="1935"/>
      <c r="E60" s="1765"/>
      <c r="F60" s="1996"/>
      <c r="G60" s="1996"/>
      <c r="H60" s="1998"/>
      <c r="I60" s="134"/>
      <c r="J60" s="3194"/>
      <c r="K60" s="3191"/>
      <c r="L60" s="2755" t="s">
        <v>2057</v>
      </c>
      <c r="M60" s="2759"/>
      <c r="N60" s="2760" t="e">
        <f ca="1">NUMBERSTRING(INT(N59*10000),2)&amp;"元整"</f>
        <v>#VALUE!</v>
      </c>
      <c r="O60" s="2761"/>
    </row>
    <row r="61" spans="1:35" ht="13.5" thickBot="1">
      <c r="A61" s="3253" t="s">
        <v>2060</v>
      </c>
      <c r="B61" s="3253"/>
      <c r="C61" s="3253"/>
      <c r="D61" s="3253"/>
      <c r="E61" s="3253"/>
      <c r="F61" s="1996"/>
      <c r="G61" s="1996"/>
      <c r="H61" s="1998"/>
      <c r="I61" s="134"/>
      <c r="J61" s="2748">
        <f>J59+1</f>
        <v>7</v>
      </c>
      <c r="K61" s="3191" t="s">
        <v>2061</v>
      </c>
      <c r="L61" s="3191"/>
      <c r="M61" s="2765"/>
      <c r="N61" s="2766" t="e">
        <f ca="1">ROUND(N59*10000/'数据-汇总表'!E3,0)</f>
        <v>#VALUE!</v>
      </c>
      <c r="O61" s="2767"/>
    </row>
    <row r="62" spans="1:35" ht="12.75">
      <c r="A62" s="3210" t="s">
        <v>2062</v>
      </c>
      <c r="B62" s="3211"/>
      <c r="C62" s="2210"/>
      <c r="D62" s="2210" t="s">
        <v>2063</v>
      </c>
      <c r="E62" s="171" t="s">
        <v>2064</v>
      </c>
      <c r="F62" s="1996"/>
      <c r="G62" s="1996"/>
      <c r="H62" s="1998"/>
      <c r="I62" s="134"/>
    </row>
    <row r="63" spans="1:35" ht="12.75">
      <c r="A63" s="178" t="s">
        <v>775</v>
      </c>
      <c r="B63" s="172" t="s">
        <v>2065</v>
      </c>
      <c r="C63" s="2789">
        <f ca="1">ROUND((C64+C65)/(1+'数据-取费表'!C42),0)</f>
        <v>413</v>
      </c>
      <c r="D63" s="172"/>
      <c r="E63" s="173"/>
      <c r="F63" s="1996"/>
      <c r="G63" s="1996"/>
      <c r="H63" s="1998"/>
      <c r="I63" s="134"/>
      <c r="J63" s="3174" t="s">
        <v>2066</v>
      </c>
      <c r="K63" s="1503" t="s">
        <v>2067</v>
      </c>
      <c r="L63" s="1503" t="e">
        <f>IF(M49&gt;10000,M49*0.5%,IF(AND(M49&gt;1000,M49&lt;=10000),M49*1%,IF(AND(M49&gt;100,M49&lt;=1000),M49*3%,IF(AND(M49&gt;10,M49&lt;=100),M49*5%,M49*8%))))</f>
        <v>#VALUE!</v>
      </c>
      <c r="M63" s="308" t="e">
        <f>ROUND(L63,1)</f>
        <v>#VALUE!</v>
      </c>
      <c r="N63" s="2768"/>
      <c r="Z63" s="1940"/>
      <c r="AI63" s="1941"/>
    </row>
    <row r="64" spans="1:35" ht="14.25" customHeight="1">
      <c r="A64" s="174" t="s">
        <v>770</v>
      </c>
      <c r="B64" s="175" t="s">
        <v>2068</v>
      </c>
      <c r="C64" s="2790">
        <f ca="1">D45</f>
        <v>434</v>
      </c>
      <c r="D64" s="175" t="s">
        <v>32</v>
      </c>
      <c r="E64" s="177"/>
      <c r="F64" s="1996"/>
      <c r="G64" s="1996"/>
      <c r="H64" s="1998"/>
      <c r="I64" s="134"/>
      <c r="J64" s="3174"/>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2070</v>
      </c>
      <c r="Z64" s="1940"/>
      <c r="AI64" s="1941"/>
    </row>
    <row r="65" spans="1:35" ht="14.25" customHeight="1">
      <c r="A65" s="174" t="s">
        <v>771</v>
      </c>
      <c r="B65" s="175" t="s">
        <v>2071</v>
      </c>
      <c r="C65" s="2791"/>
      <c r="D65" s="175"/>
      <c r="E65" s="177"/>
      <c r="F65" s="1996"/>
      <c r="G65" s="1996"/>
      <c r="H65" s="1998"/>
      <c r="I65" s="134"/>
      <c r="J65" s="3174"/>
      <c r="K65" s="1503" t="s">
        <v>2072</v>
      </c>
      <c r="L65" s="1503" t="e">
        <f>IF(M49&gt;1000,M49*0.1%,IF(AND(M49&gt;500,M49&lt;=1000),M49*0.5%,IF(AND(M49&gt;50,M49&lt;=500),M49*1%,IF(AND(M49&gt;1,M49&lt;=50),M49*1.5%))))</f>
        <v>#VALUE!</v>
      </c>
      <c r="M65" s="308" t="e">
        <f t="shared" si="1"/>
        <v>#VALUE!</v>
      </c>
      <c r="N65" s="2769" t="s">
        <v>2070</v>
      </c>
      <c r="Z65" s="1940"/>
      <c r="AI65" s="1941"/>
    </row>
    <row r="66" spans="1:35" ht="14.25" customHeight="1">
      <c r="A66" s="178" t="s">
        <v>772</v>
      </c>
      <c r="B66" s="179" t="s">
        <v>2073</v>
      </c>
      <c r="C66" s="2792"/>
      <c r="D66" s="179" t="s">
        <v>32</v>
      </c>
      <c r="E66" s="1511" t="s">
        <v>1337</v>
      </c>
      <c r="F66" s="1996"/>
      <c r="G66" s="1996"/>
      <c r="H66" s="1998"/>
      <c r="I66" s="134"/>
      <c r="J66" s="3174"/>
      <c r="K66" s="1503" t="s">
        <v>2074</v>
      </c>
      <c r="L66" s="1503" t="e">
        <f>M49*0.5%</f>
        <v>#VALUE!</v>
      </c>
      <c r="M66" s="308" t="e">
        <f>IF(L66&gt;0.5,0.5,ROUND(L66,0))</f>
        <v>#VALUE!</v>
      </c>
      <c r="N66" s="2769" t="s">
        <v>2075</v>
      </c>
      <c r="Z66" s="1940"/>
      <c r="AI66" s="1941"/>
    </row>
    <row r="67" spans="1:35" ht="14.25" customHeight="1">
      <c r="A67" s="178" t="s">
        <v>773</v>
      </c>
      <c r="B67" s="179" t="s">
        <v>2076</v>
      </c>
      <c r="C67" s="2793">
        <f ca="1">C63-C66</f>
        <v>413</v>
      </c>
      <c r="D67" s="175" t="s">
        <v>32</v>
      </c>
      <c r="E67" s="177"/>
      <c r="F67" s="1996"/>
      <c r="G67" s="1996"/>
      <c r="H67" s="1998"/>
      <c r="I67" s="134"/>
      <c r="J67" s="3174"/>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174"/>
      <c r="K68" s="1503" t="s">
        <v>2079</v>
      </c>
      <c r="L68" s="1503" t="e">
        <f>IF(M49&gt;10000,M49*0.5%,IF(AND(M49&gt;5000,M49&lt;=10000),M49*1%,IF(AND(M49&gt;1000,M49&lt;=5000),M49*2%,IF(AND(M49&gt;200,M49&lt;=1000),M49*3%,M49*5%))))</f>
        <v>#VALUE!</v>
      </c>
      <c r="M68" s="308" t="e">
        <f>ROUND(L68,1)</f>
        <v>#VALUE!</v>
      </c>
      <c r="N68" s="2768"/>
      <c r="Z68" s="1940"/>
      <c r="AI68" s="1941"/>
    </row>
    <row r="69" spans="1:35" s="1960" customFormat="1" ht="16.5" customHeight="1">
      <c r="A69" s="1999"/>
      <c r="B69" s="2000"/>
      <c r="C69" s="2001"/>
      <c r="D69" s="2002"/>
      <c r="E69" s="2003"/>
      <c r="F69" s="1765"/>
      <c r="G69" s="1765"/>
      <c r="H69" s="1764"/>
      <c r="I69" s="1935"/>
      <c r="J69" s="3174"/>
      <c r="K69" s="1503" t="s">
        <v>2080</v>
      </c>
      <c r="L69" s="1503"/>
      <c r="M69" s="308" t="e">
        <f>ROUND(SUM(M63:M68),0)</f>
        <v>#VALUE!</v>
      </c>
      <c r="N69" s="2770"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8" t="s">
        <v>2081</v>
      </c>
      <c r="B70" s="3219"/>
      <c r="C70" s="3219"/>
      <c r="D70" s="3219"/>
      <c r="E70" s="3219"/>
      <c r="F70" s="3219"/>
      <c r="G70" s="3219"/>
      <c r="H70" s="3219"/>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0" t="s">
        <v>2062</v>
      </c>
      <c r="B71" s="3211"/>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413</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5" t="s">
        <v>2089</v>
      </c>
      <c r="F76" s="3214"/>
      <c r="G76" s="3214"/>
      <c r="H76" s="321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07" t="s">
        <v>2093</v>
      </c>
      <c r="F78" s="3208"/>
      <c r="G78" s="3208"/>
      <c r="H78" s="320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411</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205.5</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8" t="s">
        <v>2097</v>
      </c>
      <c r="B83" s="3219"/>
      <c r="C83" s="3219"/>
      <c r="D83" s="3219"/>
      <c r="E83" s="3219"/>
      <c r="F83" s="3219"/>
      <c r="G83" s="3219"/>
      <c r="H83" s="321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0" t="s">
        <v>2062</v>
      </c>
      <c r="B84" s="3211"/>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413</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176" t="s">
        <v>2870</v>
      </c>
      <c r="H90" s="3177"/>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07" t="s">
        <v>2106</v>
      </c>
      <c r="F91" s="3208"/>
      <c r="G91" s="320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07" t="s">
        <v>2109</v>
      </c>
      <c r="F92" s="3208"/>
      <c r="G92" s="3208"/>
      <c r="H92" s="3209"/>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07" t="s">
        <v>2093</v>
      </c>
      <c r="F93" s="3208"/>
      <c r="G93" s="3208"/>
      <c r="H93" s="320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55" t="s">
        <v>2113</v>
      </c>
      <c r="F94" s="3256"/>
      <c r="G94" s="3256"/>
      <c r="H94" s="325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411</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205.5</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7" t="s">
        <v>2115</v>
      </c>
      <c r="B100" s="3158"/>
      <c r="C100" s="3158"/>
      <c r="D100" s="3192"/>
      <c r="E100" s="3158" t="s">
        <v>2116</v>
      </c>
      <c r="F100" s="3158"/>
      <c r="G100" s="3158"/>
      <c r="H100" s="3192"/>
      <c r="I100" s="134"/>
    </row>
    <row r="101" spans="1:35" ht="18.75" customHeight="1">
      <c r="A101" s="3200" t="s">
        <v>2117</v>
      </c>
      <c r="B101" s="3201"/>
      <c r="C101" s="2810" t="str">
        <f>C4</f>
        <v>比较法-商业</v>
      </c>
      <c r="D101" s="2811" t="str">
        <f>D4</f>
        <v>收益法 (元)</v>
      </c>
      <c r="E101" s="3170" t="s">
        <v>2118</v>
      </c>
      <c r="F101" s="3171"/>
      <c r="G101" s="2015" t="s">
        <v>2119</v>
      </c>
      <c r="H101" s="2820">
        <f ca="1">H118</f>
        <v>434</v>
      </c>
      <c r="I101" s="134"/>
    </row>
    <row r="102" spans="1:35" ht="18.75" customHeight="1">
      <c r="A102" s="3202" t="s">
        <v>2120</v>
      </c>
      <c r="B102" s="2809" t="s">
        <v>2119</v>
      </c>
      <c r="C102" s="2810">
        <f ca="1">C19</f>
        <v>403</v>
      </c>
      <c r="D102" s="2811">
        <f ca="1">D19</f>
        <v>465</v>
      </c>
      <c r="E102" s="3170"/>
      <c r="F102" s="3171"/>
      <c r="G102" s="2015" t="s">
        <v>2121</v>
      </c>
      <c r="H102" s="2780">
        <f ca="1">I118</f>
        <v>34523</v>
      </c>
      <c r="I102" s="134"/>
    </row>
    <row r="103" spans="1:35" ht="42.75" customHeight="1">
      <c r="A103" s="3202"/>
      <c r="B103" s="2809" t="s">
        <v>2121</v>
      </c>
      <c r="C103" s="2812">
        <f ca="1">C20</f>
        <v>32067</v>
      </c>
      <c r="D103" s="2813">
        <f ca="1">D20</f>
        <v>36978</v>
      </c>
      <c r="E103" s="3163" t="s">
        <v>2122</v>
      </c>
      <c r="F103" s="3164"/>
      <c r="G103" s="2016" t="s">
        <v>2123</v>
      </c>
      <c r="H103" s="2820">
        <f>IF(D36="正常操作",H104+H105+H106,H105+H106)</f>
        <v>0</v>
      </c>
      <c r="I103" s="134"/>
    </row>
    <row r="104" spans="1:35" ht="18.75" customHeight="1">
      <c r="A104" s="3202" t="s">
        <v>2124</v>
      </c>
      <c r="B104" s="2814" t="s">
        <v>2119</v>
      </c>
      <c r="C104" s="2815">
        <f ca="1">H118</f>
        <v>434</v>
      </c>
      <c r="D104" s="2816"/>
      <c r="E104" s="1862" t="s">
        <v>2125</v>
      </c>
      <c r="F104" s="1853"/>
      <c r="G104" s="2016" t="s">
        <v>2123</v>
      </c>
      <c r="H104" s="2821">
        <f>IF(D36="同一抵押权人同一抵押物续贷",C36&amp;"（续贷，未扣减，详见特别提示）",C36)</f>
        <v>0</v>
      </c>
      <c r="I104" s="134"/>
    </row>
    <row r="105" spans="1:35" ht="18.75" customHeight="1" thickBot="1">
      <c r="A105" s="3212"/>
      <c r="B105" s="2817" t="s">
        <v>2121</v>
      </c>
      <c r="C105" s="2818">
        <f ca="1">I118</f>
        <v>34523</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3" t="str">
        <f>IF(项目基本情况!E8="已注销","——","3.房地产抵押价值")</f>
        <v>3.房地产抵押价值</v>
      </c>
      <c r="F107" s="3171"/>
      <c r="G107" s="2015" t="s">
        <v>2119</v>
      </c>
      <c r="H107" s="2820">
        <f ca="1">IF(E107="——","——",H101-H103)</f>
        <v>434</v>
      </c>
      <c r="I107" s="134"/>
    </row>
    <row r="108" spans="1:35" ht="18.75" customHeight="1">
      <c r="A108" s="134"/>
      <c r="B108" s="134"/>
      <c r="C108" s="134"/>
      <c r="D108" s="134"/>
      <c r="E108" s="3203"/>
      <c r="F108" s="3171"/>
      <c r="G108" s="2015" t="s">
        <v>2121</v>
      </c>
      <c r="H108" s="2780">
        <f ca="1">ROUND(H107*10000/'数据-汇总表'!E3,0)</f>
        <v>3426</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171"/>
      <c r="G109" s="2015" t="s">
        <v>2119</v>
      </c>
      <c r="H109" s="2823" t="str">
        <f>IF(E109="——","——",H101-H105-H106)</f>
        <v>——</v>
      </c>
      <c r="I109" s="134"/>
    </row>
    <row r="110" spans="1:35" ht="18.75" customHeight="1">
      <c r="A110" s="134"/>
      <c r="B110" s="134"/>
      <c r="C110" s="134"/>
      <c r="D110" s="134"/>
      <c r="E110" s="3203"/>
      <c r="F110" s="3171"/>
      <c r="G110" s="2015" t="s">
        <v>2121</v>
      </c>
      <c r="H110" s="2780" t="str">
        <f>IF(H109="——","——",ROUND(H109*10000/'数据-汇总表'!E3,0))</f>
        <v>——</v>
      </c>
      <c r="I110" s="134"/>
    </row>
    <row r="111" spans="1:35" ht="18.75" customHeight="1">
      <c r="A111" s="134"/>
      <c r="B111" s="134"/>
      <c r="C111" s="134"/>
      <c r="D111" s="134"/>
      <c r="E111" s="3204" t="str">
        <f>IF(项目基本情况!E9="抵押净值",IF(OR(项目基本情况!E8="已注销",项目基本情况!E8="房地产抵押价值"),"4.抵押净值","5.抵押净值"),"——")</f>
        <v>——</v>
      </c>
      <c r="F111" s="3190"/>
      <c r="G111" s="2015" t="s">
        <v>2119</v>
      </c>
      <c r="H111" s="2820" t="str">
        <f>IF(E111="——","——",N59)</f>
        <v>——</v>
      </c>
      <c r="I111" s="134"/>
    </row>
    <row r="112" spans="1:35" ht="18.75" customHeight="1" thickBot="1">
      <c r="A112" s="134"/>
      <c r="B112" s="134"/>
      <c r="C112" s="134"/>
      <c r="D112" s="134"/>
      <c r="E112" s="3205"/>
      <c r="F112" s="3206"/>
      <c r="G112" s="2018" t="s">
        <v>2121</v>
      </c>
      <c r="H112" s="2824" t="str">
        <f>IF(E111="——","——",N61)</f>
        <v>——</v>
      </c>
      <c r="I112" s="134"/>
    </row>
    <row r="113" spans="1:27" ht="18.75" customHeight="1">
      <c r="A113" s="134"/>
      <c r="B113" s="134"/>
      <c r="C113" s="134"/>
      <c r="D113" s="134"/>
      <c r="E113" s="3213" t="s">
        <v>2127</v>
      </c>
      <c r="F113" s="3213"/>
      <c r="G113" s="3213"/>
      <c r="H113" s="3213"/>
      <c r="I113" s="134"/>
    </row>
    <row r="114" spans="1:27" ht="3.75" customHeight="1">
      <c r="A114" s="1935"/>
      <c r="B114" s="1935"/>
      <c r="C114" s="1935"/>
      <c r="D114" s="1935"/>
      <c r="E114" s="1997"/>
      <c r="F114" s="1997"/>
      <c r="G114" s="1997"/>
      <c r="H114" s="1997"/>
      <c r="I114" s="1935"/>
    </row>
    <row r="115" spans="1:27" ht="18.75" customHeight="1">
      <c r="A115" s="3224" t="s">
        <v>2129</v>
      </c>
      <c r="B115" s="3225"/>
      <c r="C115" s="3225"/>
      <c r="D115" s="3225"/>
      <c r="E115" s="3225"/>
      <c r="F115" s="3225"/>
      <c r="G115" s="3225"/>
      <c r="H115" s="3225"/>
      <c r="I115" s="3226"/>
    </row>
    <row r="116" spans="1:27" ht="27" customHeight="1">
      <c r="A116" s="3178" t="s">
        <v>2130</v>
      </c>
      <c r="B116" s="3182" t="s">
        <v>2131</v>
      </c>
      <c r="C116" s="3182" t="s">
        <v>2132</v>
      </c>
      <c r="D116" s="3188" t="s">
        <v>2133</v>
      </c>
      <c r="E116" s="3189"/>
      <c r="F116" s="3220" t="s">
        <v>2134</v>
      </c>
      <c r="G116" s="3220"/>
      <c r="H116" s="3178" t="s">
        <v>2135</v>
      </c>
      <c r="I116" s="3178"/>
    </row>
    <row r="117" spans="1:27" ht="18.75" customHeight="1">
      <c r="A117" s="3178"/>
      <c r="B117" s="3183"/>
      <c r="C117" s="3183"/>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434</v>
      </c>
      <c r="I118" s="2553">
        <f ca="1">ROUND(IF(D32="楼面单价",C32,H118*10000/B118),0)</f>
        <v>34523</v>
      </c>
    </row>
    <row r="119" spans="1:27" ht="18.75" customHeight="1">
      <c r="A119" s="3178" t="s">
        <v>2139</v>
      </c>
      <c r="B119" s="3178"/>
      <c r="C119" s="3178"/>
      <c r="D119" s="3184" t="e">
        <f ca="1">NUMBERSTRING(INT(D118*10000),2)&amp;"元整"</f>
        <v>#REF!</v>
      </c>
      <c r="E119" s="3185"/>
      <c r="F119" s="3184" t="e">
        <f ca="1">NUMBERSTRING(INT(F118*10000),2)&amp;"元整"</f>
        <v>#REF!</v>
      </c>
      <c r="G119" s="3185"/>
      <c r="H119" s="3184" t="str">
        <f ca="1">NUMBERSTRING(INT(H118*10000),2)&amp;"元整"</f>
        <v>肆佰叁拾肆万元整</v>
      </c>
      <c r="I119" s="3185"/>
    </row>
    <row r="120" spans="1:27" ht="18.75" customHeight="1">
      <c r="A120" s="3179" t="str">
        <f>IF(项目基本情况!B9="房地产市场价值","",MID(E103,3,LEN(E103)-2))</f>
        <v/>
      </c>
      <c r="B120" s="3180"/>
      <c r="C120" s="3181"/>
      <c r="D120" s="3179">
        <f>H103</f>
        <v>0</v>
      </c>
      <c r="E120" s="3180"/>
      <c r="F120" s="3180"/>
      <c r="G120" s="3180"/>
      <c r="H120" s="3180"/>
      <c r="I120" s="3181"/>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21" t="s">
        <v>2139</v>
      </c>
      <c r="B121" s="3222"/>
      <c r="C121" s="3223"/>
      <c r="D121" s="3184" t="str">
        <f>IF(D120=0,"零元整",NUMBERSTRING(INT(D120*10000),2)&amp;"元整")</f>
        <v>零元整</v>
      </c>
      <c r="E121" s="3186"/>
      <c r="F121" s="3186"/>
      <c r="G121" s="3186"/>
      <c r="H121" s="3186"/>
      <c r="I121" s="3185"/>
      <c r="AA121" s="734"/>
    </row>
    <row r="122" spans="1:27" ht="18.75" customHeight="1">
      <c r="A122" s="3190" t="str">
        <f>IF(项目基本情况!B9="房地产市场价值","",MID(E107,3,LEN(E107)-2))</f>
        <v/>
      </c>
      <c r="B122" s="3190"/>
      <c r="C122" s="3190"/>
      <c r="D122" s="3179">
        <f ca="1">H107</f>
        <v>434</v>
      </c>
      <c r="E122" s="3180"/>
      <c r="F122" s="3180"/>
      <c r="G122" s="3180"/>
      <c r="H122" s="3180"/>
      <c r="I122" s="3181"/>
      <c r="AA122" s="734"/>
    </row>
    <row r="123" spans="1:27" ht="18.75" customHeight="1">
      <c r="A123" s="3178" t="s">
        <v>2139</v>
      </c>
      <c r="B123" s="3178"/>
      <c r="C123" s="3178"/>
      <c r="D123" s="3184" t="str">
        <f ca="1">NUMBERSTRING(INT(D122*10000),2)&amp;"元整"</f>
        <v>肆佰叁拾肆万元整</v>
      </c>
      <c r="E123" s="3186"/>
      <c r="F123" s="3186"/>
      <c r="G123" s="3186"/>
      <c r="H123" s="3186"/>
      <c r="I123" s="3185"/>
      <c r="AA123" s="734"/>
    </row>
    <row r="124" spans="1:27" ht="18.75" customHeight="1">
      <c r="A124" s="3190" t="str">
        <f>IF(项目基本情况!B9="房地产市场价值","",MID(E109,3,LEN(E109)-2))</f>
        <v/>
      </c>
      <c r="B124" s="3190"/>
      <c r="C124" s="3190"/>
      <c r="D124" s="3179" t="str">
        <f>H109</f>
        <v>——</v>
      </c>
      <c r="E124" s="3180"/>
      <c r="F124" s="3180"/>
      <c r="G124" s="3180"/>
      <c r="H124" s="3180"/>
      <c r="I124" s="3181"/>
      <c r="AA124" s="734"/>
    </row>
    <row r="125" spans="1:27" ht="18.75" customHeight="1">
      <c r="A125" s="3178" t="s">
        <v>2139</v>
      </c>
      <c r="B125" s="3178"/>
      <c r="C125" s="3178"/>
      <c r="D125" s="3184" t="e">
        <f>NUMBERSTRING(INT(D124*10000),2)&amp;"元整"</f>
        <v>#VALUE!</v>
      </c>
      <c r="E125" s="3186"/>
      <c r="F125" s="3186"/>
      <c r="G125" s="3186"/>
      <c r="H125" s="3186"/>
      <c r="I125" s="3185"/>
      <c r="AA125" s="734"/>
    </row>
    <row r="126" spans="1:27" ht="18.75" customHeight="1">
      <c r="A126" s="3190" t="str">
        <f>IF(项目基本情况!B9="房地产市场价值","",MID(E111,3,LEN(E111)-2))</f>
        <v/>
      </c>
      <c r="B126" s="3190"/>
      <c r="C126" s="3190"/>
      <c r="D126" s="3179" t="str">
        <f>H111</f>
        <v>——</v>
      </c>
      <c r="E126" s="3180"/>
      <c r="F126" s="3180"/>
      <c r="G126" s="3180"/>
      <c r="H126" s="3180"/>
      <c r="I126" s="3181"/>
      <c r="AA126" s="734"/>
    </row>
    <row r="127" spans="1:27" ht="18.75" customHeight="1">
      <c r="A127" s="3178" t="s">
        <v>2139</v>
      </c>
      <c r="B127" s="3178"/>
      <c r="C127" s="3178"/>
      <c r="D127" s="3184" t="e">
        <f>NUMBERSTRING(INT(D126*10000),2)&amp;"元整"</f>
        <v>#VALUE!</v>
      </c>
      <c r="E127" s="3186"/>
      <c r="F127" s="3186"/>
      <c r="G127" s="3186"/>
      <c r="H127" s="3186"/>
      <c r="I127" s="3185"/>
      <c r="AA127" s="734"/>
    </row>
    <row r="128" spans="1:27" ht="21.75" customHeight="1">
      <c r="A128" s="3187" t="s">
        <v>2140</v>
      </c>
      <c r="B128" s="3187"/>
      <c r="C128" s="3187"/>
      <c r="D128" s="3187"/>
      <c r="E128" s="3187"/>
      <c r="F128" s="3187"/>
      <c r="G128" s="3187"/>
      <c r="H128" s="3187"/>
      <c r="I128" s="318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474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3742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25</v>
      </c>
      <c r="D10" s="954">
        <f ca="1">IF(B1="",'数据-汇总表'!E6,IF(INDIRECT("'数据-取费表'!c"&amp;$G$1)="住宅",INDIRECT("'数据-取费表'!s"&amp;$G$1),INDIRECT("'数据-取费表'!k"&amp;$G$1)+INDIRECT("'数据-取费表'!s"&amp;$G$1)))</f>
        <v>1266.6499999999999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25</v>
      </c>
      <c r="D19" s="958">
        <f ca="1">D9+D10</f>
        <v>1266.6499999999999</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2</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41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354</v>
      </c>
      <c r="D34" s="223"/>
      <c r="E34" s="226"/>
      <c r="F34" s="263">
        <f ca="1">IF('数据-取费表'!B24=0,1,IF(B1="",'数据-取费表'!N16,INDIRECT("'数据-取费表'!n"&amp;$G$1)))</f>
        <v>1</v>
      </c>
      <c r="G34" s="225" t="s">
        <v>2213</v>
      </c>
    </row>
    <row r="35" spans="1:7" ht="13.5" customHeight="1">
      <c r="A35" s="888" t="s">
        <v>796</v>
      </c>
      <c r="B35" s="221" t="s">
        <v>2214</v>
      </c>
      <c r="C35" s="226">
        <f ca="1">ROUND(C34*F35,0)</f>
        <v>11</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25</v>
      </c>
      <c r="D37" s="223">
        <f ca="1">D19</f>
        <v>1266.6499999999999</v>
      </c>
      <c r="E37" s="255">
        <f>'数据-取费表'!B35</f>
        <v>200</v>
      </c>
      <c r="F37" s="265"/>
      <c r="G37" s="267" t="s">
        <v>2219</v>
      </c>
    </row>
    <row r="38" spans="1:7" ht="13.5" customHeight="1">
      <c r="A38" s="888" t="s">
        <v>799</v>
      </c>
      <c r="B38" s="221" t="s">
        <v>2220</v>
      </c>
      <c r="C38" s="226">
        <f ca="1">ROUND(C34*F38,0)</f>
        <v>5</v>
      </c>
      <c r="D38" s="226"/>
      <c r="E38" s="226"/>
      <c r="F38" s="265">
        <f>'数据-取费表'!B36</f>
        <v>1.4999999999999999E-2</v>
      </c>
      <c r="G38" s="225" t="s">
        <v>2215</v>
      </c>
    </row>
    <row r="39" spans="1:7" s="220" customFormat="1" ht="13.5" customHeight="1">
      <c r="A39" s="261" t="s">
        <v>2221</v>
      </c>
      <c r="B39" s="216" t="s">
        <v>2222</v>
      </c>
      <c r="C39" s="238">
        <f ca="1">ROUND(C33*F20,0)</f>
        <v>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14</v>
      </c>
      <c r="D42" s="244"/>
      <c r="E42" s="244"/>
      <c r="F42" s="245"/>
      <c r="G42" s="3260" t="s">
        <v>2231</v>
      </c>
    </row>
    <row r="43" spans="1:7" ht="13.5" customHeight="1">
      <c r="A43" s="888" t="s">
        <v>792</v>
      </c>
      <c r="B43" s="221" t="s">
        <v>2232</v>
      </c>
      <c r="C43" s="244">
        <f ca="1">ROUND(IF('数据-取费表'!B22&lt;=1,C39*F22*'数据-取费表'!B21/2,C39*(POWER((1+F22),'数据-取费表'!B21/2)-1)),0)</f>
        <v>0</v>
      </c>
      <c r="D43" s="244"/>
      <c r="E43" s="244"/>
      <c r="F43" s="245"/>
      <c r="G43" s="3261"/>
    </row>
    <row r="44" spans="1:7" ht="13.5" customHeight="1">
      <c r="A44" s="888" t="s">
        <v>793</v>
      </c>
      <c r="B44" s="221" t="s">
        <v>2233</v>
      </c>
      <c r="C44" s="244">
        <f ca="1">ROUND(IF('数据-取费表'!B22&lt;=1,C40*F22*'数据-取费表'!B21/2,C40*(POWER((1+F22),'数据-取费表'!B21/2)-1)),4)</f>
        <v>6.9999999999999999E-4</v>
      </c>
      <c r="D44" s="244"/>
      <c r="E44" s="244"/>
      <c r="F44" s="245"/>
      <c r="G44" s="3262"/>
    </row>
    <row r="45" spans="1:7" s="220" customFormat="1" ht="13.5" customHeight="1">
      <c r="A45" s="261" t="s">
        <v>2234</v>
      </c>
      <c r="B45" s="250" t="s">
        <v>2200</v>
      </c>
      <c r="C45" s="251">
        <f ca="1">C46</f>
        <v>101</v>
      </c>
      <c r="D45" s="241">
        <f ca="1">C47</f>
        <v>5.0000000000000001E-3</v>
      </c>
      <c r="E45" s="242" t="s">
        <v>2226</v>
      </c>
      <c r="F45" s="2538">
        <f ca="1">F27</f>
        <v>0.25</v>
      </c>
      <c r="G45" s="253" t="s">
        <v>2235</v>
      </c>
    </row>
    <row r="46" spans="1:7" s="220" customFormat="1" ht="13.5" customHeight="1">
      <c r="A46" s="888" t="s">
        <v>791</v>
      </c>
      <c r="B46" s="254" t="s">
        <v>2236</v>
      </c>
      <c r="C46" s="255">
        <f ca="1">ROUND((C33+C39)*F27,0)</f>
        <v>101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562</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433</v>
      </c>
      <c r="D51" s="238"/>
      <c r="E51" s="238"/>
      <c r="F51" s="270"/>
      <c r="G51" s="240" t="s">
        <v>2247</v>
      </c>
    </row>
    <row r="52" spans="1:7" s="214" customFormat="1" ht="16.5" thickBot="1">
      <c r="A52" s="271" t="s">
        <v>2248</v>
      </c>
      <c r="B52" s="272"/>
      <c r="C52" s="273">
        <f ca="1">C31+C51</f>
        <v>474</v>
      </c>
      <c r="D52" s="272"/>
      <c r="E52" s="272"/>
      <c r="F52" s="272"/>
      <c r="G52" s="274"/>
    </row>
    <row r="55" spans="1:7" ht="15">
      <c r="B55" s="276" t="s">
        <v>2249</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508</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253330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253330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253330</v>
      </c>
      <c r="D10" s="954">
        <f ca="1">IF(B1="",'数据-汇总表'!E6,IF(INDIRECT("'数据-取费表'!c"&amp;$G$1)="住宅",INDIRECT("'数据-取费表'!s"&amp;$G$1),INDIRECT("'数据-取费表'!k"&amp;$G$1)+INDIRECT("'数据-取费表'!s"&amp;$G$1)))</f>
        <v>1266.6499999999999</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253330</v>
      </c>
      <c r="D19" s="958">
        <f ca="1">D9+D10</f>
        <v>1266.6499999999999</v>
      </c>
      <c r="E19" s="217">
        <f>'数据-取费表'!B31</f>
        <v>200</v>
      </c>
      <c r="F19" s="237"/>
      <c r="G19" s="2044"/>
    </row>
    <row r="20" spans="1:7" s="220" customFormat="1" ht="13.5" customHeight="1">
      <c r="A20" s="261" t="s">
        <v>2261</v>
      </c>
      <c r="B20" s="216" t="s">
        <v>2262</v>
      </c>
      <c r="C20" s="238">
        <f ca="1">ROUND((C5+C19)*F20,0)</f>
        <v>10133</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36883</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18262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18262</v>
      </c>
      <c r="D24" s="244"/>
      <c r="E24" s="244"/>
      <c r="F24" s="245"/>
      <c r="G24" s="246" t="s">
        <v>2273</v>
      </c>
    </row>
    <row r="25" spans="1:7" s="220" customFormat="1" ht="24">
      <c r="A25" s="888" t="s">
        <v>2163</v>
      </c>
      <c r="B25" s="221" t="s">
        <v>2274</v>
      </c>
      <c r="C25" s="1290">
        <f ca="1">ROUND(IF('数据-取费表'!B22&lt;=1,C20*F22*'数据-取费表'!B22/2,C20*(POWER((1+F22),'数据-取费表'!B22/2)-1)),0)</f>
        <v>359</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129198</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129198</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740725</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3959548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3546620</v>
      </c>
      <c r="D34" s="223"/>
      <c r="E34" s="226"/>
      <c r="F34" s="263"/>
      <c r="G34" s="225"/>
    </row>
    <row r="35" spans="1:7" ht="13.5" customHeight="1">
      <c r="A35" s="888" t="s">
        <v>796</v>
      </c>
      <c r="B35" s="221" t="s">
        <v>2214</v>
      </c>
      <c r="C35" s="226">
        <f ca="1">ROUND(C34*F35,0)</f>
        <v>106399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253330</v>
      </c>
      <c r="D37" s="223">
        <f ca="1">D19</f>
        <v>1266.6499999999999</v>
      </c>
      <c r="E37" s="255">
        <f>'数据-取费表'!B35</f>
        <v>200</v>
      </c>
      <c r="F37" s="265"/>
      <c r="G37" s="267"/>
    </row>
    <row r="38" spans="1:7" ht="13.5" customHeight="1">
      <c r="A38" s="888" t="s">
        <v>799</v>
      </c>
      <c r="B38" s="221" t="s">
        <v>2220</v>
      </c>
      <c r="C38" s="226">
        <f ca="1">ROUND(C34*F38,0)</f>
        <v>53199</v>
      </c>
      <c r="D38" s="226"/>
      <c r="E38" s="226"/>
      <c r="F38" s="265">
        <f>'数据-取费表'!B36</f>
        <v>1.4999999999999999E-2</v>
      </c>
      <c r="G38" s="225" t="s">
        <v>2215</v>
      </c>
    </row>
    <row r="39" spans="1:7" s="220" customFormat="1" ht="13.5" customHeight="1">
      <c r="A39" s="261" t="s">
        <v>2221</v>
      </c>
      <c r="B39" s="216" t="s">
        <v>2222</v>
      </c>
      <c r="C39" s="238">
        <f ca="1">ROUND(C33*F20,0)</f>
        <v>79191</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143043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140238</v>
      </c>
      <c r="D42" s="244"/>
      <c r="E42" s="244"/>
      <c r="F42" s="245"/>
      <c r="G42" s="3260" t="s">
        <v>2278</v>
      </c>
    </row>
    <row r="43" spans="1:7" ht="13.5" customHeight="1">
      <c r="A43" s="888" t="s">
        <v>792</v>
      </c>
      <c r="B43" s="221" t="s">
        <v>2232</v>
      </c>
      <c r="C43" s="244">
        <f ca="1">ROUND(IF('数据-取费表'!B22&lt;=1,C39*F22*'数据-取费表'!B20/2,C39*(POWER((1+F22),'数据-取费表'!B20/2)-1)),0)</f>
        <v>2805</v>
      </c>
      <c r="D43" s="244"/>
      <c r="E43" s="244"/>
      <c r="F43" s="245"/>
      <c r="G43" s="3261"/>
    </row>
    <row r="44" spans="1:7" ht="13.5" customHeight="1">
      <c r="A44" s="888" t="s">
        <v>793</v>
      </c>
      <c r="B44" s="221" t="s">
        <v>2233</v>
      </c>
      <c r="C44" s="244">
        <f ca="1">ROUND(IF('数据-取费表'!B22&lt;=1,C40*F22*'数据-取费表'!B20/2,C40*(POWER((1+F22),'数据-取费表'!B20/2)-1)),4)</f>
        <v>6.9999999999999999E-4</v>
      </c>
      <c r="D44" s="244"/>
      <c r="E44" s="244"/>
      <c r="F44" s="245"/>
      <c r="G44" s="3262"/>
    </row>
    <row r="45" spans="1:7" s="220" customFormat="1" ht="13.5" customHeight="1">
      <c r="A45" s="261" t="s">
        <v>2234</v>
      </c>
      <c r="B45" s="250" t="s">
        <v>2200</v>
      </c>
      <c r="C45" s="251">
        <f ca="1">C46</f>
        <v>1009685</v>
      </c>
      <c r="D45" s="241">
        <f ca="1">C47</f>
        <v>5.0000000000000001E-3</v>
      </c>
      <c r="E45" s="242" t="s">
        <v>2226</v>
      </c>
      <c r="F45" s="2538">
        <f ca="1">F27</f>
        <v>0.25</v>
      </c>
      <c r="G45" s="253" t="s">
        <v>2235</v>
      </c>
    </row>
    <row r="46" spans="1:7" s="220" customFormat="1" ht="13.5" customHeight="1">
      <c r="A46" s="888" t="s">
        <v>791</v>
      </c>
      <c r="B46" s="254" t="s">
        <v>2236</v>
      </c>
      <c r="C46" s="255">
        <f ca="1">ROUND((C33+C39)*F27,0)</f>
        <v>1009685</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5631269</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4336077</v>
      </c>
      <c r="D51" s="238"/>
      <c r="E51" s="238"/>
      <c r="F51" s="270"/>
      <c r="G51" s="240" t="s">
        <v>2247</v>
      </c>
    </row>
    <row r="52" spans="1:7" s="214" customFormat="1" ht="16.5" thickBot="1">
      <c r="A52" s="271" t="s">
        <v>2248</v>
      </c>
      <c r="B52" s="272"/>
      <c r="C52" s="273">
        <f ca="1">C31+C51</f>
        <v>5076802</v>
      </c>
      <c r="D52" s="272"/>
      <c r="E52" s="272"/>
      <c r="F52" s="272"/>
      <c r="G52" s="274"/>
    </row>
    <row r="55" spans="1:7" ht="15">
      <c r="B55" s="276" t="s">
        <v>2249</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-28</v>
      </c>
      <c r="C2" s="282" t="s">
        <v>2282</v>
      </c>
      <c r="D2" s="282"/>
      <c r="E2" s="3036"/>
      <c r="F2" s="3036"/>
      <c r="G2" s="3036"/>
      <c r="H2" s="3036"/>
      <c r="I2" s="3036"/>
      <c r="J2" s="3036"/>
      <c r="K2" s="3036"/>
    </row>
    <row r="3" spans="1:33" ht="18" customHeight="1" thickBot="1">
      <c r="A3" s="209" t="s">
        <v>2151</v>
      </c>
      <c r="B3" s="210">
        <f ca="1">ROUND(B2*10000/IF(C1="",'数据-汇总表'!E3,INDIRECT("'数据-取费表'!K"&amp;$K$1)),0)</f>
        <v>-221</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1266.6499999999999</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1266.6499999999999</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22.490000000000002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25</v>
      </c>
      <c r="D20" s="955">
        <f ca="1">IF(C1="",'数据-汇总表'!E6,IF(INDIRECT("'数据-取费表'!c"&amp;$K$1)="住宅",INDIRECT("'数据-取费表'!s"&amp;$K$1),INDIRECT("'数据-取费表'!k"&amp;$K$1)+INDIRECT("'数据-取费表'!s"&amp;$K$1)))</f>
        <v>1266.6499999999999</v>
      </c>
      <c r="E20" s="24">
        <f>'数据-取费表'!B28</f>
        <v>200</v>
      </c>
      <c r="F20" s="913"/>
      <c r="G20" s="15"/>
      <c r="H20" s="918"/>
      <c r="I20" s="918"/>
      <c r="J20" s="918"/>
      <c r="K20" s="919"/>
    </row>
    <row r="21" spans="1:33" s="912" customFormat="1" ht="13.5" customHeight="1">
      <c r="A21" s="898" t="s">
        <v>802</v>
      </c>
      <c r="B21" s="922" t="s">
        <v>2318</v>
      </c>
      <c r="C21" s="923">
        <f ca="1">C16+C17+C18</f>
        <v>22.490000000000002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6</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6</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65" t="s">
        <v>1368</v>
      </c>
      <c r="C6" s="1206">
        <f ca="1">ROUND(F6*F8*F7*(1-F9)/10000,0)</f>
        <v>0</v>
      </c>
      <c r="D6" s="160" t="s">
        <v>2849</v>
      </c>
      <c r="E6" s="308" t="s">
        <v>1370</v>
      </c>
      <c r="F6" s="309">
        <f ca="1">INDIRECT("'数据-取费表'!u"&amp;$G$1)</f>
        <v>0</v>
      </c>
      <c r="G6" s="1570"/>
      <c r="H6" s="1201" t="s">
        <v>1003</v>
      </c>
      <c r="I6" s="3265" t="s">
        <v>1368</v>
      </c>
      <c r="J6" s="307">
        <f ca="1">ROUND(M6*M8*M7*(1-M9)/10000,0)</f>
        <v>0</v>
      </c>
      <c r="K6" s="160" t="s">
        <v>2848</v>
      </c>
      <c r="L6" s="308" t="s">
        <v>1370</v>
      </c>
      <c r="M6" s="309">
        <f ca="1">INDIRECT("'数据-取费表'!z"&amp;$G$1)</f>
        <v>0</v>
      </c>
    </row>
    <row r="7" spans="1:37" ht="18" customHeight="1">
      <c r="A7" s="1205"/>
      <c r="B7" s="3266"/>
      <c r="C7" s="1207"/>
      <c r="D7" s="313"/>
      <c r="E7" s="1208" t="s">
        <v>1371</v>
      </c>
      <c r="F7" s="309">
        <f ca="1">IF(INDIRECT("'数据-取费表'!ah"&amp;$G$1)="",INDIRECT("'数据-取费表'!k"&amp;$G$1),INDIRECT("'数据-取费表'!ah"&amp;$G$1))</f>
        <v>0</v>
      </c>
      <c r="G7" s="1570"/>
      <c r="H7" s="310"/>
      <c r="I7" s="3266"/>
      <c r="J7" s="312"/>
      <c r="K7" s="313"/>
      <c r="L7" s="308" t="s">
        <v>1371</v>
      </c>
      <c r="M7" s="309">
        <f ca="1">F7</f>
        <v>0</v>
      </c>
    </row>
    <row r="8" spans="1:37" ht="18" customHeight="1">
      <c r="A8" s="310"/>
      <c r="B8" s="3266"/>
      <c r="C8" s="312"/>
      <c r="D8" s="313"/>
      <c r="E8" s="308" t="s">
        <v>1372</v>
      </c>
      <c r="F8" s="309">
        <f ca="1">INDIRECT("'数据-取费表'!ai"&amp;$G$1)</f>
        <v>0</v>
      </c>
      <c r="G8" s="1570"/>
      <c r="H8" s="310"/>
      <c r="I8" s="3266"/>
      <c r="J8" s="312"/>
      <c r="K8" s="313"/>
      <c r="L8" s="308" t="s">
        <v>1372</v>
      </c>
      <c r="M8" s="309">
        <f ca="1">INDIRECT("'数据-取费表'!ai"&amp;$G$1)</f>
        <v>0</v>
      </c>
    </row>
    <row r="9" spans="1:37" ht="18" customHeight="1">
      <c r="A9" s="310"/>
      <c r="B9" s="3267"/>
      <c r="C9" s="312"/>
      <c r="D9" s="313"/>
      <c r="E9" s="308" t="s">
        <v>1373</v>
      </c>
      <c r="F9" s="318">
        <f ca="1">INDIRECT("'数据-取费表'!w"&amp;$G$1)</f>
        <v>0</v>
      </c>
      <c r="G9" s="1570"/>
      <c r="H9" s="310"/>
      <c r="I9" s="326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63" t="s">
        <v>1513</v>
      </c>
      <c r="L53" s="326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zoomScaleSheetLayoutView="100" workbookViewId="0">
      <selection activeCell="E13" sqref="E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34.229999999999997</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465</v>
      </c>
      <c r="C2" s="1573" t="s">
        <v>1556</v>
      </c>
      <c r="D2" s="1657">
        <f ca="1">C40+J29+L46</f>
        <v>4649610</v>
      </c>
      <c r="E2" s="1574" t="s">
        <v>1557</v>
      </c>
      <c r="F2" s="1575"/>
      <c r="G2" s="2934"/>
      <c r="H2" s="2923"/>
      <c r="I2" s="2923"/>
      <c r="J2" s="2923"/>
      <c r="K2" s="2924"/>
      <c r="L2" s="2923"/>
      <c r="M2" s="2923"/>
    </row>
    <row r="3" spans="1:37" ht="18" customHeight="1" thickBot="1">
      <c r="A3" s="1576" t="s">
        <v>1558</v>
      </c>
      <c r="B3" s="1577">
        <f ca="1">IF(ISERROR(D2/F43),0,ROUND(D2/F43,0))</f>
        <v>36978</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65" t="s">
        <v>1368</v>
      </c>
      <c r="C6" s="1206">
        <f ca="1">ROUND(F6*F8*F7*(1-F9),0)</f>
        <v>239572</v>
      </c>
      <c r="D6" s="160" t="s">
        <v>2846</v>
      </c>
      <c r="E6" s="308" t="s">
        <v>1370</v>
      </c>
      <c r="F6" s="309">
        <f ca="1">INDIRECT("'数据-取费表'!u"&amp;$G$1)</f>
        <v>5.8</v>
      </c>
      <c r="G6" s="1570"/>
      <c r="H6" s="1201" t="s">
        <v>1003</v>
      </c>
      <c r="I6" s="3265" t="s">
        <v>1368</v>
      </c>
      <c r="J6" s="307">
        <f ca="1">ROUND(M6*M8*M7*(1-M9),0)</f>
        <v>0</v>
      </c>
      <c r="K6" s="1562" t="s">
        <v>2847</v>
      </c>
      <c r="L6" s="308" t="s">
        <v>1370</v>
      </c>
      <c r="M6" s="309">
        <f ca="1">INDIRECT("'数据-取费表'!z"&amp;$G$1)</f>
        <v>0</v>
      </c>
    </row>
    <row r="7" spans="1:37" ht="18" customHeight="1">
      <c r="A7" s="1205"/>
      <c r="B7" s="3266"/>
      <c r="C7" s="1207"/>
      <c r="D7" s="313"/>
      <c r="E7" s="1208" t="s">
        <v>1371</v>
      </c>
      <c r="F7" s="309">
        <f ca="1">IF(INDIRECT("'数据-取费表'!ah"&amp;$G$1)="",INDIRECT("'数据-取费表'!k"&amp;$G$1),INDIRECT("'数据-取费表'!ah"&amp;$G$1))</f>
        <v>125.74</v>
      </c>
      <c r="G7" s="1570"/>
      <c r="H7" s="310"/>
      <c r="I7" s="3266"/>
      <c r="J7" s="312"/>
      <c r="K7" s="313"/>
      <c r="L7" s="308" t="s">
        <v>1371</v>
      </c>
      <c r="M7" s="309">
        <f ca="1">F7</f>
        <v>125.74</v>
      </c>
    </row>
    <row r="8" spans="1:37" ht="18" customHeight="1">
      <c r="A8" s="310"/>
      <c r="B8" s="3266"/>
      <c r="C8" s="312"/>
      <c r="D8" s="313"/>
      <c r="E8" s="308" t="s">
        <v>1372</v>
      </c>
      <c r="F8" s="309">
        <f ca="1">INDIRECT("'数据-取费表'!ai"&amp;$G$1)</f>
        <v>365</v>
      </c>
      <c r="G8" s="1570"/>
      <c r="H8" s="310"/>
      <c r="I8" s="3266"/>
      <c r="J8" s="312"/>
      <c r="K8" s="313"/>
      <c r="L8" s="308" t="s">
        <v>1372</v>
      </c>
      <c r="M8" s="309">
        <f ca="1">INDIRECT("'数据-取费表'!ai"&amp;$G$1)</f>
        <v>365</v>
      </c>
    </row>
    <row r="9" spans="1:37" ht="18" customHeight="1">
      <c r="A9" s="310"/>
      <c r="B9" s="3267"/>
      <c r="C9" s="312"/>
      <c r="D9" s="313"/>
      <c r="E9" s="308" t="s">
        <v>1373</v>
      </c>
      <c r="F9" s="318">
        <f ca="1">INDIRECT("'数据-取费表'!w"&amp;$G$1)</f>
        <v>0.1</v>
      </c>
      <c r="G9" s="1570"/>
      <c r="H9" s="310"/>
      <c r="I9" s="326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3174</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4637905</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34.229999999999997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36885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-3029818</v>
      </c>
      <c r="D45" s="1659" t="s">
        <v>1569</v>
      </c>
      <c r="E45" s="1586"/>
      <c r="F45" s="1586"/>
      <c r="O45" s="1589" t="s">
        <v>1484</v>
      </c>
      <c r="P45" s="1647"/>
      <c r="Q45" s="1647"/>
      <c r="R45" s="1647"/>
    </row>
    <row r="46" spans="1:18" s="1570" customFormat="1" ht="13.5" thickBot="1">
      <c r="A46" s="1590" t="s">
        <v>1485</v>
      </c>
      <c r="C46" s="1591">
        <f ca="1">ROUND(C45/10000,0)</f>
        <v>-303</v>
      </c>
      <c r="D46" s="1592" t="str">
        <f>C2</f>
        <v>万元</v>
      </c>
      <c r="I46" s="1593" t="s">
        <v>1486</v>
      </c>
      <c r="J46" s="1594"/>
      <c r="K46" s="1595"/>
      <c r="L46" s="1596">
        <f ca="1">IF(M47="住宅",0,IF(L48&gt;J51,L60,J60))</f>
        <v>11705</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4637905</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34.229999999999997</v>
      </c>
      <c r="O48" s="1604" t="s">
        <v>1009</v>
      </c>
      <c r="P48" s="1605" t="s">
        <v>1497</v>
      </c>
      <c r="Q48" s="1606">
        <f ca="1">J60</f>
        <v>11705</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34.229999999999997</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34.229999999999997</v>
      </c>
      <c r="K53" s="3263" t="s">
        <v>1513</v>
      </c>
      <c r="L53" s="3264"/>
      <c r="O53" s="1604" t="s">
        <v>1014</v>
      </c>
      <c r="P53" s="1605" t="s">
        <v>1514</v>
      </c>
      <c r="Q53" s="1606">
        <f ca="1">Q47+Q48</f>
        <v>4649610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0.19600000000000001</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4637905</v>
      </c>
      <c r="R56" s="1606" t="s">
        <v>1494</v>
      </c>
    </row>
    <row r="57" spans="1:18" s="1570" customFormat="1" ht="24.75" thickBot="1">
      <c r="A57" s="1637"/>
      <c r="B57" s="1081" t="s">
        <v>1443</v>
      </c>
      <c r="C57" s="244">
        <f ca="1">C29</f>
        <v>559013</v>
      </c>
      <c r="D57" s="1638"/>
      <c r="E57" s="1639"/>
      <c r="F57" s="1640"/>
      <c r="I57" s="1641" t="s">
        <v>1521</v>
      </c>
      <c r="J57" s="1642">
        <f ca="1">IF(OR(M47="住宅",J51&lt;L48,J56="是"),"——",J51-L48)</f>
        <v>11.770000000000003</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11705</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4637905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4637905</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1608087</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34.229999999999997</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12789</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4637905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465</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36981</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68" t="s">
        <v>2344</v>
      </c>
      <c r="C5" s="3269"/>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465</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0" t="s">
        <v>1044</v>
      </c>
      <c r="B1" s="3271"/>
      <c r="C1" s="3272"/>
      <c r="D1" s="3273">
        <f>SUM(I10,I15,I20,I21,I23)</f>
        <v>0</v>
      </c>
      <c r="E1" s="3273"/>
      <c r="F1" s="3273"/>
      <c r="G1" s="3273"/>
      <c r="H1" s="3273"/>
      <c r="I1" s="3274"/>
    </row>
    <row r="2" spans="1:9">
      <c r="A2" s="3275" t="s">
        <v>1045</v>
      </c>
      <c r="B2" s="3276" t="s">
        <v>1046</v>
      </c>
      <c r="C2" s="3276"/>
      <c r="D2" s="1211" t="s">
        <v>1047</v>
      </c>
      <c r="E2" s="1211" t="s">
        <v>1048</v>
      </c>
      <c r="F2" s="1211" t="s">
        <v>1049</v>
      </c>
      <c r="G2" s="1211" t="s">
        <v>1050</v>
      </c>
      <c r="H2" s="1211" t="s">
        <v>1051</v>
      </c>
      <c r="I2" s="1212" t="s">
        <v>1052</v>
      </c>
    </row>
    <row r="3" spans="1:9">
      <c r="A3" s="3275"/>
      <c r="B3" s="3276" t="s">
        <v>1053</v>
      </c>
      <c r="C3" s="3276"/>
      <c r="D3" s="1213"/>
      <c r="E3" s="1211"/>
      <c r="F3" s="1214"/>
      <c r="G3" s="1214"/>
      <c r="H3" s="1215"/>
      <c r="I3" s="1216">
        <f>ROUND(D3*E3*F3*G3*H3/10000,0)</f>
        <v>0</v>
      </c>
    </row>
    <row r="4" spans="1:9">
      <c r="A4" s="3275"/>
      <c r="B4" s="3276" t="s">
        <v>1054</v>
      </c>
      <c r="C4" s="3276"/>
      <c r="D4" s="1213"/>
      <c r="E4" s="1211"/>
      <c r="F4" s="1214"/>
      <c r="G4" s="1214"/>
      <c r="H4" s="1215"/>
      <c r="I4" s="1216">
        <f t="shared" ref="I4:I9" si="0">ROUND(D4*E4*F4*G4*H4/10000,0)</f>
        <v>0</v>
      </c>
    </row>
    <row r="5" spans="1:9">
      <c r="A5" s="3275"/>
      <c r="B5" s="3276" t="s">
        <v>1055</v>
      </c>
      <c r="C5" s="3276"/>
      <c r="D5" s="1213"/>
      <c r="E5" s="1211"/>
      <c r="F5" s="1214"/>
      <c r="G5" s="1214"/>
      <c r="H5" s="1215"/>
      <c r="I5" s="1216">
        <f t="shared" si="0"/>
        <v>0</v>
      </c>
    </row>
    <row r="6" spans="1:9">
      <c r="A6" s="3275"/>
      <c r="B6" s="3276" t="s">
        <v>1056</v>
      </c>
      <c r="C6" s="3276"/>
      <c r="D6" s="1213"/>
      <c r="E6" s="1211"/>
      <c r="F6" s="1214"/>
      <c r="G6" s="1214"/>
      <c r="H6" s="1215"/>
      <c r="I6" s="1216">
        <f t="shared" si="0"/>
        <v>0</v>
      </c>
    </row>
    <row r="7" spans="1:9">
      <c r="A7" s="3275"/>
      <c r="B7" s="3276" t="s">
        <v>1057</v>
      </c>
      <c r="C7" s="3276"/>
      <c r="D7" s="1213"/>
      <c r="E7" s="1211"/>
      <c r="F7" s="1214"/>
      <c r="G7" s="1214"/>
      <c r="H7" s="1215"/>
      <c r="I7" s="1216">
        <f t="shared" si="0"/>
        <v>0</v>
      </c>
    </row>
    <row r="8" spans="1:9">
      <c r="A8" s="3275"/>
      <c r="B8" s="3276" t="s">
        <v>1058</v>
      </c>
      <c r="C8" s="3276"/>
      <c r="D8" s="1213"/>
      <c r="E8" s="1211"/>
      <c r="F8" s="1214"/>
      <c r="G8" s="1214"/>
      <c r="H8" s="1215"/>
      <c r="I8" s="1216">
        <f t="shared" si="0"/>
        <v>0</v>
      </c>
    </row>
    <row r="9" spans="1:9">
      <c r="A9" s="3275"/>
      <c r="B9" s="3276" t="s">
        <v>1059</v>
      </c>
      <c r="C9" s="3276"/>
      <c r="D9" s="1213"/>
      <c r="E9" s="1211"/>
      <c r="F9" s="1214"/>
      <c r="G9" s="1214"/>
      <c r="H9" s="1215"/>
      <c r="I9" s="1216">
        <f t="shared" si="0"/>
        <v>0</v>
      </c>
    </row>
    <row r="10" spans="1:9">
      <c r="A10" s="3275"/>
      <c r="B10" s="3277" t="s">
        <v>1060</v>
      </c>
      <c r="C10" s="3277"/>
      <c r="D10" s="1217"/>
      <c r="E10" s="1217" t="e">
        <f>ROUND(D1*10000/D10/H9,0)</f>
        <v>#DIV/0!</v>
      </c>
      <c r="F10" s="1218"/>
      <c r="G10" s="1218"/>
      <c r="H10" s="1219"/>
      <c r="I10" s="1220">
        <f>SUM(I3:I9)</f>
        <v>0</v>
      </c>
    </row>
    <row r="11" spans="1:9" ht="14.25">
      <c r="A11" s="3275" t="s">
        <v>1061</v>
      </c>
      <c r="B11" s="3276" t="s">
        <v>1062</v>
      </c>
      <c r="C11" s="3276"/>
      <c r="D11" s="1213" t="s">
        <v>1063</v>
      </c>
      <c r="E11" s="1213" t="s">
        <v>1064</v>
      </c>
      <c r="F11" s="1214" t="s">
        <v>1065</v>
      </c>
      <c r="G11" s="1214" t="s">
        <v>1051</v>
      </c>
      <c r="H11" s="1221" t="s">
        <v>1066</v>
      </c>
      <c r="I11" s="1212" t="s">
        <v>1052</v>
      </c>
    </row>
    <row r="12" spans="1:9">
      <c r="A12" s="3275"/>
      <c r="B12" s="3276" t="s">
        <v>1067</v>
      </c>
      <c r="C12" s="3276"/>
      <c r="D12" s="1213"/>
      <c r="E12" s="1213"/>
      <c r="F12" s="1214"/>
      <c r="G12" s="1215"/>
      <c r="H12" s="1222"/>
      <c r="I12" s="1212">
        <f>ROUND(D12*E12*F12*G12/10000,0)</f>
        <v>0</v>
      </c>
    </row>
    <row r="13" spans="1:9">
      <c r="A13" s="3275"/>
      <c r="B13" s="3276" t="s">
        <v>1068</v>
      </c>
      <c r="C13" s="3276"/>
      <c r="D13" s="1213"/>
      <c r="E13" s="1213"/>
      <c r="F13" s="1214"/>
      <c r="G13" s="1215"/>
      <c r="H13" s="1222"/>
      <c r="I13" s="1212">
        <f>ROUND(D13*E13*F13*G13/10000,0)</f>
        <v>0</v>
      </c>
    </row>
    <row r="14" spans="1:9">
      <c r="A14" s="3275"/>
      <c r="B14" s="3276" t="s">
        <v>1069</v>
      </c>
      <c r="C14" s="3276"/>
      <c r="D14" s="1213"/>
      <c r="E14" s="1213"/>
      <c r="F14" s="1214"/>
      <c r="G14" s="1215"/>
      <c r="H14" s="1222"/>
      <c r="I14" s="1212">
        <f>ROUND(D14*E14*F14*G14/10000,0)</f>
        <v>0</v>
      </c>
    </row>
    <row r="15" spans="1:9">
      <c r="A15" s="3275"/>
      <c r="B15" s="3277" t="s">
        <v>1060</v>
      </c>
      <c r="C15" s="3277"/>
      <c r="D15" s="1217"/>
      <c r="E15" s="1217">
        <f>SUM(E12:E14)</f>
        <v>0</v>
      </c>
      <c r="F15" s="1218"/>
      <c r="G15" s="1215"/>
      <c r="H15" s="1222"/>
      <c r="I15" s="1223">
        <f>SUM(I12:I14)</f>
        <v>0</v>
      </c>
    </row>
    <row r="16" spans="1:9" ht="24">
      <c r="A16" s="3275" t="s">
        <v>1070</v>
      </c>
      <c r="B16" s="3276" t="s">
        <v>1071</v>
      </c>
      <c r="C16" s="3276"/>
      <c r="D16" s="1213" t="s">
        <v>1047</v>
      </c>
      <c r="E16" s="1224" t="s">
        <v>1072</v>
      </c>
      <c r="F16" s="1214" t="s">
        <v>1073</v>
      </c>
      <c r="G16" s="1215" t="s">
        <v>1051</v>
      </c>
      <c r="H16" s="1221" t="s">
        <v>1066</v>
      </c>
      <c r="I16" s="1212" t="s">
        <v>1052</v>
      </c>
    </row>
    <row r="17" spans="1:9" ht="14.25">
      <c r="A17" s="3275"/>
      <c r="B17" s="3276" t="s">
        <v>1074</v>
      </c>
      <c r="C17" s="3276"/>
      <c r="D17" s="1213"/>
      <c r="E17" s="1213"/>
      <c r="F17" s="1214"/>
      <c r="G17" s="1215"/>
      <c r="H17" s="1225"/>
      <c r="I17" s="1226">
        <f>ROUND(D17*E17*F17*G17/10000,0)</f>
        <v>0</v>
      </c>
    </row>
    <row r="18" spans="1:9" ht="14.25">
      <c r="A18" s="3275"/>
      <c r="B18" s="3276" t="s">
        <v>1075</v>
      </c>
      <c r="C18" s="3276"/>
      <c r="D18" s="1213"/>
      <c r="E18" s="1213"/>
      <c r="F18" s="1214"/>
      <c r="G18" s="1215"/>
      <c r="H18" s="1225"/>
      <c r="I18" s="1226">
        <f>ROUND(D18*E18*F18*G18/10000,0)</f>
        <v>0</v>
      </c>
    </row>
    <row r="19" spans="1:9" ht="14.25">
      <c r="A19" s="3275"/>
      <c r="B19" s="3276" t="s">
        <v>1076</v>
      </c>
      <c r="C19" s="3276"/>
      <c r="D19" s="1213"/>
      <c r="E19" s="1213"/>
      <c r="F19" s="1214"/>
      <c r="G19" s="1215"/>
      <c r="H19" s="1225"/>
      <c r="I19" s="1226">
        <f>ROUND(D19*E19*F19*G19/10000,0)</f>
        <v>0</v>
      </c>
    </row>
    <row r="20" spans="1:9">
      <c r="A20" s="3275"/>
      <c r="B20" s="3277" t="s">
        <v>1060</v>
      </c>
      <c r="C20" s="3277"/>
      <c r="D20" s="1217">
        <f>SUM(D17:D19)</f>
        <v>0</v>
      </c>
      <c r="E20" s="1217"/>
      <c r="F20" s="1218"/>
      <c r="G20" s="1215"/>
      <c r="H20" s="1222"/>
      <c r="I20" s="1223">
        <f>SUM(I17:I19)</f>
        <v>0</v>
      </c>
    </row>
    <row r="21" spans="1:9">
      <c r="A21" s="3275" t="s">
        <v>1077</v>
      </c>
      <c r="B21" s="3279"/>
      <c r="C21" s="3279"/>
      <c r="D21" s="3279"/>
      <c r="E21" s="3279"/>
      <c r="F21" s="3279"/>
      <c r="G21" s="3279"/>
      <c r="H21" s="1504">
        <v>0.1</v>
      </c>
      <c r="I21" s="1220">
        <f>ROUND(I10*H21,0)</f>
        <v>0</v>
      </c>
    </row>
    <row r="22" spans="1:9" ht="14.25">
      <c r="A22" s="3280" t="s">
        <v>1078</v>
      </c>
      <c r="B22" s="3281"/>
      <c r="C22" s="3282"/>
      <c r="D22" s="1227" t="s">
        <v>1079</v>
      </c>
      <c r="E22" s="1227" t="s">
        <v>1080</v>
      </c>
      <c r="F22" s="1228" t="s">
        <v>1081</v>
      </c>
      <c r="G22" s="1228" t="s">
        <v>1082</v>
      </c>
      <c r="H22" s="1221" t="s">
        <v>1083</v>
      </c>
      <c r="I22" s="1212" t="s">
        <v>1084</v>
      </c>
    </row>
    <row r="23" spans="1:9" ht="14.25" thickBot="1">
      <c r="A23" s="3283"/>
      <c r="B23" s="3284"/>
      <c r="C23" s="3285"/>
      <c r="D23" s="1229"/>
      <c r="E23" s="1229"/>
      <c r="F23" s="1229"/>
      <c r="G23" s="1230"/>
      <c r="H23" s="1231"/>
      <c r="I23" s="1232">
        <f>ROUND(E23*D23*F23*(1-G23)/10000,0)</f>
        <v>0</v>
      </c>
    </row>
    <row r="26" spans="1:9">
      <c r="A26" s="1233" t="s">
        <v>1085</v>
      </c>
      <c r="B26" s="1233"/>
      <c r="C26" s="1233"/>
      <c r="D26" s="1233"/>
      <c r="E26" s="3286">
        <f>C27-C30-C31-C32</f>
        <v>0</v>
      </c>
      <c r="F26" s="3286"/>
      <c r="G26" s="3286"/>
      <c r="H26" s="1501" t="s">
        <v>1306</v>
      </c>
    </row>
    <row r="27" spans="1:9">
      <c r="A27" s="1234">
        <v>1</v>
      </c>
      <c r="B27" s="1235" t="s">
        <v>1086</v>
      </c>
      <c r="C27" s="1235">
        <f>C28+C29</f>
        <v>0</v>
      </c>
      <c r="D27" s="1235"/>
      <c r="E27" s="3287"/>
      <c r="F27" s="3287"/>
      <c r="G27" s="3287"/>
    </row>
    <row r="28" spans="1:9">
      <c r="A28" s="1236" t="s">
        <v>1087</v>
      </c>
      <c r="B28" s="1235" t="s">
        <v>1088</v>
      </c>
      <c r="C28" s="1235"/>
      <c r="D28" s="1235"/>
      <c r="E28" s="3287"/>
      <c r="F28" s="3287"/>
      <c r="G28" s="328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8"/>
      <c r="F32" s="3278"/>
      <c r="G32" s="3278"/>
    </row>
    <row r="33" spans="1:7" hidden="1">
      <c r="A33" s="3288" t="s">
        <v>1097</v>
      </c>
      <c r="B33" s="3289"/>
      <c r="C33" s="3289"/>
      <c r="D33" s="3290"/>
      <c r="E33" s="3286"/>
      <c r="F33" s="3286"/>
      <c r="G33" s="3286"/>
    </row>
    <row r="34" spans="1:7" hidden="1">
      <c r="A34" s="1238">
        <v>1</v>
      </c>
      <c r="B34" s="1235" t="s">
        <v>1098</v>
      </c>
      <c r="C34" s="1235"/>
      <c r="D34" s="1235"/>
      <c r="E34" s="3287"/>
      <c r="F34" s="3287"/>
      <c r="G34" s="3287"/>
    </row>
    <row r="35" spans="1:7" hidden="1">
      <c r="A35" s="1238">
        <v>2</v>
      </c>
      <c r="B35" s="1235" t="s">
        <v>1099</v>
      </c>
      <c r="C35" s="1235"/>
      <c r="D35" s="1235"/>
      <c r="E35" s="3287"/>
      <c r="F35" s="3287"/>
      <c r="G35" s="3287"/>
    </row>
    <row r="36" spans="1:7" hidden="1">
      <c r="A36" s="1238">
        <v>3</v>
      </c>
      <c r="B36" s="1235" t="s">
        <v>1100</v>
      </c>
      <c r="C36" s="1235"/>
      <c r="D36" s="1235"/>
      <c r="E36" s="3287"/>
      <c r="F36" s="3287"/>
      <c r="G36" s="3287"/>
    </row>
    <row r="37" spans="1:7" hidden="1">
      <c r="A37" s="1238">
        <v>4</v>
      </c>
      <c r="B37" s="1235" t="s">
        <v>1101</v>
      </c>
      <c r="C37" s="1235"/>
      <c r="D37" s="1235"/>
      <c r="E37" s="3287"/>
      <c r="F37" s="3287"/>
      <c r="G37" s="3287"/>
    </row>
    <row r="38" spans="1:7" hidden="1">
      <c r="A38" s="3288" t="s">
        <v>1102</v>
      </c>
      <c r="B38" s="3289"/>
      <c r="C38" s="3289"/>
      <c r="D38" s="3290"/>
      <c r="E38" s="3286"/>
      <c r="F38" s="3286"/>
      <c r="G38" s="32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1266.6499999999999</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09" t="s">
        <v>2358</v>
      </c>
      <c r="D4" s="3310"/>
      <c r="E4" s="3311" t="s">
        <v>2359</v>
      </c>
      <c r="F4" s="3312"/>
      <c r="G4" s="3309" t="s">
        <v>2360</v>
      </c>
      <c r="H4" s="3310"/>
      <c r="I4" s="3309" t="s">
        <v>2361</v>
      </c>
      <c r="J4" s="3310"/>
      <c r="K4" s="2077" t="s">
        <v>2362</v>
      </c>
      <c r="L4" s="2943"/>
      <c r="M4" s="2944"/>
      <c r="N4" s="2944"/>
      <c r="O4" s="2944"/>
      <c r="P4" s="3313" t="s">
        <v>2363</v>
      </c>
      <c r="Q4" s="3314"/>
      <c r="R4" s="3296" t="s">
        <v>2359</v>
      </c>
      <c r="S4" s="3297"/>
      <c r="T4" s="3296" t="s">
        <v>2360</v>
      </c>
      <c r="U4" s="3297"/>
      <c r="V4" s="3321" t="s">
        <v>2361</v>
      </c>
      <c r="W4" s="3321"/>
      <c r="X4" s="1541"/>
      <c r="Y4" s="3296" t="s">
        <v>2363</v>
      </c>
      <c r="Z4" s="3297"/>
      <c r="AA4" s="3291" t="s">
        <v>2359</v>
      </c>
      <c r="AB4" s="3291" t="s">
        <v>2360</v>
      </c>
      <c r="AC4" s="3291" t="s">
        <v>2361</v>
      </c>
    </row>
    <row r="5" spans="1:29" ht="15">
      <c r="A5" s="364"/>
      <c r="B5" s="365"/>
      <c r="C5" s="3302" t="s">
        <v>2364</v>
      </c>
      <c r="D5" s="3303"/>
      <c r="E5" s="3300" t="s">
        <v>2365</v>
      </c>
      <c r="F5" s="3301"/>
      <c r="G5" s="3302" t="s">
        <v>2366</v>
      </c>
      <c r="H5" s="3303"/>
      <c r="I5" s="3302" t="s">
        <v>2367</v>
      </c>
      <c r="J5" s="3303"/>
      <c r="K5" s="2078"/>
      <c r="L5" s="2943"/>
      <c r="M5" s="2944"/>
      <c r="N5" s="2944"/>
      <c r="O5" s="2944"/>
      <c r="P5" s="3315"/>
      <c r="Q5" s="3316"/>
      <c r="R5" s="3298"/>
      <c r="S5" s="3299"/>
      <c r="T5" s="3298"/>
      <c r="U5" s="3299"/>
      <c r="V5" s="3321"/>
      <c r="W5" s="3321"/>
      <c r="X5" s="1541"/>
      <c r="Y5" s="3298"/>
      <c r="Z5" s="3299"/>
      <c r="AA5" s="3292"/>
      <c r="AB5" s="3292"/>
      <c r="AC5" s="3292"/>
    </row>
    <row r="6" spans="1:29" ht="15.75" thickBot="1">
      <c r="A6" s="366"/>
      <c r="B6" s="367"/>
      <c r="C6" s="3304" t="s">
        <v>2368</v>
      </c>
      <c r="D6" s="3305"/>
      <c r="E6" s="3306" t="s">
        <v>2368</v>
      </c>
      <c r="F6" s="3307"/>
      <c r="G6" s="3304" t="s">
        <v>2368</v>
      </c>
      <c r="H6" s="3305"/>
      <c r="I6" s="3304" t="s">
        <v>2368</v>
      </c>
      <c r="J6" s="3305"/>
      <c r="K6" s="2078" t="s">
        <v>2369</v>
      </c>
      <c r="L6" s="2943"/>
      <c r="M6" s="2944"/>
      <c r="N6" s="2944"/>
      <c r="O6" s="2944"/>
      <c r="P6" s="3317"/>
      <c r="Q6" s="3318"/>
      <c r="R6" s="3298"/>
      <c r="S6" s="3299"/>
      <c r="T6" s="3319"/>
      <c r="U6" s="3320"/>
      <c r="V6" s="3321"/>
      <c r="W6" s="3321"/>
      <c r="X6" s="1541"/>
      <c r="Y6" s="3319"/>
      <c r="Z6" s="3320"/>
      <c r="AA6" s="3293"/>
      <c r="AB6" s="3293"/>
      <c r="AC6" s="3293"/>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294" t="s">
        <v>2371</v>
      </c>
      <c r="Q7" s="3322"/>
      <c r="R7" s="710" t="s">
        <v>23</v>
      </c>
      <c r="S7" s="711">
        <f t="shared" ref="S7:S15" si="0">F7</f>
        <v>0</v>
      </c>
      <c r="T7" s="710" t="s">
        <v>23</v>
      </c>
      <c r="U7" s="711">
        <f t="shared" ref="U7:U15" si="1">H7</f>
        <v>0</v>
      </c>
      <c r="V7" s="710" t="s">
        <v>23</v>
      </c>
      <c r="W7" s="711">
        <f t="shared" ref="W7:W15" si="2">J7</f>
        <v>0</v>
      </c>
      <c r="X7" s="712"/>
      <c r="Y7" s="3294" t="s">
        <v>2371</v>
      </c>
      <c r="Z7" s="3295"/>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294" t="s">
        <v>2374</v>
      </c>
      <c r="Q8" s="3295"/>
      <c r="R8" s="710" t="s">
        <v>23</v>
      </c>
      <c r="S8" s="711">
        <f t="shared" si="0"/>
        <v>0</v>
      </c>
      <c r="T8" s="710" t="s">
        <v>23</v>
      </c>
      <c r="U8" s="711">
        <f t="shared" si="1"/>
        <v>0</v>
      </c>
      <c r="V8" s="710" t="s">
        <v>23</v>
      </c>
      <c r="W8" s="711">
        <f t="shared" si="2"/>
        <v>0</v>
      </c>
      <c r="X8" s="712"/>
      <c r="Y8" s="3294" t="s">
        <v>2374</v>
      </c>
      <c r="Z8" s="329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08"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8"/>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8"/>
      <c r="Q11" s="1529" t="str">
        <f t="shared" si="6"/>
        <v>容积率</v>
      </c>
      <c r="R11" s="710" t="s">
        <v>21</v>
      </c>
      <c r="S11" s="711" t="e">
        <f t="shared" si="0"/>
        <v>#N/A</v>
      </c>
      <c r="T11" s="710" t="s">
        <v>21</v>
      </c>
      <c r="U11" s="711" t="e">
        <f t="shared" si="1"/>
        <v>#N/A</v>
      </c>
      <c r="V11" s="710" t="s">
        <v>21</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08"/>
      <c r="Q12" s="1529">
        <f t="shared" si="6"/>
        <v>111</v>
      </c>
      <c r="R12" s="710" t="s">
        <v>21</v>
      </c>
      <c r="S12" s="711">
        <f t="shared" si="0"/>
        <v>100</v>
      </c>
      <c r="T12" s="710" t="s">
        <v>21</v>
      </c>
      <c r="U12" s="711">
        <f t="shared" si="1"/>
        <v>100</v>
      </c>
      <c r="V12" s="710" t="s">
        <v>21</v>
      </c>
      <c r="W12" s="711">
        <f t="shared" si="2"/>
        <v>100</v>
      </c>
      <c r="X12" s="712"/>
      <c r="Y12" s="323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08"/>
      <c r="Q13" s="1529">
        <f t="shared" si="6"/>
        <v>111</v>
      </c>
      <c r="R13" s="710" t="s">
        <v>21</v>
      </c>
      <c r="S13" s="711">
        <f t="shared" si="0"/>
        <v>100</v>
      </c>
      <c r="T13" s="710" t="s">
        <v>21</v>
      </c>
      <c r="U13" s="711">
        <f t="shared" si="1"/>
        <v>100</v>
      </c>
      <c r="V13" s="710" t="s">
        <v>21</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08"/>
      <c r="Q14" s="1529">
        <f t="shared" si="6"/>
        <v>111</v>
      </c>
      <c r="R14" s="710" t="s">
        <v>21</v>
      </c>
      <c r="S14" s="711">
        <f t="shared" si="0"/>
        <v>100</v>
      </c>
      <c r="T14" s="710" t="s">
        <v>21</v>
      </c>
      <c r="U14" s="711">
        <f t="shared" si="1"/>
        <v>100</v>
      </c>
      <c r="V14" s="710" t="s">
        <v>21</v>
      </c>
      <c r="W14" s="711">
        <f t="shared" si="2"/>
        <v>100</v>
      </c>
      <c r="X14" s="712"/>
      <c r="Y14" s="3236"/>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35" t="s">
        <v>2382</v>
      </c>
      <c r="Q15" s="1538" t="str">
        <f t="shared" si="6"/>
        <v>居住社区成熟度</v>
      </c>
      <c r="R15" s="714" t="s">
        <v>21</v>
      </c>
      <c r="S15" s="715">
        <f t="shared" si="0"/>
        <v>100</v>
      </c>
      <c r="T15" s="714" t="s">
        <v>21</v>
      </c>
      <c r="U15" s="715">
        <f t="shared" si="1"/>
        <v>100</v>
      </c>
      <c r="V15" s="714" t="s">
        <v>21</v>
      </c>
      <c r="W15" s="715">
        <f t="shared" si="2"/>
        <v>100</v>
      </c>
      <c r="X15" s="1541"/>
      <c r="Y15" s="3328"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36"/>
      <c r="Q16" s="1538"/>
      <c r="R16" s="714"/>
      <c r="S16" s="715"/>
      <c r="T16" s="714"/>
      <c r="U16" s="715"/>
      <c r="V16" s="714"/>
      <c r="W16" s="715"/>
      <c r="X16" s="1541"/>
      <c r="Y16" s="332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6"/>
      <c r="Q17" s="1538" t="str">
        <f>B17</f>
        <v>交通便捷度</v>
      </c>
      <c r="R17" s="714" t="s">
        <v>21</v>
      </c>
      <c r="S17" s="715">
        <f>F17</f>
        <v>100</v>
      </c>
      <c r="T17" s="714" t="s">
        <v>21</v>
      </c>
      <c r="U17" s="715">
        <f>H17</f>
        <v>100</v>
      </c>
      <c r="V17" s="714" t="s">
        <v>21</v>
      </c>
      <c r="W17" s="715">
        <f>J17</f>
        <v>100</v>
      </c>
      <c r="X17" s="1541"/>
      <c r="Y17" s="332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36"/>
      <c r="Q18" s="1538"/>
      <c r="R18" s="714"/>
      <c r="S18" s="715"/>
      <c r="T18" s="714"/>
      <c r="U18" s="715"/>
      <c r="V18" s="714"/>
      <c r="W18" s="715"/>
      <c r="X18" s="1541"/>
      <c r="Y18" s="332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6"/>
      <c r="Q19" s="1538" t="str">
        <f>B19</f>
        <v>公共配套设施</v>
      </c>
      <c r="R19" s="714" t="s">
        <v>21</v>
      </c>
      <c r="S19" s="715">
        <f>F19</f>
        <v>100</v>
      </c>
      <c r="T19" s="714" t="s">
        <v>21</v>
      </c>
      <c r="U19" s="715">
        <f>H19</f>
        <v>100</v>
      </c>
      <c r="V19" s="714" t="s">
        <v>21</v>
      </c>
      <c r="W19" s="715">
        <f>J19</f>
        <v>100</v>
      </c>
      <c r="X19" s="1541"/>
      <c r="Y19" s="332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36"/>
      <c r="Q20" s="1538"/>
      <c r="R20" s="714"/>
      <c r="S20" s="715"/>
      <c r="T20" s="714"/>
      <c r="U20" s="715"/>
      <c r="V20" s="714"/>
      <c r="W20" s="715"/>
      <c r="X20" s="1541"/>
      <c r="Y20" s="332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6"/>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36"/>
      <c r="Q22" s="1538"/>
      <c r="R22" s="714"/>
      <c r="S22" s="715"/>
      <c r="T22" s="714"/>
      <c r="U22" s="715"/>
      <c r="V22" s="714"/>
      <c r="W22" s="715"/>
      <c r="X22" s="1541"/>
      <c r="Y22" s="332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6"/>
      <c r="Q23" s="1538" t="str">
        <f>B23</f>
        <v>自然及人文环境</v>
      </c>
      <c r="R23" s="714" t="s">
        <v>21</v>
      </c>
      <c r="S23" s="715">
        <f>F23</f>
        <v>100</v>
      </c>
      <c r="T23" s="714" t="s">
        <v>21</v>
      </c>
      <c r="U23" s="715">
        <f>H23</f>
        <v>100</v>
      </c>
      <c r="V23" s="714" t="s">
        <v>21</v>
      </c>
      <c r="W23" s="715">
        <f>J23</f>
        <v>100</v>
      </c>
      <c r="X23" s="1541"/>
      <c r="Y23" s="332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36"/>
      <c r="Q24" s="1538"/>
      <c r="R24" s="714"/>
      <c r="S24" s="715"/>
      <c r="T24" s="714"/>
      <c r="U24" s="715"/>
      <c r="V24" s="714"/>
      <c r="W24" s="715"/>
      <c r="X24" s="1541"/>
      <c r="Y24" s="3329"/>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3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29"/>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36"/>
      <c r="Q26" s="1538" t="str">
        <f t="shared" si="11"/>
        <v>朝向</v>
      </c>
      <c r="R26" s="714" t="s">
        <v>21</v>
      </c>
      <c r="S26" s="715">
        <f t="shared" si="12"/>
        <v>100</v>
      </c>
      <c r="T26" s="714" t="s">
        <v>21</v>
      </c>
      <c r="U26" s="715">
        <f t="shared" si="13"/>
        <v>100</v>
      </c>
      <c r="V26" s="714" t="s">
        <v>21</v>
      </c>
      <c r="W26" s="715">
        <f t="shared" si="14"/>
        <v>100</v>
      </c>
      <c r="X26" s="1541"/>
      <c r="Y26" s="332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36"/>
      <c r="Q27" s="1529">
        <f t="shared" si="11"/>
        <v>111</v>
      </c>
      <c r="R27" s="710" t="s">
        <v>21</v>
      </c>
      <c r="S27" s="711">
        <f t="shared" si="12"/>
        <v>100</v>
      </c>
      <c r="T27" s="710" t="s">
        <v>21</v>
      </c>
      <c r="U27" s="711">
        <f t="shared" si="13"/>
        <v>100</v>
      </c>
      <c r="V27" s="710" t="s">
        <v>21</v>
      </c>
      <c r="W27" s="711">
        <f t="shared" si="14"/>
        <v>100</v>
      </c>
      <c r="X27" s="712"/>
      <c r="Y27" s="332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36"/>
      <c r="Q28" s="1538">
        <f t="shared" si="11"/>
        <v>111</v>
      </c>
      <c r="R28" s="714" t="s">
        <v>21</v>
      </c>
      <c r="S28" s="715">
        <f t="shared" si="12"/>
        <v>100</v>
      </c>
      <c r="T28" s="714" t="s">
        <v>21</v>
      </c>
      <c r="U28" s="715">
        <f t="shared" si="13"/>
        <v>100</v>
      </c>
      <c r="V28" s="714" t="s">
        <v>21</v>
      </c>
      <c r="W28" s="715">
        <f t="shared" si="14"/>
        <v>100</v>
      </c>
      <c r="X28" s="1541"/>
      <c r="Y28" s="332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36"/>
      <c r="Q29" s="1538">
        <f t="shared" si="11"/>
        <v>111</v>
      </c>
      <c r="R29" s="714" t="s">
        <v>21</v>
      </c>
      <c r="S29" s="715">
        <f t="shared" si="12"/>
        <v>100</v>
      </c>
      <c r="T29" s="714" t="s">
        <v>21</v>
      </c>
      <c r="U29" s="715">
        <f t="shared" si="13"/>
        <v>100</v>
      </c>
      <c r="V29" s="714" t="s">
        <v>21</v>
      </c>
      <c r="W29" s="715">
        <f t="shared" si="14"/>
        <v>100</v>
      </c>
      <c r="X29" s="1541"/>
      <c r="Y29" s="332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36"/>
      <c r="Q30" s="1538">
        <f t="shared" si="11"/>
        <v>111</v>
      </c>
      <c r="R30" s="714" t="s">
        <v>21</v>
      </c>
      <c r="S30" s="715">
        <f t="shared" si="12"/>
        <v>100</v>
      </c>
      <c r="T30" s="714" t="s">
        <v>21</v>
      </c>
      <c r="U30" s="715">
        <f t="shared" si="13"/>
        <v>100</v>
      </c>
      <c r="V30" s="714" t="s">
        <v>21</v>
      </c>
      <c r="W30" s="715">
        <f t="shared" si="14"/>
        <v>100</v>
      </c>
      <c r="X30" s="1541"/>
      <c r="Y30" s="332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36"/>
      <c r="Q31" s="1538">
        <f t="shared" si="11"/>
        <v>111</v>
      </c>
      <c r="R31" s="714" t="s">
        <v>21</v>
      </c>
      <c r="S31" s="715">
        <f t="shared" si="12"/>
        <v>100</v>
      </c>
      <c r="T31" s="714" t="s">
        <v>21</v>
      </c>
      <c r="U31" s="715">
        <f t="shared" si="13"/>
        <v>100</v>
      </c>
      <c r="V31" s="714" t="s">
        <v>21</v>
      </c>
      <c r="W31" s="715">
        <f t="shared" si="14"/>
        <v>100</v>
      </c>
      <c r="X31" s="1541"/>
      <c r="Y31" s="3329"/>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30" t="s">
        <v>2387</v>
      </c>
      <c r="Q32" s="1538" t="str">
        <f t="shared" si="11"/>
        <v>建筑类型</v>
      </c>
      <c r="R32" s="714" t="s">
        <v>21</v>
      </c>
      <c r="S32" s="715">
        <f t="shared" si="12"/>
        <v>100</v>
      </c>
      <c r="T32" s="714" t="s">
        <v>21</v>
      </c>
      <c r="U32" s="715">
        <f t="shared" si="13"/>
        <v>100</v>
      </c>
      <c r="V32" s="714" t="s">
        <v>21</v>
      </c>
      <c r="W32" s="715">
        <f t="shared" si="14"/>
        <v>100</v>
      </c>
      <c r="X32" s="1541"/>
      <c r="Y32" s="3333"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31"/>
      <c r="Q33" s="716" t="str">
        <f t="shared" si="11"/>
        <v>项目建筑规模</v>
      </c>
      <c r="R33" s="717" t="s">
        <v>21</v>
      </c>
      <c r="S33" s="718" t="e">
        <f t="shared" si="12"/>
        <v>#N/A</v>
      </c>
      <c r="T33" s="717" t="s">
        <v>21</v>
      </c>
      <c r="U33" s="718" t="e">
        <f t="shared" si="13"/>
        <v>#N/A</v>
      </c>
      <c r="V33" s="717" t="s">
        <v>21</v>
      </c>
      <c r="W33" s="718" t="e">
        <f t="shared" si="14"/>
        <v>#N/A</v>
      </c>
      <c r="X33" s="719"/>
      <c r="Y33" s="3333"/>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31"/>
      <c r="Q34" s="1538" t="str">
        <f t="shared" si="11"/>
        <v>建筑结构</v>
      </c>
      <c r="R34" s="714" t="s">
        <v>21</v>
      </c>
      <c r="S34" s="715">
        <f t="shared" si="12"/>
        <v>100</v>
      </c>
      <c r="T34" s="714" t="s">
        <v>21</v>
      </c>
      <c r="U34" s="715">
        <f t="shared" si="13"/>
        <v>100</v>
      </c>
      <c r="V34" s="714" t="s">
        <v>21</v>
      </c>
      <c r="W34" s="715">
        <f t="shared" si="14"/>
        <v>100</v>
      </c>
      <c r="X34" s="1541"/>
      <c r="Y34" s="3333"/>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31"/>
      <c r="Q35" s="1538" t="str">
        <f t="shared" si="11"/>
        <v>建筑品质</v>
      </c>
      <c r="R35" s="714" t="s">
        <v>21</v>
      </c>
      <c r="S35" s="715">
        <f t="shared" si="12"/>
        <v>100</v>
      </c>
      <c r="T35" s="714" t="s">
        <v>21</v>
      </c>
      <c r="U35" s="715">
        <f t="shared" si="13"/>
        <v>100</v>
      </c>
      <c r="V35" s="714" t="s">
        <v>21</v>
      </c>
      <c r="W35" s="715">
        <f t="shared" si="14"/>
        <v>100</v>
      </c>
      <c r="X35" s="1541"/>
      <c r="Y35" s="3333"/>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31"/>
      <c r="Q36" s="1538" t="str">
        <f t="shared" si="11"/>
        <v>公共部分装修</v>
      </c>
      <c r="R36" s="714" t="s">
        <v>21</v>
      </c>
      <c r="S36" s="715">
        <f t="shared" si="12"/>
        <v>100</v>
      </c>
      <c r="T36" s="714" t="s">
        <v>21</v>
      </c>
      <c r="U36" s="715">
        <f t="shared" si="13"/>
        <v>100</v>
      </c>
      <c r="V36" s="714" t="s">
        <v>21</v>
      </c>
      <c r="W36" s="715">
        <f t="shared" si="14"/>
        <v>100</v>
      </c>
      <c r="X36" s="1541"/>
      <c r="Y36" s="3333"/>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31"/>
      <c r="Q37" s="1529" t="str">
        <f t="shared" si="11"/>
        <v>成新度</v>
      </c>
      <c r="R37" s="710" t="s">
        <v>21</v>
      </c>
      <c r="S37" s="711" t="e">
        <f t="shared" si="12"/>
        <v>#N/A</v>
      </c>
      <c r="T37" s="710" t="s">
        <v>21</v>
      </c>
      <c r="U37" s="711" t="e">
        <f t="shared" si="13"/>
        <v>#N/A</v>
      </c>
      <c r="V37" s="710" t="s">
        <v>21</v>
      </c>
      <c r="W37" s="711" t="e">
        <f t="shared" si="14"/>
        <v>#N/A</v>
      </c>
      <c r="X37" s="712"/>
      <c r="Y37" s="3333"/>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31" t="s">
        <v>2387</v>
      </c>
      <c r="Q38" s="1538" t="str">
        <f t="shared" si="11"/>
        <v>物业管理</v>
      </c>
      <c r="R38" s="714" t="s">
        <v>21</v>
      </c>
      <c r="S38" s="715">
        <f t="shared" si="12"/>
        <v>100</v>
      </c>
      <c r="T38" s="714" t="s">
        <v>21</v>
      </c>
      <c r="U38" s="715">
        <f t="shared" si="13"/>
        <v>100</v>
      </c>
      <c r="V38" s="714" t="s">
        <v>21</v>
      </c>
      <c r="W38" s="715">
        <f t="shared" si="14"/>
        <v>100</v>
      </c>
      <c r="X38" s="1541"/>
      <c r="Y38" s="3333"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31"/>
      <c r="Q39" s="1538" t="str">
        <f t="shared" si="11"/>
        <v>市政基础设施</v>
      </c>
      <c r="R39" s="714" t="s">
        <v>21</v>
      </c>
      <c r="S39" s="715">
        <f t="shared" si="12"/>
        <v>100</v>
      </c>
      <c r="T39" s="714" t="s">
        <v>21</v>
      </c>
      <c r="U39" s="715">
        <f t="shared" si="13"/>
        <v>100</v>
      </c>
      <c r="V39" s="714" t="s">
        <v>21</v>
      </c>
      <c r="W39" s="715">
        <f t="shared" si="14"/>
        <v>100</v>
      </c>
      <c r="X39" s="1541"/>
      <c r="Y39" s="3333"/>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31"/>
      <c r="Q40" s="1538" t="str">
        <f t="shared" si="11"/>
        <v>房型</v>
      </c>
      <c r="R40" s="714" t="s">
        <v>21</v>
      </c>
      <c r="S40" s="715">
        <f t="shared" si="12"/>
        <v>100</v>
      </c>
      <c r="T40" s="714" t="s">
        <v>21</v>
      </c>
      <c r="U40" s="715">
        <f t="shared" si="13"/>
        <v>100</v>
      </c>
      <c r="V40" s="714" t="s">
        <v>21</v>
      </c>
      <c r="W40" s="715">
        <f t="shared" si="14"/>
        <v>100</v>
      </c>
      <c r="X40" s="1541"/>
      <c r="Y40" s="3333"/>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31"/>
      <c r="Q41" s="716" t="str">
        <f t="shared" si="11"/>
        <v>单套/主力户型建筑面积</v>
      </c>
      <c r="R41" s="717" t="s">
        <v>21</v>
      </c>
      <c r="S41" s="718">
        <f t="shared" si="12"/>
        <v>100</v>
      </c>
      <c r="T41" s="717" t="s">
        <v>21</v>
      </c>
      <c r="U41" s="718">
        <f t="shared" si="13"/>
        <v>100</v>
      </c>
      <c r="V41" s="717" t="s">
        <v>21</v>
      </c>
      <c r="W41" s="718">
        <f t="shared" si="14"/>
        <v>100</v>
      </c>
      <c r="X41" s="719"/>
      <c r="Y41" s="3333"/>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31"/>
      <c r="Q42" s="1538" t="str">
        <f t="shared" si="11"/>
        <v>内部装修</v>
      </c>
      <c r="R42" s="714" t="s">
        <v>21</v>
      </c>
      <c r="S42" s="715">
        <f t="shared" si="12"/>
        <v>100</v>
      </c>
      <c r="T42" s="714" t="s">
        <v>21</v>
      </c>
      <c r="U42" s="715">
        <f t="shared" si="13"/>
        <v>100</v>
      </c>
      <c r="V42" s="714" t="s">
        <v>21</v>
      </c>
      <c r="W42" s="715">
        <f t="shared" si="14"/>
        <v>100</v>
      </c>
      <c r="X42" s="1541"/>
      <c r="Y42" s="3333"/>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31"/>
      <c r="Q43" s="1538" t="str">
        <f t="shared" si="11"/>
        <v>内部装修维护情况</v>
      </c>
      <c r="R43" s="714" t="s">
        <v>21</v>
      </c>
      <c r="S43" s="715">
        <f t="shared" si="12"/>
        <v>100</v>
      </c>
      <c r="T43" s="714" t="s">
        <v>21</v>
      </c>
      <c r="U43" s="715">
        <f t="shared" si="13"/>
        <v>100</v>
      </c>
      <c r="V43" s="714" t="s">
        <v>21</v>
      </c>
      <c r="W43" s="715">
        <f t="shared" si="14"/>
        <v>100</v>
      </c>
      <c r="X43" s="1541"/>
      <c r="Y43" s="333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31"/>
      <c r="Q44" s="1529">
        <f t="shared" si="11"/>
        <v>111</v>
      </c>
      <c r="R44" s="710" t="s">
        <v>21</v>
      </c>
      <c r="S44" s="711">
        <f t="shared" si="12"/>
        <v>100</v>
      </c>
      <c r="T44" s="710" t="s">
        <v>21</v>
      </c>
      <c r="U44" s="711">
        <f t="shared" si="13"/>
        <v>100</v>
      </c>
      <c r="V44" s="710" t="s">
        <v>21</v>
      </c>
      <c r="W44" s="711">
        <f t="shared" si="14"/>
        <v>100</v>
      </c>
      <c r="X44" s="712"/>
      <c r="Y44" s="333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31"/>
      <c r="Q45" s="1538">
        <f t="shared" si="11"/>
        <v>111</v>
      </c>
      <c r="R45" s="714" t="s">
        <v>21</v>
      </c>
      <c r="S45" s="715">
        <f t="shared" si="12"/>
        <v>100</v>
      </c>
      <c r="T45" s="714" t="s">
        <v>21</v>
      </c>
      <c r="U45" s="715">
        <f t="shared" si="13"/>
        <v>100</v>
      </c>
      <c r="V45" s="714" t="s">
        <v>21</v>
      </c>
      <c r="W45" s="715">
        <f t="shared" si="14"/>
        <v>100</v>
      </c>
      <c r="X45" s="1541"/>
      <c r="Y45" s="333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32"/>
      <c r="Q46" s="1538">
        <f t="shared" si="11"/>
        <v>111</v>
      </c>
      <c r="R46" s="714" t="s">
        <v>20</v>
      </c>
      <c r="S46" s="715">
        <f t="shared" si="12"/>
        <v>100</v>
      </c>
      <c r="T46" s="714" t="s">
        <v>20</v>
      </c>
      <c r="U46" s="715">
        <f t="shared" si="13"/>
        <v>100</v>
      </c>
      <c r="V46" s="714" t="s">
        <v>20</v>
      </c>
      <c r="W46" s="715">
        <f t="shared" si="14"/>
        <v>100</v>
      </c>
      <c r="X46" s="1541"/>
      <c r="Y46" s="3334"/>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26" t="str">
        <f>A47</f>
        <v>成交单价（元/平方米）</v>
      </c>
      <c r="Q47" s="3326"/>
      <c r="R47" s="3327">
        <f>E47</f>
        <v>0</v>
      </c>
      <c r="S47" s="3327"/>
      <c r="T47" s="3327">
        <f>G47</f>
        <v>0</v>
      </c>
      <c r="U47" s="3327"/>
      <c r="V47" s="3327">
        <f>I47</f>
        <v>0</v>
      </c>
      <c r="W47" s="3327"/>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13" zoomScaleNormal="70" zoomScaleSheetLayoutView="100" workbookViewId="0">
      <selection activeCell="E34" sqref="E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403</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32067</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296" t="s">
        <v>2469</v>
      </c>
      <c r="S4" s="3297"/>
      <c r="T4" s="3296" t="s">
        <v>2470</v>
      </c>
      <c r="U4" s="3297"/>
      <c r="V4" s="3321" t="s">
        <v>2471</v>
      </c>
      <c r="W4" s="3321"/>
      <c r="X4" s="1541"/>
      <c r="Y4" s="3296" t="s">
        <v>2473</v>
      </c>
      <c r="Z4" s="3297"/>
      <c r="AA4" s="3291" t="s">
        <v>2469</v>
      </c>
      <c r="AB4" s="3321" t="s">
        <v>2470</v>
      </c>
      <c r="AC4" s="3291" t="s">
        <v>2471</v>
      </c>
    </row>
    <row r="5" spans="1:29" ht="15">
      <c r="A5" s="364"/>
      <c r="B5" s="365"/>
      <c r="C5" s="3338" t="s">
        <v>3182</v>
      </c>
      <c r="D5" s="3303"/>
      <c r="E5" s="3337" t="s">
        <v>3179</v>
      </c>
      <c r="F5" s="3301"/>
      <c r="G5" s="3338" t="s">
        <v>3180</v>
      </c>
      <c r="H5" s="3303"/>
      <c r="I5" s="3338" t="s">
        <v>3181</v>
      </c>
      <c r="J5" s="3303"/>
      <c r="K5" s="567"/>
      <c r="L5" s="2943"/>
      <c r="M5" s="2944"/>
      <c r="N5" s="2944"/>
      <c r="O5" s="2944"/>
      <c r="P5" s="3315"/>
      <c r="Q5" s="3316"/>
      <c r="R5" s="3298"/>
      <c r="S5" s="3299"/>
      <c r="T5" s="3298"/>
      <c r="U5" s="3299"/>
      <c r="V5" s="3321"/>
      <c r="W5" s="3321"/>
      <c r="X5" s="1541"/>
      <c r="Y5" s="3298"/>
      <c r="Z5" s="3299"/>
      <c r="AA5" s="3292"/>
      <c r="AB5" s="3321"/>
      <c r="AC5" s="3292"/>
    </row>
    <row r="6" spans="1:29" ht="15.75" thickBot="1">
      <c r="A6" s="366"/>
      <c r="B6" s="367"/>
      <c r="C6" s="3339" t="s">
        <v>3183</v>
      </c>
      <c r="D6" s="3305"/>
      <c r="E6" s="3340" t="s">
        <v>3185</v>
      </c>
      <c r="F6" s="3307"/>
      <c r="G6" s="3339" t="s">
        <v>3177</v>
      </c>
      <c r="H6" s="3305"/>
      <c r="I6" s="3341" t="s">
        <v>3178</v>
      </c>
      <c r="J6" s="3342"/>
      <c r="K6" s="567" t="s">
        <v>2369</v>
      </c>
      <c r="L6" s="2943"/>
      <c r="M6" s="2944"/>
      <c r="N6" s="2944"/>
      <c r="O6" s="2944"/>
      <c r="P6" s="3317"/>
      <c r="Q6" s="3318"/>
      <c r="R6" s="3298"/>
      <c r="S6" s="3299"/>
      <c r="T6" s="3319"/>
      <c r="U6" s="3320"/>
      <c r="V6" s="3321"/>
      <c r="W6" s="3321"/>
      <c r="X6" s="1541"/>
      <c r="Y6" s="3319"/>
      <c r="Z6" s="3320"/>
      <c r="AA6" s="3293"/>
      <c r="AB6" s="3321"/>
      <c r="AC6" s="3293"/>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294" t="s">
        <v>2371</v>
      </c>
      <c r="Q7" s="3322"/>
      <c r="R7" s="710" t="s">
        <v>17</v>
      </c>
      <c r="S7" s="711">
        <f t="shared" ref="S7:S15" si="0">F7</f>
        <v>100</v>
      </c>
      <c r="T7" s="710" t="s">
        <v>17</v>
      </c>
      <c r="U7" s="711">
        <f t="shared" ref="U7:U15" si="1">H7</f>
        <v>100</v>
      </c>
      <c r="V7" s="710" t="s">
        <v>17</v>
      </c>
      <c r="W7" s="711">
        <f t="shared" ref="W7:W15" si="2">J7</f>
        <v>100</v>
      </c>
      <c r="X7" s="712"/>
      <c r="Y7" s="3294" t="s">
        <v>2371</v>
      </c>
      <c r="Z7" s="3295"/>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294" t="s">
        <v>2374</v>
      </c>
      <c r="Q8" s="3295"/>
      <c r="R8" s="710" t="s">
        <v>17</v>
      </c>
      <c r="S8" s="711">
        <f t="shared" si="0"/>
        <v>100</v>
      </c>
      <c r="T8" s="710" t="s">
        <v>17</v>
      </c>
      <c r="U8" s="711">
        <f t="shared" si="1"/>
        <v>100</v>
      </c>
      <c r="V8" s="710" t="s">
        <v>17</v>
      </c>
      <c r="W8" s="711">
        <f t="shared" si="2"/>
        <v>100</v>
      </c>
      <c r="X8" s="712"/>
      <c r="Y8" s="3294" t="s">
        <v>2374</v>
      </c>
      <c r="Z8" s="3295"/>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08" t="s">
        <v>2377</v>
      </c>
      <c r="Q9" s="1529" t="str">
        <f t="shared" ref="Q9:Q15" si="6">B9</f>
        <v>用途</v>
      </c>
      <c r="R9" s="710" t="s">
        <v>17</v>
      </c>
      <c r="S9" s="711">
        <f t="shared" si="0"/>
        <v>105</v>
      </c>
      <c r="T9" s="710" t="s">
        <v>17</v>
      </c>
      <c r="U9" s="711">
        <f t="shared" si="1"/>
        <v>105</v>
      </c>
      <c r="V9" s="710" t="s">
        <v>17</v>
      </c>
      <c r="W9" s="711">
        <f t="shared" si="2"/>
        <v>105</v>
      </c>
      <c r="X9" s="712"/>
      <c r="Y9" s="3236"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c r="L10" s="2947"/>
      <c r="M10" s="2948"/>
      <c r="N10" s="2948"/>
      <c r="O10" s="2948"/>
      <c r="P10" s="3308"/>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08"/>
      <c r="Q11" s="1529" t="str">
        <f t="shared" si="6"/>
        <v>容积率</v>
      </c>
      <c r="R11" s="710" t="s">
        <v>17</v>
      </c>
      <c r="S11" s="711">
        <f t="shared" si="0"/>
        <v>100</v>
      </c>
      <c r="T11" s="710" t="s">
        <v>17</v>
      </c>
      <c r="U11" s="711">
        <f t="shared" si="1"/>
        <v>100</v>
      </c>
      <c r="V11" s="710" t="s">
        <v>17</v>
      </c>
      <c r="W11" s="711">
        <f t="shared" si="2"/>
        <v>100</v>
      </c>
      <c r="X11" s="712"/>
      <c r="Y11" s="3236"/>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8"/>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8"/>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8"/>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103</v>
      </c>
      <c r="K15" s="571">
        <v>3</v>
      </c>
      <c r="L15" s="2950"/>
      <c r="M15" s="2944"/>
      <c r="N15" s="2944"/>
      <c r="O15" s="2944"/>
      <c r="P15" s="3335" t="s">
        <v>2382</v>
      </c>
      <c r="Q15" s="1538" t="str">
        <f t="shared" si="6"/>
        <v>商业繁华度</v>
      </c>
      <c r="R15" s="714" t="s">
        <v>17</v>
      </c>
      <c r="S15" s="715">
        <f t="shared" si="0"/>
        <v>100</v>
      </c>
      <c r="T15" s="714" t="s">
        <v>17</v>
      </c>
      <c r="U15" s="715">
        <f t="shared" si="1"/>
        <v>100</v>
      </c>
      <c r="V15" s="714" t="s">
        <v>17</v>
      </c>
      <c r="W15" s="715">
        <f t="shared" si="2"/>
        <v>103</v>
      </c>
      <c r="X15" s="1541"/>
      <c r="Y15" s="3328" t="s">
        <v>2382</v>
      </c>
      <c r="Z15" s="1542" t="str">
        <f t="shared" si="7"/>
        <v>商业繁华度</v>
      </c>
      <c r="AA15" s="1539">
        <f t="shared" si="3"/>
        <v>1</v>
      </c>
      <c r="AB15" s="1539">
        <f t="shared" si="4"/>
        <v>1</v>
      </c>
      <c r="AC15" s="1539">
        <f t="shared" si="5"/>
        <v>0.970873786407767</v>
      </c>
    </row>
    <row r="16" spans="1:29" ht="15">
      <c r="A16" s="387"/>
      <c r="B16" s="405"/>
      <c r="C16" s="406" t="s">
        <v>3095</v>
      </c>
      <c r="D16" s="407"/>
      <c r="E16" s="406" t="s">
        <v>3095</v>
      </c>
      <c r="F16" s="408"/>
      <c r="G16" s="406" t="s">
        <v>3095</v>
      </c>
      <c r="H16" s="409"/>
      <c r="I16" s="406" t="s">
        <v>3096</v>
      </c>
      <c r="J16" s="407"/>
      <c r="K16" s="572"/>
      <c r="L16" s="2950"/>
      <c r="M16" s="2944"/>
      <c r="N16" s="2944"/>
      <c r="O16" s="2944"/>
      <c r="P16" s="3336"/>
      <c r="Q16" s="1538"/>
      <c r="R16" s="714"/>
      <c r="S16" s="715"/>
      <c r="T16" s="714"/>
      <c r="U16" s="715"/>
      <c r="V16" s="714"/>
      <c r="W16" s="715"/>
      <c r="X16" s="1541"/>
      <c r="Y16" s="332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103</v>
      </c>
      <c r="K17" s="571">
        <v>3</v>
      </c>
      <c r="L17" s="2950"/>
      <c r="M17" s="2944"/>
      <c r="N17" s="2944"/>
      <c r="O17" s="2944"/>
      <c r="P17" s="3336"/>
      <c r="Q17" s="1538" t="str">
        <f>B17</f>
        <v>交通便捷度</v>
      </c>
      <c r="R17" s="714" t="s">
        <v>17</v>
      </c>
      <c r="S17" s="715">
        <f>F17</f>
        <v>100</v>
      </c>
      <c r="T17" s="714" t="s">
        <v>17</v>
      </c>
      <c r="U17" s="715">
        <f>H17</f>
        <v>100</v>
      </c>
      <c r="V17" s="714" t="s">
        <v>17</v>
      </c>
      <c r="W17" s="715">
        <f>J17</f>
        <v>103</v>
      </c>
      <c r="X17" s="1541"/>
      <c r="Y17" s="3329"/>
      <c r="Z17" s="1542" t="str">
        <f>Q17</f>
        <v>交通便捷度</v>
      </c>
      <c r="AA17" s="1539">
        <f t="shared" si="3"/>
        <v>1</v>
      </c>
      <c r="AB17" s="1539">
        <f t="shared" si="4"/>
        <v>1</v>
      </c>
      <c r="AC17" s="1539">
        <f t="shared" si="5"/>
        <v>0.970873786407767</v>
      </c>
    </row>
    <row r="18" spans="1:29" ht="15">
      <c r="A18" s="387"/>
      <c r="B18" s="415"/>
      <c r="C18" s="2089" t="s">
        <v>3095</v>
      </c>
      <c r="D18" s="409"/>
      <c r="E18" s="2091" t="s">
        <v>3095</v>
      </c>
      <c r="F18" s="412"/>
      <c r="G18" s="2090" t="s">
        <v>3095</v>
      </c>
      <c r="H18" s="407"/>
      <c r="I18" s="2091" t="s">
        <v>3096</v>
      </c>
      <c r="J18" s="407"/>
      <c r="K18" s="572"/>
      <c r="L18" s="2950"/>
      <c r="M18" s="2944"/>
      <c r="N18" s="2944"/>
      <c r="O18" s="2944"/>
      <c r="P18" s="3336"/>
      <c r="Q18" s="1538"/>
      <c r="R18" s="714"/>
      <c r="S18" s="715"/>
      <c r="T18" s="714"/>
      <c r="U18" s="715"/>
      <c r="V18" s="714"/>
      <c r="W18" s="715"/>
      <c r="X18" s="1541"/>
      <c r="Y18" s="3329"/>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36"/>
      <c r="Q19" s="1538" t="str">
        <f>B19</f>
        <v>公共配套设施</v>
      </c>
      <c r="R19" s="714" t="s">
        <v>17</v>
      </c>
      <c r="S19" s="715">
        <f>F19</f>
        <v>100</v>
      </c>
      <c r="T19" s="714" t="s">
        <v>17</v>
      </c>
      <c r="U19" s="715">
        <f>H19</f>
        <v>100</v>
      </c>
      <c r="V19" s="714" t="s">
        <v>17</v>
      </c>
      <c r="W19" s="715">
        <f>J19</f>
        <v>100</v>
      </c>
      <c r="X19" s="1541"/>
      <c r="Y19" s="3329"/>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36"/>
      <c r="Q20" s="1538"/>
      <c r="R20" s="714"/>
      <c r="S20" s="715"/>
      <c r="T20" s="714"/>
      <c r="U20" s="715"/>
      <c r="V20" s="714"/>
      <c r="W20" s="715"/>
      <c r="X20" s="1541"/>
      <c r="Y20" s="3329"/>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36"/>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36"/>
      <c r="Q22" s="1538"/>
      <c r="R22" s="714"/>
      <c r="S22" s="715"/>
      <c r="T22" s="714"/>
      <c r="U22" s="715"/>
      <c r="V22" s="714"/>
      <c r="W22" s="715"/>
      <c r="X22" s="1541"/>
      <c r="Y22" s="332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36"/>
      <c r="Q23" s="1538" t="str">
        <f>B23</f>
        <v>自然及人文环境</v>
      </c>
      <c r="R23" s="714" t="s">
        <v>17</v>
      </c>
      <c r="S23" s="715">
        <f>F23</f>
        <v>100</v>
      </c>
      <c r="T23" s="714" t="s">
        <v>17</v>
      </c>
      <c r="U23" s="715">
        <f>H23</f>
        <v>100</v>
      </c>
      <c r="V23" s="714" t="s">
        <v>17</v>
      </c>
      <c r="W23" s="715">
        <f>J23</f>
        <v>100</v>
      </c>
      <c r="X23" s="1541"/>
      <c r="Y23" s="3329"/>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36"/>
      <c r="Q24" s="1538"/>
      <c r="R24" s="714"/>
      <c r="S24" s="715"/>
      <c r="T24" s="714"/>
      <c r="U24" s="715"/>
      <c r="V24" s="714"/>
      <c r="W24" s="715"/>
      <c r="X24" s="1541"/>
      <c r="Y24" s="3329"/>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36"/>
      <c r="Q25" s="1538" t="str">
        <f t="shared" ref="Q25:Q46" si="11">B25</f>
        <v>临街状况</v>
      </c>
      <c r="R25" s="714" t="s">
        <v>17</v>
      </c>
      <c r="S25" s="715">
        <f>F25</f>
        <v>100</v>
      </c>
      <c r="T25" s="714" t="s">
        <v>17</v>
      </c>
      <c r="U25" s="715">
        <f>H25</f>
        <v>100</v>
      </c>
      <c r="V25" s="714" t="s">
        <v>17</v>
      </c>
      <c r="W25" s="715">
        <f>J25</f>
        <v>100</v>
      </c>
      <c r="X25" s="1541"/>
      <c r="Y25" s="3329"/>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36"/>
      <c r="Q26" s="1538" t="str">
        <f t="shared" si="11"/>
        <v>平面位置/可视性</v>
      </c>
      <c r="R26" s="714" t="s">
        <v>17</v>
      </c>
      <c r="S26" s="715">
        <f>F26</f>
        <v>100</v>
      </c>
      <c r="T26" s="714" t="s">
        <v>17</v>
      </c>
      <c r="U26" s="715">
        <f>H26</f>
        <v>100</v>
      </c>
      <c r="V26" s="714" t="s">
        <v>17</v>
      </c>
      <c r="W26" s="715">
        <f>J26</f>
        <v>100</v>
      </c>
      <c r="X26" s="1541"/>
      <c r="Y26" s="3329"/>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3095</v>
      </c>
      <c r="H27" s="421">
        <f>SUMIF(90:90,G27,91:91)-SUMIF(90:90,C27,91:91)+100</f>
        <v>100</v>
      </c>
      <c r="I27" s="2144" t="s">
        <v>3095</v>
      </c>
      <c r="J27" s="421">
        <f>SUMIF(90:90,I27,91:91)-SUMIF(90:90,C27,91:91)+100</f>
        <v>100</v>
      </c>
      <c r="K27" s="569">
        <v>2</v>
      </c>
      <c r="L27" s="2945"/>
      <c r="M27" s="2946"/>
      <c r="N27" s="2946"/>
      <c r="O27" s="2946"/>
      <c r="P27" s="3336"/>
      <c r="Q27" s="1529" t="str">
        <f t="shared" si="11"/>
        <v>人流量</v>
      </c>
      <c r="R27" s="710" t="s">
        <v>17</v>
      </c>
      <c r="S27" s="711">
        <f>F27</f>
        <v>100</v>
      </c>
      <c r="T27" s="710" t="s">
        <v>17</v>
      </c>
      <c r="U27" s="711">
        <f>H27</f>
        <v>100</v>
      </c>
      <c r="V27" s="710" t="s">
        <v>17</v>
      </c>
      <c r="W27" s="711">
        <f>J27</f>
        <v>100</v>
      </c>
      <c r="X27" s="712"/>
      <c r="Y27" s="3329"/>
      <c r="Z27" s="55" t="str">
        <f>Q27</f>
        <v>人流量</v>
      </c>
      <c r="AA27" s="1539">
        <f>D27/F27</f>
        <v>1</v>
      </c>
      <c r="AB27" s="1539">
        <f>D27/H27</f>
        <v>1</v>
      </c>
      <c r="AC27" s="1539">
        <f>D27/J27</f>
        <v>1</v>
      </c>
    </row>
    <row r="28" spans="1:29" ht="15.75" thickBot="1">
      <c r="A28" s="387"/>
      <c r="B28" s="381" t="s">
        <v>2481</v>
      </c>
      <c r="C28" s="573" t="s">
        <v>3108</v>
      </c>
      <c r="D28" s="394">
        <v>100</v>
      </c>
      <c r="E28" s="573" t="s">
        <v>3108</v>
      </c>
      <c r="F28" s="420">
        <f>SUMIF(92:92,E28,93:93)-SUMIF(92:92,C28,93:93)+100</f>
        <v>100</v>
      </c>
      <c r="G28" s="573" t="s">
        <v>3184</v>
      </c>
      <c r="H28" s="394">
        <f>SUMIF(92:92,G28,93:93)-SUMIF(92:92,C28,93:93)+100</f>
        <v>96</v>
      </c>
      <c r="I28" s="573" t="s">
        <v>3108</v>
      </c>
      <c r="J28" s="394">
        <f>SUMIF(92:92,I28,93:93)-SUMIF(92:92,C28,93:93)+100</f>
        <v>100</v>
      </c>
      <c r="K28" s="570"/>
      <c r="L28" s="2950"/>
      <c r="M28" s="2944"/>
      <c r="N28" s="2944"/>
      <c r="O28" s="2944"/>
      <c r="P28" s="3336"/>
      <c r="Q28" s="1538" t="str">
        <f t="shared" si="11"/>
        <v>楼层</v>
      </c>
      <c r="R28" s="714" t="s">
        <v>17</v>
      </c>
      <c r="S28" s="715">
        <f t="shared" ref="S28:S46" si="12">F28</f>
        <v>100</v>
      </c>
      <c r="T28" s="714" t="s">
        <v>17</v>
      </c>
      <c r="U28" s="715">
        <f t="shared" ref="U28:U46" si="13">H28</f>
        <v>96</v>
      </c>
      <c r="V28" s="714" t="s">
        <v>17</v>
      </c>
      <c r="W28" s="715">
        <f t="shared" ref="W28:W46" si="14">J28</f>
        <v>100</v>
      </c>
      <c r="X28" s="1541"/>
      <c r="Y28" s="3329"/>
      <c r="Z28" s="1542" t="str">
        <f t="shared" ref="Z28:Z46" si="15">Q28</f>
        <v>楼层</v>
      </c>
      <c r="AA28" s="1539">
        <f t="shared" si="3"/>
        <v>1</v>
      </c>
      <c r="AB28" s="1539">
        <f t="shared" si="4"/>
        <v>1.0416666666666667</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6"/>
      <c r="Q29" s="1538">
        <f t="shared" si="11"/>
        <v>0</v>
      </c>
      <c r="R29" s="714" t="s">
        <v>17</v>
      </c>
      <c r="S29" s="715">
        <f t="shared" si="12"/>
        <v>100</v>
      </c>
      <c r="T29" s="714" t="s">
        <v>17</v>
      </c>
      <c r="U29" s="715">
        <f t="shared" si="13"/>
        <v>100</v>
      </c>
      <c r="V29" s="714" t="s">
        <v>17</v>
      </c>
      <c r="W29" s="715">
        <f t="shared" si="14"/>
        <v>100</v>
      </c>
      <c r="X29" s="1541"/>
      <c r="Y29" s="3329"/>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6"/>
      <c r="Q30" s="1538">
        <f t="shared" si="11"/>
        <v>0</v>
      </c>
      <c r="R30" s="714" t="s">
        <v>17</v>
      </c>
      <c r="S30" s="715">
        <f t="shared" si="12"/>
        <v>100</v>
      </c>
      <c r="T30" s="714" t="s">
        <v>17</v>
      </c>
      <c r="U30" s="715">
        <f t="shared" si="13"/>
        <v>100</v>
      </c>
      <c r="V30" s="714" t="s">
        <v>17</v>
      </c>
      <c r="W30" s="715">
        <f t="shared" si="14"/>
        <v>100</v>
      </c>
      <c r="X30" s="1541"/>
      <c r="Y30" s="3329"/>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6"/>
      <c r="Q31" s="1538">
        <f t="shared" si="11"/>
        <v>0</v>
      </c>
      <c r="R31" s="714" t="s">
        <v>17</v>
      </c>
      <c r="S31" s="715">
        <f t="shared" si="12"/>
        <v>100</v>
      </c>
      <c r="T31" s="714" t="s">
        <v>17</v>
      </c>
      <c r="U31" s="715">
        <f t="shared" si="13"/>
        <v>100</v>
      </c>
      <c r="V31" s="714" t="s">
        <v>17</v>
      </c>
      <c r="W31" s="715">
        <f t="shared" si="14"/>
        <v>100</v>
      </c>
      <c r="X31" s="1541"/>
      <c r="Y31" s="3329"/>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30" t="s">
        <v>2387</v>
      </c>
      <c r="Q32" s="1538" t="str">
        <f t="shared" si="11"/>
        <v>商业类型</v>
      </c>
      <c r="R32" s="714" t="s">
        <v>17</v>
      </c>
      <c r="S32" s="715">
        <f t="shared" si="12"/>
        <v>100</v>
      </c>
      <c r="T32" s="714" t="s">
        <v>17</v>
      </c>
      <c r="U32" s="715">
        <f t="shared" si="13"/>
        <v>100</v>
      </c>
      <c r="V32" s="714" t="s">
        <v>17</v>
      </c>
      <c r="W32" s="715">
        <f t="shared" si="14"/>
        <v>100</v>
      </c>
      <c r="X32" s="1541"/>
      <c r="Y32" s="3333"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157.94</v>
      </c>
      <c r="F33" s="384">
        <f>LOOKUP(E33,103:103,104:104)-LOOKUP(C33,103:103,104:104)+100</f>
        <v>99</v>
      </c>
      <c r="G33" s="388">
        <v>148</v>
      </c>
      <c r="H33" s="132">
        <f>LOOKUP(G33,103:103,104:104)-LOOKUP(C33,103:103,104:104)+100</f>
        <v>100</v>
      </c>
      <c r="I33" s="388">
        <v>50</v>
      </c>
      <c r="J33" s="132">
        <f>LOOKUP(I33,103:103,104:104)-LOOKUP(C33,103:103,104:104)+100</f>
        <v>101</v>
      </c>
      <c r="K33" s="570"/>
      <c r="L33" s="2949"/>
      <c r="M33" s="2951"/>
      <c r="N33" s="2951"/>
      <c r="O33" s="2951"/>
      <c r="P33" s="3331"/>
      <c r="Q33" s="716" t="str">
        <f t="shared" si="11"/>
        <v>项目建筑规模</v>
      </c>
      <c r="R33" s="717" t="s">
        <v>17</v>
      </c>
      <c r="S33" s="718">
        <f t="shared" si="12"/>
        <v>99</v>
      </c>
      <c r="T33" s="717" t="s">
        <v>17</v>
      </c>
      <c r="U33" s="718">
        <f t="shared" si="13"/>
        <v>100</v>
      </c>
      <c r="V33" s="717" t="s">
        <v>17</v>
      </c>
      <c r="W33" s="718">
        <f t="shared" si="14"/>
        <v>101</v>
      </c>
      <c r="X33" s="719"/>
      <c r="Y33" s="3333"/>
      <c r="Z33" s="720" t="str">
        <f t="shared" si="15"/>
        <v>项目建筑规模</v>
      </c>
      <c r="AA33" s="1539">
        <f t="shared" si="3"/>
        <v>1.0101010101010102</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31"/>
      <c r="Q34" s="1538" t="str">
        <f t="shared" si="11"/>
        <v>建筑结构</v>
      </c>
      <c r="R34" s="714" t="s">
        <v>17</v>
      </c>
      <c r="S34" s="715">
        <f t="shared" si="12"/>
        <v>100</v>
      </c>
      <c r="T34" s="714" t="s">
        <v>17</v>
      </c>
      <c r="U34" s="715">
        <f t="shared" si="13"/>
        <v>100</v>
      </c>
      <c r="V34" s="714" t="s">
        <v>17</v>
      </c>
      <c r="W34" s="715">
        <f t="shared" si="14"/>
        <v>100</v>
      </c>
      <c r="X34" s="1541"/>
      <c r="Y34" s="3333"/>
      <c r="Z34" s="1542" t="str">
        <f t="shared" si="15"/>
        <v>建筑结构</v>
      </c>
      <c r="AA34" s="1539">
        <f t="shared" si="3"/>
        <v>1</v>
      </c>
      <c r="AB34" s="1539">
        <f t="shared" si="4"/>
        <v>1</v>
      </c>
      <c r="AC34" s="1539">
        <f t="shared" si="5"/>
        <v>1</v>
      </c>
    </row>
    <row r="35" spans="1:29" ht="15">
      <c r="A35" s="431"/>
      <c r="B35" s="381" t="s">
        <v>2483</v>
      </c>
      <c r="C35" s="3051" t="s">
        <v>3115</v>
      </c>
      <c r="D35" s="394">
        <v>100</v>
      </c>
      <c r="E35" s="3051" t="s">
        <v>3115</v>
      </c>
      <c r="F35" s="420">
        <f>SUMIF(107:107,E35,108:108)-SUMIF(107:107,C35,108:108)+100</f>
        <v>100</v>
      </c>
      <c r="G35" s="3051" t="s">
        <v>3115</v>
      </c>
      <c r="H35" s="394">
        <f>SUMIF(107:107,G35,108:108)-SUMIF(107:107,C35,108:108)+100</f>
        <v>100</v>
      </c>
      <c r="I35" s="3051" t="s">
        <v>3115</v>
      </c>
      <c r="J35" s="394">
        <f>SUMIF(107:107,I35,108:108)-SUMIF(107:107,C35,108:108)+100</f>
        <v>100</v>
      </c>
      <c r="K35" s="569"/>
      <c r="L35" s="2950"/>
      <c r="M35" s="2944"/>
      <c r="N35" s="2944"/>
      <c r="O35" s="2944"/>
      <c r="P35" s="3331"/>
      <c r="Q35" s="1538" t="str">
        <f t="shared" si="11"/>
        <v>公共部分装修</v>
      </c>
      <c r="R35" s="714" t="s">
        <v>17</v>
      </c>
      <c r="S35" s="715">
        <f t="shared" si="12"/>
        <v>100</v>
      </c>
      <c r="T35" s="714" t="s">
        <v>17</v>
      </c>
      <c r="U35" s="715">
        <f t="shared" si="13"/>
        <v>100</v>
      </c>
      <c r="V35" s="714" t="s">
        <v>17</v>
      </c>
      <c r="W35" s="715">
        <f t="shared" si="14"/>
        <v>100</v>
      </c>
      <c r="X35" s="1541"/>
      <c r="Y35" s="3333"/>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0"/>
      <c r="M36" s="2944"/>
      <c r="N36" s="2944"/>
      <c r="O36" s="2944"/>
      <c r="P36" s="3331"/>
      <c r="Q36" s="1538" t="str">
        <f t="shared" si="11"/>
        <v>成新度</v>
      </c>
      <c r="R36" s="714" t="s">
        <v>17</v>
      </c>
      <c r="S36" s="715">
        <f t="shared" si="12"/>
        <v>100</v>
      </c>
      <c r="T36" s="714" t="s">
        <v>17</v>
      </c>
      <c r="U36" s="715">
        <f t="shared" si="13"/>
        <v>100</v>
      </c>
      <c r="V36" s="714" t="s">
        <v>17</v>
      </c>
      <c r="W36" s="715">
        <f t="shared" si="14"/>
        <v>100</v>
      </c>
      <c r="X36" s="1541"/>
      <c r="Y36" s="3333"/>
      <c r="Z36" s="1542" t="str">
        <f t="shared" si="15"/>
        <v>成新度</v>
      </c>
      <c r="AA36" s="1539">
        <f t="shared" si="3"/>
        <v>1</v>
      </c>
      <c r="AB36" s="1539">
        <f t="shared" si="4"/>
        <v>1</v>
      </c>
      <c r="AC36" s="1539">
        <f t="shared" si="5"/>
        <v>1</v>
      </c>
    </row>
    <row r="37" spans="1:29" s="113" customFormat="1" ht="15">
      <c r="A37" s="432"/>
      <c r="B37" s="381" t="s">
        <v>2485</v>
      </c>
      <c r="C37" s="3051" t="s">
        <v>3116</v>
      </c>
      <c r="D37" s="132">
        <v>100</v>
      </c>
      <c r="E37" s="3051" t="s">
        <v>3117</v>
      </c>
      <c r="F37" s="420">
        <f>SUMIF(112:112,E37,113:113)-SUMIF(112:112,C37,113:113)+100</f>
        <v>102</v>
      </c>
      <c r="G37" s="3051" t="s">
        <v>3117</v>
      </c>
      <c r="H37" s="394">
        <f>SUMIF(112:112,G37,113:113)-SUMIF(112:112,C37,113:113)+100</f>
        <v>102</v>
      </c>
      <c r="I37" s="3051" t="s">
        <v>3117</v>
      </c>
      <c r="J37" s="394">
        <f>SUMIF(112:112,I37,113:113)-SUMIF(112:112,C37,113:113)+100</f>
        <v>102</v>
      </c>
      <c r="K37" s="569">
        <v>2</v>
      </c>
      <c r="L37" s="2945"/>
      <c r="M37" s="2946"/>
      <c r="N37" s="2946"/>
      <c r="O37" s="2946"/>
      <c r="P37" s="3331"/>
      <c r="Q37" s="1529" t="str">
        <f t="shared" si="11"/>
        <v>市政基础设施</v>
      </c>
      <c r="R37" s="710" t="s">
        <v>17</v>
      </c>
      <c r="S37" s="711">
        <f t="shared" si="12"/>
        <v>102</v>
      </c>
      <c r="T37" s="710" t="s">
        <v>17</v>
      </c>
      <c r="U37" s="711">
        <f t="shared" si="13"/>
        <v>102</v>
      </c>
      <c r="V37" s="710" t="s">
        <v>17</v>
      </c>
      <c r="W37" s="711">
        <f t="shared" si="14"/>
        <v>102</v>
      </c>
      <c r="X37" s="712"/>
      <c r="Y37" s="3333"/>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3169</v>
      </c>
      <c r="D38" s="394">
        <v>100</v>
      </c>
      <c r="E38" s="3067" t="s">
        <v>3167</v>
      </c>
      <c r="F38" s="420">
        <f>SUMIF(114:114,E38,115:115)-SUMIF(114:114,C38,115:115)+100</f>
        <v>101</v>
      </c>
      <c r="G38" s="3067" t="s">
        <v>3167</v>
      </c>
      <c r="H38" s="394">
        <f>SUMIF(114:114,G38,115:115)-SUMIF(114:114,C38,115:115)+100</f>
        <v>101</v>
      </c>
      <c r="I38" s="3067" t="s">
        <v>3167</v>
      </c>
      <c r="J38" s="394">
        <f>SUMIF(114:114,I38,115:115)-SUMIF(114:114,C38,115:115)+100</f>
        <v>101</v>
      </c>
      <c r="K38" s="569">
        <v>1</v>
      </c>
      <c r="L38" s="2950"/>
      <c r="M38" s="2944"/>
      <c r="N38" s="2944"/>
      <c r="O38" s="2944"/>
      <c r="P38" s="3331" t="s">
        <v>2387</v>
      </c>
      <c r="Q38" s="1538" t="str">
        <f t="shared" si="11"/>
        <v>业态</v>
      </c>
      <c r="R38" s="714" t="s">
        <v>17</v>
      </c>
      <c r="S38" s="715">
        <f t="shared" si="12"/>
        <v>101</v>
      </c>
      <c r="T38" s="714" t="s">
        <v>17</v>
      </c>
      <c r="U38" s="715">
        <f t="shared" si="13"/>
        <v>101</v>
      </c>
      <c r="V38" s="714" t="s">
        <v>17</v>
      </c>
      <c r="W38" s="715">
        <f t="shared" si="14"/>
        <v>101</v>
      </c>
      <c r="X38" s="1541"/>
      <c r="Y38" s="3333"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3119</v>
      </c>
      <c r="D39" s="394">
        <v>100</v>
      </c>
      <c r="E39" s="2094" t="s">
        <v>3119</v>
      </c>
      <c r="F39" s="420">
        <f>SUMIF(116:116,E39,117:117)-SUMIF(116:116,C39,117:117)+100</f>
        <v>100</v>
      </c>
      <c r="G39" s="2094" t="s">
        <v>3119</v>
      </c>
      <c r="H39" s="394">
        <f>SUMIF(116:116,G39,117:117)-SUMIF(116:116,C39,117:117)+100</f>
        <v>100</v>
      </c>
      <c r="I39" s="2094" t="s">
        <v>3121</v>
      </c>
      <c r="J39" s="394">
        <f>SUMIF(116:116,I39,117:117)-SUMIF(116:116,C39,117:117)+100</f>
        <v>101</v>
      </c>
      <c r="K39" s="569">
        <v>1</v>
      </c>
      <c r="L39" s="2950"/>
      <c r="M39" s="2944"/>
      <c r="N39" s="2944"/>
      <c r="O39" s="2944"/>
      <c r="P39" s="3331"/>
      <c r="Q39" s="1538" t="str">
        <f t="shared" si="11"/>
        <v>层高</v>
      </c>
      <c r="R39" s="714" t="s">
        <v>17</v>
      </c>
      <c r="S39" s="715">
        <f t="shared" si="12"/>
        <v>100</v>
      </c>
      <c r="T39" s="714" t="s">
        <v>17</v>
      </c>
      <c r="U39" s="715">
        <f t="shared" si="13"/>
        <v>100</v>
      </c>
      <c r="V39" s="714" t="s">
        <v>17</v>
      </c>
      <c r="W39" s="715">
        <f t="shared" si="14"/>
        <v>101</v>
      </c>
      <c r="X39" s="1541"/>
      <c r="Y39" s="3333"/>
      <c r="Z39" s="1542" t="str">
        <f t="shared" si="15"/>
        <v>层高</v>
      </c>
      <c r="AA39" s="1539">
        <f t="shared" si="3"/>
        <v>1</v>
      </c>
      <c r="AB39" s="1539">
        <f t="shared" si="4"/>
        <v>1</v>
      </c>
      <c r="AC39" s="1539">
        <f t="shared" si="5"/>
        <v>0.99009900990099009</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1"/>
      <c r="Q40" s="1538" t="str">
        <f t="shared" si="11"/>
        <v>单套建筑面积</v>
      </c>
      <c r="R40" s="714" t="s">
        <v>17</v>
      </c>
      <c r="S40" s="715">
        <f t="shared" si="12"/>
        <v>100</v>
      </c>
      <c r="T40" s="714" t="s">
        <v>17</v>
      </c>
      <c r="U40" s="715">
        <f t="shared" si="13"/>
        <v>100</v>
      </c>
      <c r="V40" s="714" t="s">
        <v>17</v>
      </c>
      <c r="W40" s="715">
        <f t="shared" si="14"/>
        <v>100</v>
      </c>
      <c r="X40" s="1541"/>
      <c r="Y40" s="3333"/>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1"/>
      <c r="Q41" s="716" t="str">
        <f t="shared" si="11"/>
        <v>进深比</v>
      </c>
      <c r="R41" s="717" t="s">
        <v>17</v>
      </c>
      <c r="S41" s="718">
        <f t="shared" si="12"/>
        <v>100</v>
      </c>
      <c r="T41" s="717" t="s">
        <v>17</v>
      </c>
      <c r="U41" s="718">
        <f t="shared" si="13"/>
        <v>100</v>
      </c>
      <c r="V41" s="717" t="s">
        <v>17</v>
      </c>
      <c r="W41" s="718">
        <f t="shared" si="14"/>
        <v>100</v>
      </c>
      <c r="X41" s="719"/>
      <c r="Y41" s="3333"/>
      <c r="Z41" s="720" t="str">
        <f t="shared" si="15"/>
        <v>进深比</v>
      </c>
      <c r="AA41" s="1539">
        <f t="shared" si="3"/>
        <v>1</v>
      </c>
      <c r="AB41" s="1539">
        <f t="shared" si="4"/>
        <v>1</v>
      </c>
      <c r="AC41" s="1539">
        <f t="shared" si="5"/>
        <v>1</v>
      </c>
    </row>
    <row r="42" spans="1:29" ht="15">
      <c r="A42" s="431"/>
      <c r="B42" s="381" t="s">
        <v>2490</v>
      </c>
      <c r="C42" s="2094" t="s">
        <v>3114</v>
      </c>
      <c r="D42" s="394">
        <v>100</v>
      </c>
      <c r="E42" s="2094" t="s">
        <v>3114</v>
      </c>
      <c r="F42" s="420">
        <f>SUMIF(122:122,E42,123:123)-SUMIF(122:122,C42,123:123)+100</f>
        <v>100</v>
      </c>
      <c r="G42" s="2094" t="s">
        <v>3114</v>
      </c>
      <c r="H42" s="394">
        <f>SUMIF(122:122,G42,123:123)-SUMIF(122:122,C42,123:123)+100</f>
        <v>100</v>
      </c>
      <c r="I42" s="2094" t="s">
        <v>3114</v>
      </c>
      <c r="J42" s="394">
        <f>SUMIF(122:122,I42,123:123)-SUMIF(122:122,C42,123:123)+100</f>
        <v>100</v>
      </c>
      <c r="K42" s="569">
        <v>2</v>
      </c>
      <c r="L42" s="2950"/>
      <c r="M42" s="2944"/>
      <c r="N42" s="2944"/>
      <c r="O42" s="2944"/>
      <c r="P42" s="3331"/>
      <c r="Q42" s="1538" t="str">
        <f t="shared" si="11"/>
        <v>内部装修</v>
      </c>
      <c r="R42" s="714" t="s">
        <v>17</v>
      </c>
      <c r="S42" s="715">
        <f t="shared" si="12"/>
        <v>100</v>
      </c>
      <c r="T42" s="714" t="s">
        <v>17</v>
      </c>
      <c r="U42" s="715">
        <f t="shared" si="13"/>
        <v>100</v>
      </c>
      <c r="V42" s="714" t="s">
        <v>17</v>
      </c>
      <c r="W42" s="715">
        <f t="shared" si="14"/>
        <v>100</v>
      </c>
      <c r="X42" s="1541"/>
      <c r="Y42" s="3333"/>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31"/>
      <c r="Q43" s="1538" t="str">
        <f t="shared" si="11"/>
        <v>内部装修维护情况</v>
      </c>
      <c r="R43" s="714" t="s">
        <v>17</v>
      </c>
      <c r="S43" s="715">
        <f t="shared" si="12"/>
        <v>100</v>
      </c>
      <c r="T43" s="714" t="s">
        <v>17</v>
      </c>
      <c r="U43" s="715">
        <f t="shared" si="13"/>
        <v>100</v>
      </c>
      <c r="V43" s="714" t="s">
        <v>17</v>
      </c>
      <c r="W43" s="715">
        <f t="shared" si="14"/>
        <v>100</v>
      </c>
      <c r="X43" s="1541"/>
      <c r="Y43" s="333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1"/>
      <c r="Q44" s="1529">
        <f t="shared" si="11"/>
        <v>111</v>
      </c>
      <c r="R44" s="710" t="s">
        <v>17</v>
      </c>
      <c r="S44" s="711">
        <f t="shared" si="12"/>
        <v>100</v>
      </c>
      <c r="T44" s="710" t="s">
        <v>17</v>
      </c>
      <c r="U44" s="711">
        <f t="shared" si="13"/>
        <v>100</v>
      </c>
      <c r="V44" s="710" t="s">
        <v>17</v>
      </c>
      <c r="W44" s="711">
        <f t="shared" si="14"/>
        <v>100</v>
      </c>
      <c r="X44" s="712"/>
      <c r="Y44" s="333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1"/>
      <c r="Q45" s="1538">
        <f t="shared" si="11"/>
        <v>111</v>
      </c>
      <c r="R45" s="714" t="s">
        <v>17</v>
      </c>
      <c r="S45" s="715">
        <f t="shared" si="12"/>
        <v>100</v>
      </c>
      <c r="T45" s="714" t="s">
        <v>17</v>
      </c>
      <c r="U45" s="715">
        <f t="shared" si="13"/>
        <v>100</v>
      </c>
      <c r="V45" s="714" t="s">
        <v>17</v>
      </c>
      <c r="W45" s="715">
        <f t="shared" si="14"/>
        <v>100</v>
      </c>
      <c r="X45" s="1541"/>
      <c r="Y45" s="333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32"/>
      <c r="Q46" s="1538">
        <f t="shared" si="11"/>
        <v>111</v>
      </c>
      <c r="R46" s="714" t="s">
        <v>17</v>
      </c>
      <c r="S46" s="715">
        <f t="shared" si="12"/>
        <v>100</v>
      </c>
      <c r="T46" s="714" t="s">
        <v>17</v>
      </c>
      <c r="U46" s="715">
        <f t="shared" si="13"/>
        <v>100</v>
      </c>
      <c r="V46" s="714" t="s">
        <v>17</v>
      </c>
      <c r="W46" s="715">
        <f t="shared" si="14"/>
        <v>100</v>
      </c>
      <c r="X46" s="1541"/>
      <c r="Y46" s="3334"/>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326" t="str">
        <f>A47</f>
        <v>成交单价（元/平方米）</v>
      </c>
      <c r="Q47" s="3326"/>
      <c r="R47" s="3321">
        <f>E47</f>
        <v>31658</v>
      </c>
      <c r="S47" s="3321"/>
      <c r="T47" s="3321">
        <f>G47</f>
        <v>33719</v>
      </c>
      <c r="U47" s="3321"/>
      <c r="V47" s="3321">
        <f>I47</f>
        <v>40000</v>
      </c>
      <c r="W47" s="3321"/>
      <c r="X47" s="699"/>
      <c r="Y47" s="721"/>
      <c r="Z47" s="699"/>
      <c r="AA47" s="699"/>
      <c r="AB47" s="699"/>
      <c r="AC47" s="699"/>
    </row>
    <row r="48" spans="1:29" ht="15.75" thickBot="1">
      <c r="A48" s="445" t="s">
        <v>2491</v>
      </c>
      <c r="B48" s="446"/>
      <c r="C48" s="1322">
        <f>R49</f>
        <v>32067</v>
      </c>
      <c r="D48" s="2539" t="s">
        <v>2879</v>
      </c>
      <c r="E48" s="1323">
        <f>R48</f>
        <v>29562</v>
      </c>
      <c r="F48" s="2540"/>
      <c r="G48" s="1322">
        <f>T48</f>
        <v>32471</v>
      </c>
      <c r="H48" s="2540"/>
      <c r="I48" s="1323">
        <f>V48</f>
        <v>34169</v>
      </c>
      <c r="J48" s="2540"/>
      <c r="K48" s="2542">
        <f>F48+H48+J48</f>
        <v>0</v>
      </c>
      <c r="L48" s="2952"/>
      <c r="M48" s="2953"/>
      <c r="N48" s="2944"/>
      <c r="O48" s="2953"/>
      <c r="P48" s="3326" t="str">
        <f>A48</f>
        <v>比较价值（元/平方米）</v>
      </c>
      <c r="Q48" s="3326"/>
      <c r="R48" s="3327">
        <f>IF(F1="售价",ROUND(PRODUCT(R47,AA7:AA46),0),ROUND(PRODUCT(R47,AA7:AA46),1))</f>
        <v>29562</v>
      </c>
      <c r="S48" s="3327"/>
      <c r="T48" s="3327">
        <f>IF(F1="售价",ROUND(PRODUCT(T47,AB7:AB46),0),ROUND(PRODUCT(T47,AB7:AB46),1))</f>
        <v>32471</v>
      </c>
      <c r="U48" s="3327"/>
      <c r="V48" s="3327">
        <f>IF(F1="售价",ROUND(PRODUCT(V47,AC7:AC46),0),ROUND(PRODUCT(V47,AC7:AC46),1))</f>
        <v>34169</v>
      </c>
      <c r="W48" s="3327"/>
      <c r="X48" s="699"/>
      <c r="Y48" s="699"/>
      <c r="Z48" s="699"/>
      <c r="AA48" s="699"/>
      <c r="AB48" s="699"/>
      <c r="AC48" s="699"/>
    </row>
    <row r="49" spans="1:29" ht="15.75" thickBot="1">
      <c r="A49" s="449" t="s">
        <v>2492</v>
      </c>
      <c r="B49" s="450"/>
      <c r="C49" s="1325">
        <f>R49</f>
        <v>32067</v>
      </c>
      <c r="D49" s="1325"/>
      <c r="E49" s="1325"/>
      <c r="F49" s="1325"/>
      <c r="G49" s="1325"/>
      <c r="H49" s="1325"/>
      <c r="I49" s="1325"/>
      <c r="J49" s="1325"/>
      <c r="K49" s="724"/>
      <c r="L49" s="2952"/>
      <c r="M49" s="2953"/>
      <c r="N49" s="2944"/>
      <c r="O49" s="2953"/>
      <c r="P49" s="3323" t="str">
        <f>A49</f>
        <v>估价对象XX用房的比较价值（楼面单价，元/平方米）</v>
      </c>
      <c r="Q49" s="3324"/>
      <c r="R49" s="3325">
        <f>IF(F1="售价",ROUND(IF(D48="简单平均",AVERAGE(R48:V48),R48*F48+T48*H48+V48*J48),0),ROUND(IF(D48="简单平均",AVERAGE(R48:V48),R48*F48+T48*H48+V48*J48),1))</f>
        <v>32067</v>
      </c>
      <c r="S49" s="3325"/>
      <c r="T49" s="3325"/>
      <c r="U49" s="3325"/>
      <c r="V49" s="3325"/>
      <c r="W49" s="332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7.0901833434815043E-2</v>
      </c>
      <c r="F52" s="457" t="str">
        <f>IF(OR(E52&gt;=0.3,E52&lt;=-0.3),"超过30%","")</f>
        <v/>
      </c>
      <c r="G52" s="456">
        <f>IF(G47&lt;G48,G48/G47-1,G47/G48-1)</f>
        <v>3.8434295217270709E-2</v>
      </c>
      <c r="H52" s="457" t="str">
        <f>IF(OR(G52&gt;=0.3,G52&lt;=-0.3),"超过30%","")</f>
        <v/>
      </c>
      <c r="I52" s="456">
        <f>IF(I47&lt;I48,I48/I47-1,I47/I48-1)</f>
        <v>0.17065176036758456</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9.8403355659292258E-2</v>
      </c>
      <c r="F53" s="457" t="str">
        <f>IF(OR(E53&gt;=0.2,E53&lt;=-0.2),"超过20%","")</f>
        <v/>
      </c>
      <c r="G53" s="456">
        <f>IF(G48&lt;I48,I48/G48-1,G48/I48-1)</f>
        <v>5.2292815127344294E-2</v>
      </c>
      <c r="H53" s="457" t="str">
        <f>IF(OR(G53&gt;=0.2,G53&lt;=-0.2),"超过20%","")</f>
        <v/>
      </c>
      <c r="I53" s="456">
        <f>IF(I48&lt;E48,E48/I48-1,I48/E48-1)</f>
        <v>0.15584195927203837</v>
      </c>
      <c r="J53" s="457"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3166</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96</v>
      </c>
      <c r="E93" s="493">
        <v>92</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50</v>
      </c>
      <c r="E103" s="552">
        <v>100</v>
      </c>
      <c r="F103" s="552">
        <v>150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102</v>
      </c>
      <c r="D104" s="493">
        <v>101</v>
      </c>
      <c r="E104" s="493">
        <v>100</v>
      </c>
      <c r="F104" s="493">
        <v>99</v>
      </c>
      <c r="G104" s="493">
        <v>98</v>
      </c>
      <c r="H104" s="493">
        <v>97</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3117</v>
      </c>
      <c r="D112" s="3048" t="s">
        <v>3118</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3168</v>
      </c>
      <c r="D114" s="3048" t="s">
        <v>3170</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3122</v>
      </c>
      <c r="D116" s="3048" t="s">
        <v>3120</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3123</v>
      </c>
      <c r="D122" s="3048" t="s">
        <v>3124</v>
      </c>
      <c r="E122" s="3048" t="s">
        <v>3125</v>
      </c>
      <c r="F122" s="3052" t="s">
        <v>3126</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估价对象为北京市房地产，为所有。根据《国有土地使用证》[]，估价对象（分摊）出让国有建设用地使用权面积为0平方米，建筑面积为1266.65平方米。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估价对象为北京市房地产,属开发建设的办公项目，该项目尚在开发建设中。根据《国有土地使用证》[]，估价对象（分摊）出让国有建设用地使用权面积为0平方米，规划建筑面积为1266.65平方米。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Normal="70" zoomScaleSheetLayoutView="100" workbookViewId="0">
      <selection activeCell="K15" sqref="K1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3143</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3144</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49" t="s">
        <v>2473</v>
      </c>
      <c r="Q4" s="3350"/>
      <c r="R4" s="3344" t="s">
        <v>2469</v>
      </c>
      <c r="S4" s="3345"/>
      <c r="T4" s="3344" t="s">
        <v>2470</v>
      </c>
      <c r="U4" s="3345"/>
      <c r="V4" s="3353" t="s">
        <v>2471</v>
      </c>
      <c r="W4" s="3353"/>
      <c r="X4" s="2146"/>
      <c r="Y4" s="3344" t="s">
        <v>2473</v>
      </c>
      <c r="Z4" s="3345"/>
      <c r="AA4" s="3343" t="s">
        <v>2469</v>
      </c>
      <c r="AB4" s="3343" t="s">
        <v>2470</v>
      </c>
      <c r="AC4" s="3346" t="s">
        <v>2471</v>
      </c>
    </row>
    <row r="5" spans="1:29" ht="15">
      <c r="A5" s="364"/>
      <c r="B5" s="365"/>
      <c r="C5" s="3302" t="s">
        <v>2364</v>
      </c>
      <c r="D5" s="3303"/>
      <c r="E5" s="3300" t="s">
        <v>2365</v>
      </c>
      <c r="F5" s="3301"/>
      <c r="G5" s="3302" t="s">
        <v>2366</v>
      </c>
      <c r="H5" s="3303"/>
      <c r="I5" s="3302" t="s">
        <v>2367</v>
      </c>
      <c r="J5" s="3303"/>
      <c r="K5" s="567"/>
      <c r="L5" s="2943"/>
      <c r="M5" s="2944"/>
      <c r="N5" s="2944"/>
      <c r="O5" s="2944"/>
      <c r="P5" s="3351"/>
      <c r="Q5" s="3316"/>
      <c r="R5" s="3298"/>
      <c r="S5" s="3299"/>
      <c r="T5" s="3298"/>
      <c r="U5" s="3299"/>
      <c r="V5" s="3321"/>
      <c r="W5" s="3321"/>
      <c r="X5" s="1541"/>
      <c r="Y5" s="3298"/>
      <c r="Z5" s="3299"/>
      <c r="AA5" s="3292"/>
      <c r="AB5" s="3292"/>
      <c r="AC5" s="3347"/>
    </row>
    <row r="6" spans="1:29" ht="15.75" thickBot="1">
      <c r="A6" s="366"/>
      <c r="B6" s="367"/>
      <c r="C6" s="3304" t="s">
        <v>2368</v>
      </c>
      <c r="D6" s="3305"/>
      <c r="E6" s="3306" t="s">
        <v>2368</v>
      </c>
      <c r="F6" s="3307"/>
      <c r="G6" s="3304" t="s">
        <v>2368</v>
      </c>
      <c r="H6" s="3305"/>
      <c r="I6" s="3304" t="s">
        <v>2368</v>
      </c>
      <c r="J6" s="3305"/>
      <c r="K6" s="567" t="s">
        <v>2369</v>
      </c>
      <c r="L6" s="2943"/>
      <c r="M6" s="2944"/>
      <c r="N6" s="2944"/>
      <c r="O6" s="2944"/>
      <c r="P6" s="3352"/>
      <c r="Q6" s="3318"/>
      <c r="R6" s="3298"/>
      <c r="S6" s="3299"/>
      <c r="T6" s="3319"/>
      <c r="U6" s="3320"/>
      <c r="V6" s="3321"/>
      <c r="W6" s="3321"/>
      <c r="X6" s="1541"/>
      <c r="Y6" s="3319"/>
      <c r="Z6" s="3320"/>
      <c r="AA6" s="3293"/>
      <c r="AB6" s="3293"/>
      <c r="AC6" s="3348"/>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54" t="s">
        <v>2371</v>
      </c>
      <c r="Q7" s="3322"/>
      <c r="R7" s="710" t="s">
        <v>17</v>
      </c>
      <c r="S7" s="711">
        <f t="shared" ref="S7:S15" si="0">F7</f>
        <v>100</v>
      </c>
      <c r="T7" s="710" t="s">
        <v>17</v>
      </c>
      <c r="U7" s="711">
        <f t="shared" ref="U7:U15" si="1">H7</f>
        <v>100</v>
      </c>
      <c r="V7" s="710" t="s">
        <v>17</v>
      </c>
      <c r="W7" s="711">
        <f t="shared" ref="W7:W15" si="2">J7</f>
        <v>100</v>
      </c>
      <c r="X7" s="712"/>
      <c r="Y7" s="3294" t="s">
        <v>2371</v>
      </c>
      <c r="Z7" s="3295"/>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54" t="s">
        <v>2374</v>
      </c>
      <c r="Q8" s="3295"/>
      <c r="R8" s="710" t="s">
        <v>17</v>
      </c>
      <c r="S8" s="711">
        <f t="shared" si="0"/>
        <v>100</v>
      </c>
      <c r="T8" s="710" t="s">
        <v>17</v>
      </c>
      <c r="U8" s="711">
        <f t="shared" si="1"/>
        <v>100</v>
      </c>
      <c r="V8" s="710" t="s">
        <v>17</v>
      </c>
      <c r="W8" s="711">
        <f t="shared" si="2"/>
        <v>100</v>
      </c>
      <c r="X8" s="712"/>
      <c r="Y8" s="3294" t="s">
        <v>2374</v>
      </c>
      <c r="Z8" s="3295"/>
      <c r="AA8" s="713">
        <f t="shared" ref="AA8:AA47" si="3">D8/F8</f>
        <v>1</v>
      </c>
      <c r="AB8" s="713">
        <f t="shared" ref="AB8:AB47" si="4">D8/H8</f>
        <v>1</v>
      </c>
      <c r="AC8" s="2147">
        <f t="shared" ref="AC8:AC47" si="5">D8/J8</f>
        <v>1</v>
      </c>
    </row>
    <row r="9" spans="1:29" s="113" customFormat="1" ht="15">
      <c r="A9" s="375" t="s">
        <v>2375</v>
      </c>
      <c r="B9" s="67" t="s">
        <v>2376</v>
      </c>
      <c r="C9" s="3047" t="s">
        <v>3145</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08" t="s">
        <v>2377</v>
      </c>
      <c r="Q9" s="1529" t="str">
        <f t="shared" ref="Q9:Q15" si="6">B9</f>
        <v>用途</v>
      </c>
      <c r="R9" s="710" t="s">
        <v>17</v>
      </c>
      <c r="S9" s="711">
        <f t="shared" si="0"/>
        <v>105</v>
      </c>
      <c r="T9" s="710" t="s">
        <v>17</v>
      </c>
      <c r="U9" s="711">
        <f t="shared" si="1"/>
        <v>105</v>
      </c>
      <c r="V9" s="710" t="s">
        <v>17</v>
      </c>
      <c r="W9" s="711">
        <f t="shared" si="2"/>
        <v>105</v>
      </c>
      <c r="X9" s="712"/>
      <c r="Y9" s="3236"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08"/>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08"/>
      <c r="Q11" s="1529" t="str">
        <f t="shared" si="6"/>
        <v>容积率</v>
      </c>
      <c r="R11" s="710" t="s">
        <v>17</v>
      </c>
      <c r="S11" s="711">
        <f t="shared" si="0"/>
        <v>100</v>
      </c>
      <c r="T11" s="710" t="s">
        <v>17</v>
      </c>
      <c r="U11" s="711">
        <f t="shared" si="1"/>
        <v>100</v>
      </c>
      <c r="V11" s="710" t="s">
        <v>17</v>
      </c>
      <c r="W11" s="711">
        <f t="shared" si="2"/>
        <v>100</v>
      </c>
      <c r="X11" s="712"/>
      <c r="Y11" s="3236"/>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08"/>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08"/>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08"/>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35" t="s">
        <v>2382</v>
      </c>
      <c r="Q15" s="1538" t="str">
        <f t="shared" si="6"/>
        <v>办公集聚程度</v>
      </c>
      <c r="R15" s="714" t="s">
        <v>17</v>
      </c>
      <c r="S15" s="715">
        <f t="shared" si="0"/>
        <v>102</v>
      </c>
      <c r="T15" s="714" t="s">
        <v>17</v>
      </c>
      <c r="U15" s="715">
        <f t="shared" si="1"/>
        <v>102</v>
      </c>
      <c r="V15" s="714" t="s">
        <v>17</v>
      </c>
      <c r="W15" s="715">
        <f t="shared" si="2"/>
        <v>102</v>
      </c>
      <c r="X15" s="1541"/>
      <c r="Y15" s="3328"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36"/>
      <c r="Q16" s="1538"/>
      <c r="R16" s="714"/>
      <c r="S16" s="715"/>
      <c r="T16" s="714"/>
      <c r="U16" s="715"/>
      <c r="V16" s="714"/>
      <c r="W16" s="715"/>
      <c r="X16" s="1541"/>
      <c r="Y16" s="332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36"/>
      <c r="Q17" s="1538" t="str">
        <f>B17</f>
        <v>交通便捷度</v>
      </c>
      <c r="R17" s="714" t="s">
        <v>17</v>
      </c>
      <c r="S17" s="715">
        <f>F17</f>
        <v>102</v>
      </c>
      <c r="T17" s="714" t="s">
        <v>17</v>
      </c>
      <c r="U17" s="715">
        <f>H17</f>
        <v>102</v>
      </c>
      <c r="V17" s="714" t="s">
        <v>17</v>
      </c>
      <c r="W17" s="715">
        <f>J17</f>
        <v>102</v>
      </c>
      <c r="X17" s="1541"/>
      <c r="Y17" s="3329"/>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36"/>
      <c r="Q18" s="1538"/>
      <c r="R18" s="714"/>
      <c r="S18" s="715"/>
      <c r="T18" s="714"/>
      <c r="U18" s="715"/>
      <c r="V18" s="714"/>
      <c r="W18" s="715"/>
      <c r="X18" s="1541"/>
      <c r="Y18" s="3329"/>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36"/>
      <c r="Q19" s="1538" t="str">
        <f>B19</f>
        <v>公共配套设施</v>
      </c>
      <c r="R19" s="714" t="s">
        <v>17</v>
      </c>
      <c r="S19" s="715">
        <f>F19</f>
        <v>102</v>
      </c>
      <c r="T19" s="714" t="s">
        <v>17</v>
      </c>
      <c r="U19" s="715">
        <f>H19</f>
        <v>102</v>
      </c>
      <c r="V19" s="714" t="s">
        <v>17</v>
      </c>
      <c r="W19" s="715">
        <f>J19</f>
        <v>102</v>
      </c>
      <c r="X19" s="1541"/>
      <c r="Y19" s="3329"/>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36"/>
      <c r="Q20" s="1538"/>
      <c r="R20" s="714"/>
      <c r="S20" s="715"/>
      <c r="T20" s="714"/>
      <c r="U20" s="715"/>
      <c r="V20" s="714"/>
      <c r="W20" s="715"/>
      <c r="X20" s="1541"/>
      <c r="Y20" s="3329"/>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36"/>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36"/>
      <c r="Q22" s="1538"/>
      <c r="R22" s="714"/>
      <c r="S22" s="715"/>
      <c r="T22" s="714"/>
      <c r="U22" s="715"/>
      <c r="V22" s="714"/>
      <c r="W22" s="715"/>
      <c r="X22" s="1541"/>
      <c r="Y22" s="3329"/>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36"/>
      <c r="Q23" s="1538" t="str">
        <f>B23</f>
        <v>环境质量</v>
      </c>
      <c r="R23" s="714" t="s">
        <v>17</v>
      </c>
      <c r="S23" s="715">
        <f>F23</f>
        <v>100</v>
      </c>
      <c r="T23" s="714" t="s">
        <v>17</v>
      </c>
      <c r="U23" s="715">
        <f>H23</f>
        <v>100</v>
      </c>
      <c r="V23" s="714" t="s">
        <v>17</v>
      </c>
      <c r="W23" s="715">
        <f>J23</f>
        <v>100</v>
      </c>
      <c r="X23" s="1541"/>
      <c r="Y23" s="3329"/>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36"/>
      <c r="Q24" s="1538"/>
      <c r="R24" s="714"/>
      <c r="S24" s="715"/>
      <c r="T24" s="714"/>
      <c r="U24" s="715"/>
      <c r="V24" s="714"/>
      <c r="W24" s="715"/>
      <c r="X24" s="1541"/>
      <c r="Y24" s="3329"/>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36"/>
      <c r="Q25" s="1538" t="str">
        <f>B25</f>
        <v>毗邻道路的类型与等级</v>
      </c>
      <c r="R25" s="714" t="s">
        <v>17</v>
      </c>
      <c r="S25" s="715">
        <f>F25</f>
        <v>100</v>
      </c>
      <c r="T25" s="714" t="s">
        <v>17</v>
      </c>
      <c r="U25" s="715">
        <f>H25</f>
        <v>102</v>
      </c>
      <c r="V25" s="714" t="s">
        <v>17</v>
      </c>
      <c r="W25" s="715">
        <f>J25</f>
        <v>100</v>
      </c>
      <c r="X25" s="1541"/>
      <c r="Y25" s="3329"/>
      <c r="Z25" s="1542" t="str">
        <f>Q25</f>
        <v>毗邻道路的类型与等级</v>
      </c>
      <c r="AA25" s="1539">
        <f t="shared" si="3"/>
        <v>1</v>
      </c>
      <c r="AB25" s="1539">
        <f t="shared" si="4"/>
        <v>0.98039215686274506</v>
      </c>
      <c r="AC25" s="2150">
        <f t="shared" si="5"/>
        <v>1</v>
      </c>
    </row>
    <row r="26" spans="1:29" ht="15">
      <c r="A26" s="364"/>
      <c r="B26" s="588"/>
      <c r="C26" s="590" t="s">
        <v>3151</v>
      </c>
      <c r="D26" s="394"/>
      <c r="E26" s="573" t="s">
        <v>3151</v>
      </c>
      <c r="F26" s="394"/>
      <c r="G26" s="590" t="s">
        <v>3149</v>
      </c>
      <c r="H26" s="394"/>
      <c r="I26" s="573" t="s">
        <v>3151</v>
      </c>
      <c r="J26" s="394"/>
      <c r="K26" s="572"/>
      <c r="L26" s="2950"/>
      <c r="M26" s="2944"/>
      <c r="N26" s="2944"/>
      <c r="O26" s="2944"/>
      <c r="P26" s="3336"/>
      <c r="Q26" s="1538"/>
      <c r="R26" s="714"/>
      <c r="S26" s="715"/>
      <c r="T26" s="714"/>
      <c r="U26" s="715"/>
      <c r="V26" s="714"/>
      <c r="W26" s="715"/>
      <c r="X26" s="1541"/>
      <c r="Y26" s="3329"/>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36"/>
      <c r="Q27" s="1538" t="str">
        <f t="shared" ref="Q27:Q47" si="11">B27</f>
        <v>楼层</v>
      </c>
      <c r="R27" s="714" t="s">
        <v>17</v>
      </c>
      <c r="S27" s="715">
        <f>F27</f>
        <v>100</v>
      </c>
      <c r="T27" s="714" t="s">
        <v>17</v>
      </c>
      <c r="U27" s="715">
        <f>H27</f>
        <v>100</v>
      </c>
      <c r="V27" s="714" t="s">
        <v>17</v>
      </c>
      <c r="W27" s="715">
        <f>J27</f>
        <v>100</v>
      </c>
      <c r="X27" s="1541"/>
      <c r="Y27" s="3329"/>
      <c r="Z27" s="1542" t="str">
        <f>Q27</f>
        <v>楼层</v>
      </c>
      <c r="AA27" s="1539">
        <f t="shared" si="3"/>
        <v>1</v>
      </c>
      <c r="AB27" s="1539">
        <f t="shared" si="4"/>
        <v>1</v>
      </c>
      <c r="AC27" s="2150">
        <f t="shared" si="5"/>
        <v>1</v>
      </c>
    </row>
    <row r="28" spans="1:29" s="113" customFormat="1" ht="15">
      <c r="A28" s="390"/>
      <c r="B28" s="587" t="s">
        <v>2514</v>
      </c>
      <c r="C28" s="3062" t="s">
        <v>3157</v>
      </c>
      <c r="D28" s="421">
        <v>100</v>
      </c>
      <c r="E28" s="3062" t="s">
        <v>3157</v>
      </c>
      <c r="F28" s="421">
        <f>SUMIF(91:91,E28,92:92)-SUMIF(91:91,C28,92:92)+100</f>
        <v>100</v>
      </c>
      <c r="G28" s="3062" t="s">
        <v>3157</v>
      </c>
      <c r="H28" s="421">
        <f>SUMIF(91:91,G28,92:92)-SUMIF(91:91,C28,92:92)+100</f>
        <v>100</v>
      </c>
      <c r="I28" s="3062" t="s">
        <v>3157</v>
      </c>
      <c r="J28" s="421">
        <f>SUMIF(91:91,I28,92:92)-SUMIF(91:91,C28,92:92)+100</f>
        <v>100</v>
      </c>
      <c r="K28" s="569"/>
      <c r="L28" s="2945"/>
      <c r="M28" s="2946"/>
      <c r="N28" s="2946"/>
      <c r="O28" s="2946"/>
      <c r="P28" s="3336"/>
      <c r="Q28" s="1529" t="str">
        <f t="shared" si="11"/>
        <v>朝向</v>
      </c>
      <c r="R28" s="710" t="s">
        <v>17</v>
      </c>
      <c r="S28" s="711">
        <f>F28</f>
        <v>100</v>
      </c>
      <c r="T28" s="710" t="s">
        <v>17</v>
      </c>
      <c r="U28" s="711">
        <f>H28</f>
        <v>100</v>
      </c>
      <c r="V28" s="710" t="s">
        <v>17</v>
      </c>
      <c r="W28" s="711">
        <f>J28</f>
        <v>100</v>
      </c>
      <c r="X28" s="712"/>
      <c r="Y28" s="3329"/>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36"/>
      <c r="Q29" s="1538">
        <f t="shared" si="11"/>
        <v>111</v>
      </c>
      <c r="R29" s="714" t="s">
        <v>17</v>
      </c>
      <c r="S29" s="715">
        <f t="shared" ref="S29:S47" si="12">F29</f>
        <v>100</v>
      </c>
      <c r="T29" s="714" t="s">
        <v>17</v>
      </c>
      <c r="U29" s="715">
        <f t="shared" ref="U29:U47" si="13">H29</f>
        <v>100</v>
      </c>
      <c r="V29" s="714" t="s">
        <v>17</v>
      </c>
      <c r="W29" s="715">
        <f t="shared" ref="W29:W47" si="14">J29</f>
        <v>100</v>
      </c>
      <c r="X29" s="1541"/>
      <c r="Y29" s="3329"/>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36"/>
      <c r="Q30" s="1538">
        <f t="shared" si="11"/>
        <v>111</v>
      </c>
      <c r="R30" s="714" t="s">
        <v>17</v>
      </c>
      <c r="S30" s="715">
        <f t="shared" si="12"/>
        <v>100</v>
      </c>
      <c r="T30" s="714" t="s">
        <v>17</v>
      </c>
      <c r="U30" s="715">
        <f t="shared" si="13"/>
        <v>100</v>
      </c>
      <c r="V30" s="714" t="s">
        <v>17</v>
      </c>
      <c r="W30" s="715">
        <f t="shared" si="14"/>
        <v>100</v>
      </c>
      <c r="X30" s="1541"/>
      <c r="Y30" s="3329"/>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36"/>
      <c r="Q31" s="1538">
        <f t="shared" si="11"/>
        <v>111</v>
      </c>
      <c r="R31" s="714" t="s">
        <v>17</v>
      </c>
      <c r="S31" s="715">
        <f t="shared" si="12"/>
        <v>100</v>
      </c>
      <c r="T31" s="714" t="s">
        <v>17</v>
      </c>
      <c r="U31" s="715">
        <f t="shared" si="13"/>
        <v>100</v>
      </c>
      <c r="V31" s="714" t="s">
        <v>17</v>
      </c>
      <c r="W31" s="715">
        <f t="shared" si="14"/>
        <v>100</v>
      </c>
      <c r="X31" s="1541"/>
      <c r="Y31" s="332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36"/>
      <c r="Q32" s="1538">
        <f t="shared" si="11"/>
        <v>111</v>
      </c>
      <c r="R32" s="714" t="s">
        <v>17</v>
      </c>
      <c r="S32" s="715">
        <f t="shared" si="12"/>
        <v>100</v>
      </c>
      <c r="T32" s="714" t="s">
        <v>17</v>
      </c>
      <c r="U32" s="715">
        <f t="shared" si="13"/>
        <v>100</v>
      </c>
      <c r="V32" s="714" t="s">
        <v>17</v>
      </c>
      <c r="W32" s="715">
        <f t="shared" si="14"/>
        <v>100</v>
      </c>
      <c r="X32" s="1541"/>
      <c r="Y32" s="3329"/>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30" t="s">
        <v>2387</v>
      </c>
      <c r="Q33" s="1538" t="str">
        <f t="shared" si="11"/>
        <v>建筑类型</v>
      </c>
      <c r="R33" s="714" t="s">
        <v>17</v>
      </c>
      <c r="S33" s="715">
        <f t="shared" si="12"/>
        <v>100</v>
      </c>
      <c r="T33" s="714" t="s">
        <v>17</v>
      </c>
      <c r="U33" s="715">
        <f t="shared" si="13"/>
        <v>100</v>
      </c>
      <c r="V33" s="714" t="s">
        <v>17</v>
      </c>
      <c r="W33" s="715">
        <f t="shared" si="14"/>
        <v>100</v>
      </c>
      <c r="X33" s="1541"/>
      <c r="Y33" s="3333"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31"/>
      <c r="Q34" s="716" t="str">
        <f t="shared" si="11"/>
        <v>项目建筑规模</v>
      </c>
      <c r="R34" s="717" t="s">
        <v>17</v>
      </c>
      <c r="S34" s="718">
        <f t="shared" si="12"/>
        <v>98</v>
      </c>
      <c r="T34" s="717" t="s">
        <v>17</v>
      </c>
      <c r="U34" s="718">
        <f t="shared" si="13"/>
        <v>101</v>
      </c>
      <c r="V34" s="717" t="s">
        <v>17</v>
      </c>
      <c r="W34" s="718">
        <f t="shared" si="14"/>
        <v>101</v>
      </c>
      <c r="X34" s="719"/>
      <c r="Y34" s="3333"/>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3173</v>
      </c>
      <c r="D35" s="394">
        <v>100</v>
      </c>
      <c r="E35" s="3063" t="s">
        <v>3173</v>
      </c>
      <c r="F35" s="420">
        <f>SUMIF(106:106,E35,107:107)-SUMIF(106:106,C35,107:107)+100</f>
        <v>100</v>
      </c>
      <c r="G35" s="3063" t="s">
        <v>3173</v>
      </c>
      <c r="H35" s="394">
        <f>SUMIF(106:106,G35,107:107)-SUMIF(106:106,C35,107:107)+100</f>
        <v>100</v>
      </c>
      <c r="I35" s="3063" t="s">
        <v>3173</v>
      </c>
      <c r="J35" s="394">
        <f>SUMIF(106:106,I35,107:107)-SUMIF(106:106,C35,107:107)+100</f>
        <v>100</v>
      </c>
      <c r="K35" s="569">
        <v>1</v>
      </c>
      <c r="L35" s="2950"/>
      <c r="M35" s="2944"/>
      <c r="N35" s="2944"/>
      <c r="O35" s="2944"/>
      <c r="P35" s="3331"/>
      <c r="Q35" s="1538" t="str">
        <f t="shared" si="11"/>
        <v>建筑结构</v>
      </c>
      <c r="R35" s="714" t="s">
        <v>17</v>
      </c>
      <c r="S35" s="715">
        <f t="shared" si="12"/>
        <v>100</v>
      </c>
      <c r="T35" s="714" t="s">
        <v>17</v>
      </c>
      <c r="U35" s="715">
        <f t="shared" si="13"/>
        <v>100</v>
      </c>
      <c r="V35" s="714" t="s">
        <v>17</v>
      </c>
      <c r="W35" s="715">
        <f t="shared" si="14"/>
        <v>100</v>
      </c>
      <c r="X35" s="1541"/>
      <c r="Y35" s="3333"/>
      <c r="Z35" s="1542" t="str">
        <f t="shared" si="15"/>
        <v>建筑结构</v>
      </c>
      <c r="AA35" s="1539">
        <f t="shared" si="3"/>
        <v>1</v>
      </c>
      <c r="AB35" s="1539">
        <f t="shared" si="4"/>
        <v>1</v>
      </c>
      <c r="AC35" s="2150">
        <f t="shared" si="5"/>
        <v>1</v>
      </c>
    </row>
    <row r="36" spans="1:29" ht="15">
      <c r="A36" s="431"/>
      <c r="B36" s="381" t="s">
        <v>2483</v>
      </c>
      <c r="C36" s="3063" t="s">
        <v>3158</v>
      </c>
      <c r="D36" s="394">
        <v>100</v>
      </c>
      <c r="E36" s="3063" t="s">
        <v>3158</v>
      </c>
      <c r="F36" s="420">
        <f>SUMIF(108:108,E36,109:109)-SUMIF(108:108,C36,109:109)+100</f>
        <v>100</v>
      </c>
      <c r="G36" s="3063" t="s">
        <v>3158</v>
      </c>
      <c r="H36" s="394">
        <f>SUMIF(108:108,G36,109:109)-SUMIF(108:108,C36,109:109)+100</f>
        <v>100</v>
      </c>
      <c r="I36" s="3063" t="s">
        <v>3158</v>
      </c>
      <c r="J36" s="394">
        <f>SUMIF(108:108,I36,109:109)-SUMIF(108:108,C36,109:109)+100</f>
        <v>100</v>
      </c>
      <c r="K36" s="569">
        <v>1</v>
      </c>
      <c r="L36" s="2950"/>
      <c r="M36" s="2944"/>
      <c r="N36" s="2944"/>
      <c r="O36" s="2944"/>
      <c r="P36" s="3331"/>
      <c r="Q36" s="1538" t="str">
        <f t="shared" si="11"/>
        <v>公共部分装修</v>
      </c>
      <c r="R36" s="714" t="s">
        <v>17</v>
      </c>
      <c r="S36" s="715">
        <f t="shared" si="12"/>
        <v>100</v>
      </c>
      <c r="T36" s="714" t="s">
        <v>17</v>
      </c>
      <c r="U36" s="715">
        <f t="shared" si="13"/>
        <v>100</v>
      </c>
      <c r="V36" s="714" t="s">
        <v>17</v>
      </c>
      <c r="W36" s="715">
        <f t="shared" si="14"/>
        <v>100</v>
      </c>
      <c r="X36" s="1541"/>
      <c r="Y36" s="3333"/>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31"/>
      <c r="Q37" s="1538" t="str">
        <f t="shared" si="11"/>
        <v>成新度</v>
      </c>
      <c r="R37" s="714" t="s">
        <v>17</v>
      </c>
      <c r="S37" s="715">
        <f t="shared" si="12"/>
        <v>101</v>
      </c>
      <c r="T37" s="714" t="s">
        <v>17</v>
      </c>
      <c r="U37" s="715">
        <f t="shared" si="13"/>
        <v>101</v>
      </c>
      <c r="V37" s="714" t="s">
        <v>17</v>
      </c>
      <c r="W37" s="715">
        <f t="shared" si="14"/>
        <v>101</v>
      </c>
      <c r="X37" s="1541"/>
      <c r="Y37" s="3333"/>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31"/>
      <c r="Q38" s="1529" t="str">
        <f t="shared" si="11"/>
        <v>写字楼等级</v>
      </c>
      <c r="R38" s="710" t="s">
        <v>17</v>
      </c>
      <c r="S38" s="711">
        <f t="shared" si="12"/>
        <v>100</v>
      </c>
      <c r="T38" s="710" t="s">
        <v>17</v>
      </c>
      <c r="U38" s="711">
        <f t="shared" si="13"/>
        <v>100</v>
      </c>
      <c r="V38" s="710" t="s">
        <v>17</v>
      </c>
      <c r="W38" s="711">
        <f t="shared" si="14"/>
        <v>100</v>
      </c>
      <c r="X38" s="712"/>
      <c r="Y38" s="3333"/>
      <c r="Z38" s="55" t="str">
        <f t="shared" si="15"/>
        <v>写字楼等级</v>
      </c>
      <c r="AA38" s="713">
        <f t="shared" si="3"/>
        <v>1</v>
      </c>
      <c r="AB38" s="713">
        <f t="shared" si="4"/>
        <v>1</v>
      </c>
      <c r="AC38" s="2147">
        <f t="shared" si="5"/>
        <v>1</v>
      </c>
    </row>
    <row r="39" spans="1:29" ht="15">
      <c r="A39" s="431"/>
      <c r="B39" s="381" t="s">
        <v>2517</v>
      </c>
      <c r="C39" s="3063" t="s">
        <v>3159</v>
      </c>
      <c r="D39" s="394">
        <v>100</v>
      </c>
      <c r="E39" s="3063" t="s">
        <v>3159</v>
      </c>
      <c r="F39" s="420">
        <f>SUMIF(115:115,E39,116:116)-SUMIF(115:115,C39,116:116)+100</f>
        <v>100</v>
      </c>
      <c r="G39" s="3063" t="s">
        <v>3164</v>
      </c>
      <c r="H39" s="394">
        <f>SUMIF(115:115,G39,116:116)-SUMIF(115:115,C39,116:116)+100</f>
        <v>102</v>
      </c>
      <c r="I39" s="3063" t="s">
        <v>3159</v>
      </c>
      <c r="J39" s="394">
        <f>SUMIF(115:115,I39,116:116)-SUMIF(115:115,C39,116:116)+100</f>
        <v>100</v>
      </c>
      <c r="K39" s="569">
        <v>2</v>
      </c>
      <c r="L39" s="2950"/>
      <c r="M39" s="2944"/>
      <c r="N39" s="2944"/>
      <c r="O39" s="2944"/>
      <c r="P39" s="3331" t="s">
        <v>2387</v>
      </c>
      <c r="Q39" s="1538" t="str">
        <f t="shared" si="11"/>
        <v>物业管理</v>
      </c>
      <c r="R39" s="714" t="s">
        <v>17</v>
      </c>
      <c r="S39" s="715">
        <f t="shared" si="12"/>
        <v>100</v>
      </c>
      <c r="T39" s="714" t="s">
        <v>17</v>
      </c>
      <c r="U39" s="715">
        <f t="shared" si="13"/>
        <v>102</v>
      </c>
      <c r="V39" s="714" t="s">
        <v>17</v>
      </c>
      <c r="W39" s="715">
        <f t="shared" si="14"/>
        <v>100</v>
      </c>
      <c r="X39" s="1541"/>
      <c r="Y39" s="3333" t="s">
        <v>2387</v>
      </c>
      <c r="Z39" s="1542" t="str">
        <f t="shared" si="15"/>
        <v>物业管理</v>
      </c>
      <c r="AA39" s="1539">
        <f t="shared" si="3"/>
        <v>1</v>
      </c>
      <c r="AB39" s="1539">
        <f t="shared" si="4"/>
        <v>0.98039215686274506</v>
      </c>
      <c r="AC39" s="2150">
        <f t="shared" si="5"/>
        <v>1</v>
      </c>
    </row>
    <row r="40" spans="1:29" ht="15">
      <c r="A40" s="431"/>
      <c r="B40" s="381" t="s">
        <v>2485</v>
      </c>
      <c r="C40" s="3063" t="s">
        <v>3160</v>
      </c>
      <c r="D40" s="394">
        <v>100</v>
      </c>
      <c r="E40" s="3063" t="s">
        <v>3161</v>
      </c>
      <c r="F40" s="420">
        <f>SUMIF(117:117,E40,118:118)-SUMIF(117:117,C40,118:118)+100</f>
        <v>102</v>
      </c>
      <c r="G40" s="3063" t="s">
        <v>3146</v>
      </c>
      <c r="H40" s="394">
        <f>SUMIF(117:117,G40,118:118)-SUMIF(117:117,C40,118:118)+100</f>
        <v>100</v>
      </c>
      <c r="I40" s="3063" t="s">
        <v>3161</v>
      </c>
      <c r="J40" s="394">
        <f>SUMIF(117:117,I40,118:118)-SUMIF(117:117,C40,118:118)+100</f>
        <v>102</v>
      </c>
      <c r="K40" s="569">
        <v>2</v>
      </c>
      <c r="L40" s="2950"/>
      <c r="M40" s="2944"/>
      <c r="N40" s="2944"/>
      <c r="O40" s="2944"/>
      <c r="P40" s="3331"/>
      <c r="Q40" s="1538" t="str">
        <f t="shared" si="11"/>
        <v>市政基础设施</v>
      </c>
      <c r="R40" s="714" t="s">
        <v>17</v>
      </c>
      <c r="S40" s="715">
        <f t="shared" si="12"/>
        <v>102</v>
      </c>
      <c r="T40" s="714" t="s">
        <v>17</v>
      </c>
      <c r="U40" s="715">
        <f t="shared" si="13"/>
        <v>100</v>
      </c>
      <c r="V40" s="714" t="s">
        <v>17</v>
      </c>
      <c r="W40" s="715">
        <f t="shared" si="14"/>
        <v>102</v>
      </c>
      <c r="X40" s="1541"/>
      <c r="Y40" s="3333"/>
      <c r="Z40" s="1542" t="str">
        <f t="shared" si="15"/>
        <v>市政基础设施</v>
      </c>
      <c r="AA40" s="1539">
        <f t="shared" si="3"/>
        <v>0.98039215686274506</v>
      </c>
      <c r="AB40" s="1539">
        <f t="shared" si="4"/>
        <v>1</v>
      </c>
      <c r="AC40" s="2150">
        <f t="shared" si="5"/>
        <v>0.98039215686274506</v>
      </c>
    </row>
    <row r="41" spans="1:29" ht="15">
      <c r="A41" s="431"/>
      <c r="B41" s="381" t="s">
        <v>2487</v>
      </c>
      <c r="C41" s="3064" t="s">
        <v>3162</v>
      </c>
      <c r="D41" s="394">
        <v>100</v>
      </c>
      <c r="E41" s="3064" t="s">
        <v>3162</v>
      </c>
      <c r="F41" s="420">
        <f>SUMIF(119:119,E41,120:120)-SUMIF(119:119,C41,120:120)+100</f>
        <v>100</v>
      </c>
      <c r="G41" s="3064" t="s">
        <v>3162</v>
      </c>
      <c r="H41" s="394">
        <f>SUMIF(119:119,G41,120:120)-SUMIF(119:119,C41,120:120)+100</f>
        <v>100</v>
      </c>
      <c r="I41" s="3064" t="s">
        <v>3162</v>
      </c>
      <c r="J41" s="394">
        <f>SUMIF(119:119,I41,120:120)-SUMIF(119:119,C41,120:120)+100</f>
        <v>100</v>
      </c>
      <c r="K41" s="569"/>
      <c r="L41" s="2950"/>
      <c r="M41" s="2944"/>
      <c r="N41" s="2944"/>
      <c r="O41" s="2944"/>
      <c r="P41" s="3331"/>
      <c r="Q41" s="1538" t="str">
        <f t="shared" si="11"/>
        <v>层高</v>
      </c>
      <c r="R41" s="714" t="s">
        <v>17</v>
      </c>
      <c r="S41" s="715">
        <f t="shared" si="12"/>
        <v>100</v>
      </c>
      <c r="T41" s="714" t="s">
        <v>17</v>
      </c>
      <c r="U41" s="715">
        <f t="shared" si="13"/>
        <v>100</v>
      </c>
      <c r="V41" s="714" t="s">
        <v>17</v>
      </c>
      <c r="W41" s="715">
        <f t="shared" si="14"/>
        <v>100</v>
      </c>
      <c r="X41" s="1541"/>
      <c r="Y41" s="3333"/>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1"/>
      <c r="Q42" s="716" t="str">
        <f t="shared" si="11"/>
        <v>单套建筑面积</v>
      </c>
      <c r="R42" s="717" t="s">
        <v>17</v>
      </c>
      <c r="S42" s="718">
        <f t="shared" si="12"/>
        <v>100</v>
      </c>
      <c r="T42" s="717" t="s">
        <v>17</v>
      </c>
      <c r="U42" s="718">
        <f t="shared" si="13"/>
        <v>100</v>
      </c>
      <c r="V42" s="717" t="s">
        <v>17</v>
      </c>
      <c r="W42" s="718">
        <f t="shared" si="14"/>
        <v>100</v>
      </c>
      <c r="X42" s="719"/>
      <c r="Y42" s="3333"/>
      <c r="Z42" s="720" t="str">
        <f t="shared" si="15"/>
        <v>单套建筑面积</v>
      </c>
      <c r="AA42" s="1539">
        <f t="shared" si="3"/>
        <v>1</v>
      </c>
      <c r="AB42" s="1539">
        <f t="shared" si="4"/>
        <v>1</v>
      </c>
      <c r="AC42" s="2150">
        <f t="shared" si="5"/>
        <v>1</v>
      </c>
    </row>
    <row r="43" spans="1:29" ht="15">
      <c r="A43" s="431"/>
      <c r="B43" s="381" t="s">
        <v>2490</v>
      </c>
      <c r="C43" s="3063" t="s">
        <v>3158</v>
      </c>
      <c r="D43" s="394">
        <v>100</v>
      </c>
      <c r="E43" s="3063" t="s">
        <v>3158</v>
      </c>
      <c r="F43" s="420">
        <f>SUMIF(123:123,E43,124:124)-SUMIF(123:123,C43,124:124)+100</f>
        <v>100</v>
      </c>
      <c r="G43" s="3063" t="s">
        <v>3158</v>
      </c>
      <c r="H43" s="394">
        <f>SUMIF(123:123,G43,124:124)-SUMIF(123:123,C43,124:124)+100</f>
        <v>100</v>
      </c>
      <c r="I43" s="3063" t="s">
        <v>3158</v>
      </c>
      <c r="J43" s="394">
        <f>SUMIF(123:123,I43,124:124)-SUMIF(123:123,C43,124:124)+100</f>
        <v>100</v>
      </c>
      <c r="K43" s="569"/>
      <c r="L43" s="2950"/>
      <c r="M43" s="2944"/>
      <c r="N43" s="2944"/>
      <c r="O43" s="2944"/>
      <c r="P43" s="3331"/>
      <c r="Q43" s="1538" t="str">
        <f t="shared" si="11"/>
        <v>内部装修</v>
      </c>
      <c r="R43" s="714" t="s">
        <v>17</v>
      </c>
      <c r="S43" s="715">
        <f t="shared" si="12"/>
        <v>100</v>
      </c>
      <c r="T43" s="714" t="s">
        <v>17</v>
      </c>
      <c r="U43" s="715">
        <f t="shared" si="13"/>
        <v>100</v>
      </c>
      <c r="V43" s="714" t="s">
        <v>17</v>
      </c>
      <c r="W43" s="715">
        <f t="shared" si="14"/>
        <v>100</v>
      </c>
      <c r="X43" s="1541"/>
      <c r="Y43" s="3333"/>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31"/>
      <c r="Q44" s="1538" t="str">
        <f t="shared" si="11"/>
        <v>内部装修维护情况</v>
      </c>
      <c r="R44" s="714" t="s">
        <v>17</v>
      </c>
      <c r="S44" s="715">
        <f t="shared" si="12"/>
        <v>100</v>
      </c>
      <c r="T44" s="714" t="s">
        <v>17</v>
      </c>
      <c r="U44" s="715">
        <f t="shared" si="13"/>
        <v>100</v>
      </c>
      <c r="V44" s="714" t="s">
        <v>17</v>
      </c>
      <c r="W44" s="715">
        <f t="shared" si="14"/>
        <v>100</v>
      </c>
      <c r="X44" s="1541"/>
      <c r="Y44" s="333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1"/>
      <c r="Q45" s="1529">
        <f t="shared" si="11"/>
        <v>111</v>
      </c>
      <c r="R45" s="710" t="s">
        <v>17</v>
      </c>
      <c r="S45" s="711">
        <f t="shared" si="12"/>
        <v>100</v>
      </c>
      <c r="T45" s="710" t="s">
        <v>17</v>
      </c>
      <c r="U45" s="711">
        <f t="shared" si="13"/>
        <v>100</v>
      </c>
      <c r="V45" s="710" t="s">
        <v>17</v>
      </c>
      <c r="W45" s="711">
        <f t="shared" si="14"/>
        <v>100</v>
      </c>
      <c r="X45" s="712"/>
      <c r="Y45" s="333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1"/>
      <c r="Q46" s="1538">
        <f t="shared" si="11"/>
        <v>111</v>
      </c>
      <c r="R46" s="714" t="s">
        <v>17</v>
      </c>
      <c r="S46" s="715">
        <f t="shared" si="12"/>
        <v>100</v>
      </c>
      <c r="T46" s="714" t="s">
        <v>17</v>
      </c>
      <c r="U46" s="715">
        <f t="shared" si="13"/>
        <v>100</v>
      </c>
      <c r="V46" s="714" t="s">
        <v>17</v>
      </c>
      <c r="W46" s="715">
        <f t="shared" si="14"/>
        <v>100</v>
      </c>
      <c r="X46" s="1541"/>
      <c r="Y46" s="333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32"/>
      <c r="Q47" s="1538">
        <f t="shared" si="11"/>
        <v>111</v>
      </c>
      <c r="R47" s="714" t="s">
        <v>17</v>
      </c>
      <c r="S47" s="715">
        <f t="shared" si="12"/>
        <v>100</v>
      </c>
      <c r="T47" s="714" t="s">
        <v>17</v>
      </c>
      <c r="U47" s="715">
        <f t="shared" si="13"/>
        <v>100</v>
      </c>
      <c r="V47" s="714" t="s">
        <v>17</v>
      </c>
      <c r="W47" s="715">
        <f t="shared" si="14"/>
        <v>100</v>
      </c>
      <c r="X47" s="1541"/>
      <c r="Y47" s="3334"/>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08" t="str">
        <f>A48</f>
        <v>成交单价（元/平方米）</v>
      </c>
      <c r="Q48" s="3326"/>
      <c r="R48" s="3327">
        <f>E48</f>
        <v>6.5</v>
      </c>
      <c r="S48" s="3327"/>
      <c r="T48" s="3327">
        <f>G48</f>
        <v>7.8</v>
      </c>
      <c r="U48" s="3327"/>
      <c r="V48" s="3327">
        <f>I48</f>
        <v>5.7</v>
      </c>
      <c r="W48" s="3327"/>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08" t="str">
        <f>A49</f>
        <v>比较价值（元/平方米）</v>
      </c>
      <c r="Q49" s="3326"/>
      <c r="R49" s="3327">
        <f>IF(F1="售价",ROUND(PRODUCT(R48,AA7:AA47),0),ROUND(PRODUCT(R48,AA7:AA47),1))</f>
        <v>5.8</v>
      </c>
      <c r="S49" s="3327"/>
      <c r="T49" s="3327">
        <f>IF(F1="售价",ROUND(PRODUCT(T48,AB7:AB47),0),ROUND(PRODUCT(T48,AB7:AB47),1))</f>
        <v>6.6</v>
      </c>
      <c r="U49" s="3327"/>
      <c r="V49" s="3327">
        <f>IF(F1="售价",ROUND(PRODUCT(V48,AC7:AC47),0),ROUND(PRODUCT(V48,AC7:AC47),1))</f>
        <v>4.9000000000000004</v>
      </c>
      <c r="W49" s="3327"/>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55" t="str">
        <f>A50</f>
        <v>估价对象XX用房的比较价值（楼面单价，元/平方米）</v>
      </c>
      <c r="Q50" s="3356"/>
      <c r="R50" s="3357">
        <f>IF(F1="售价",ROUND(IF(D49="简单平均",AVERAGE(R49:V49),R49*F49+T49*H49+V49*J49),0),ROUND(IF(D49="简单平均",AVERAGE(R49:V49),R49*F49+T49*H49+V49*J49),1))</f>
        <v>5.8</v>
      </c>
      <c r="S50" s="3357"/>
      <c r="T50" s="3357"/>
      <c r="U50" s="3357"/>
      <c r="V50" s="3357"/>
      <c r="W50" s="3357"/>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3171</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3147</v>
      </c>
      <c r="D87" s="3048" t="s">
        <v>3148</v>
      </c>
      <c r="E87" s="3048" t="s">
        <v>3150</v>
      </c>
      <c r="F87" s="3048" t="s">
        <v>3152</v>
      </c>
      <c r="G87" s="3048" t="s">
        <v>3153</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3154</v>
      </c>
      <c r="D89" s="3048" t="s">
        <v>3155</v>
      </c>
      <c r="E89" s="3048" t="s">
        <v>3156</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3157</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3172</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3165</v>
      </c>
      <c r="D115" s="3048" t="s">
        <v>3159</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3161</v>
      </c>
      <c r="D117" s="3048" t="s">
        <v>3163</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1266.6499999999999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1044"/>
      <c r="M4" s="1045"/>
      <c r="N4" s="1045"/>
      <c r="O4" s="1045"/>
      <c r="P4" s="3313" t="s">
        <v>2473</v>
      </c>
      <c r="Q4" s="3314"/>
      <c r="R4" s="3296" t="s">
        <v>2469</v>
      </c>
      <c r="S4" s="3297"/>
      <c r="T4" s="3296" t="s">
        <v>2470</v>
      </c>
      <c r="U4" s="3297"/>
      <c r="V4" s="3321" t="s">
        <v>2471</v>
      </c>
      <c r="W4" s="3321"/>
      <c r="X4" s="1541"/>
      <c r="Y4" s="3296" t="s">
        <v>2473</v>
      </c>
      <c r="Z4" s="3297"/>
      <c r="AA4" s="3291" t="s">
        <v>2469</v>
      </c>
      <c r="AB4" s="3292" t="s">
        <v>2470</v>
      </c>
      <c r="AC4" s="3291" t="s">
        <v>2471</v>
      </c>
    </row>
    <row r="5" spans="1:29" ht="15">
      <c r="A5" s="364"/>
      <c r="B5" s="365"/>
      <c r="C5" s="3302" t="s">
        <v>2364</v>
      </c>
      <c r="D5" s="3303"/>
      <c r="E5" s="3300" t="s">
        <v>2365</v>
      </c>
      <c r="F5" s="3301"/>
      <c r="G5" s="3302" t="s">
        <v>2366</v>
      </c>
      <c r="H5" s="3303"/>
      <c r="I5" s="3302" t="s">
        <v>2367</v>
      </c>
      <c r="J5" s="3303"/>
      <c r="K5" s="567"/>
      <c r="L5" s="1044"/>
      <c r="M5" s="1045"/>
      <c r="N5" s="1045"/>
      <c r="O5" s="1045"/>
      <c r="P5" s="3315"/>
      <c r="Q5" s="3316"/>
      <c r="R5" s="3298"/>
      <c r="S5" s="3299"/>
      <c r="T5" s="3298"/>
      <c r="U5" s="3299"/>
      <c r="V5" s="3321"/>
      <c r="W5" s="3321"/>
      <c r="X5" s="1541"/>
      <c r="Y5" s="3298"/>
      <c r="Z5" s="3299"/>
      <c r="AA5" s="3292"/>
      <c r="AB5" s="3292"/>
      <c r="AC5" s="3292"/>
    </row>
    <row r="6" spans="1:29" ht="15.75" thickBot="1">
      <c r="A6" s="366"/>
      <c r="B6" s="367"/>
      <c r="C6" s="3304" t="s">
        <v>2368</v>
      </c>
      <c r="D6" s="3305"/>
      <c r="E6" s="3306" t="s">
        <v>2368</v>
      </c>
      <c r="F6" s="3307"/>
      <c r="G6" s="3304" t="s">
        <v>2368</v>
      </c>
      <c r="H6" s="3305"/>
      <c r="I6" s="3304" t="s">
        <v>2368</v>
      </c>
      <c r="J6" s="3305"/>
      <c r="K6" s="567" t="s">
        <v>2369</v>
      </c>
      <c r="L6" s="1044"/>
      <c r="M6" s="1045"/>
      <c r="N6" s="1045"/>
      <c r="O6" s="1045"/>
      <c r="P6" s="3317"/>
      <c r="Q6" s="3318"/>
      <c r="R6" s="3298"/>
      <c r="S6" s="3299"/>
      <c r="T6" s="3319"/>
      <c r="U6" s="3320"/>
      <c r="V6" s="3321"/>
      <c r="W6" s="3321"/>
      <c r="X6" s="1541"/>
      <c r="Y6" s="3319"/>
      <c r="Z6" s="3320"/>
      <c r="AA6" s="3293"/>
      <c r="AB6" s="3293"/>
      <c r="AC6" s="3293"/>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4" t="s">
        <v>2371</v>
      </c>
      <c r="Q7" s="3322"/>
      <c r="R7" s="710" t="s">
        <v>17</v>
      </c>
      <c r="S7" s="711">
        <f t="shared" ref="S7:S15" si="0">F7</f>
        <v>0</v>
      </c>
      <c r="T7" s="710" t="s">
        <v>17</v>
      </c>
      <c r="U7" s="711">
        <f t="shared" ref="U7:U15" si="1">H7</f>
        <v>0</v>
      </c>
      <c r="V7" s="710" t="s">
        <v>17</v>
      </c>
      <c r="W7" s="711">
        <f t="shared" ref="W7:W15" si="2">J7</f>
        <v>0</v>
      </c>
      <c r="X7" s="712"/>
      <c r="Y7" s="3294" t="s">
        <v>2371</v>
      </c>
      <c r="Z7" s="329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4" t="s">
        <v>2374</v>
      </c>
      <c r="Q8" s="3295"/>
      <c r="R8" s="710" t="s">
        <v>17</v>
      </c>
      <c r="S8" s="711">
        <f t="shared" si="0"/>
        <v>0</v>
      </c>
      <c r="T8" s="710" t="s">
        <v>17</v>
      </c>
      <c r="U8" s="711">
        <f t="shared" si="1"/>
        <v>0</v>
      </c>
      <c r="V8" s="710" t="s">
        <v>17</v>
      </c>
      <c r="W8" s="711">
        <f t="shared" si="2"/>
        <v>0</v>
      </c>
      <c r="X8" s="712"/>
      <c r="Y8" s="3294" t="s">
        <v>2374</v>
      </c>
      <c r="Z8" s="329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6"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6"/>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6"/>
      <c r="Q11" s="1529"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6"/>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8" t="s">
        <v>2382</v>
      </c>
      <c r="Q15" s="1538" t="str">
        <f t="shared" si="6"/>
        <v>产业集聚程度</v>
      </c>
      <c r="R15" s="714" t="s">
        <v>17</v>
      </c>
      <c r="S15" s="715">
        <f t="shared" si="0"/>
        <v>100</v>
      </c>
      <c r="T15" s="714" t="s">
        <v>17</v>
      </c>
      <c r="U15" s="715">
        <f t="shared" si="1"/>
        <v>100</v>
      </c>
      <c r="V15" s="714" t="s">
        <v>17</v>
      </c>
      <c r="W15" s="715">
        <f t="shared" si="2"/>
        <v>100</v>
      </c>
      <c r="X15" s="1541"/>
      <c r="Y15" s="3328"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29"/>
      <c r="Q16" s="1538"/>
      <c r="R16" s="714"/>
      <c r="S16" s="715"/>
      <c r="T16" s="714"/>
      <c r="U16" s="715"/>
      <c r="V16" s="714"/>
      <c r="W16" s="715"/>
      <c r="X16" s="1541"/>
      <c r="Y16" s="3329"/>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9"/>
      <c r="Q17" s="1538" t="str">
        <f>B17</f>
        <v>交通便捷度</v>
      </c>
      <c r="R17" s="714" t="s">
        <v>17</v>
      </c>
      <c r="S17" s="715">
        <f>F17</f>
        <v>100</v>
      </c>
      <c r="T17" s="714" t="s">
        <v>17</v>
      </c>
      <c r="U17" s="715">
        <f>H17</f>
        <v>100</v>
      </c>
      <c r="V17" s="714" t="s">
        <v>17</v>
      </c>
      <c r="W17" s="715">
        <f>J17</f>
        <v>100</v>
      </c>
      <c r="X17" s="1541"/>
      <c r="Y17" s="332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29"/>
      <c r="Q18" s="1538"/>
      <c r="R18" s="714"/>
      <c r="S18" s="715"/>
      <c r="T18" s="714"/>
      <c r="U18" s="715"/>
      <c r="V18" s="714"/>
      <c r="W18" s="715"/>
      <c r="X18" s="1541"/>
      <c r="Y18" s="3329"/>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9"/>
      <c r="Q19" s="1538" t="str">
        <f>B19</f>
        <v>公共配套设施</v>
      </c>
      <c r="R19" s="714" t="s">
        <v>17</v>
      </c>
      <c r="S19" s="715">
        <f>F19</f>
        <v>100</v>
      </c>
      <c r="T19" s="714" t="s">
        <v>17</v>
      </c>
      <c r="U19" s="715">
        <f>H19</f>
        <v>100</v>
      </c>
      <c r="V19" s="714" t="s">
        <v>17</v>
      </c>
      <c r="W19" s="715">
        <f>J19</f>
        <v>100</v>
      </c>
      <c r="X19" s="1541"/>
      <c r="Y19" s="332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29"/>
      <c r="Q20" s="1538"/>
      <c r="R20" s="714"/>
      <c r="S20" s="715"/>
      <c r="T20" s="714"/>
      <c r="U20" s="715"/>
      <c r="V20" s="714"/>
      <c r="W20" s="715"/>
      <c r="X20" s="1541"/>
      <c r="Y20" s="3329"/>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9"/>
      <c r="Q21" s="1538" t="str">
        <f>B21</f>
        <v>基础设施水平</v>
      </c>
      <c r="R21" s="714" t="s">
        <v>17</v>
      </c>
      <c r="S21" s="715">
        <f>F21</f>
        <v>100</v>
      </c>
      <c r="T21" s="714" t="s">
        <v>17</v>
      </c>
      <c r="U21" s="715">
        <f>H21</f>
        <v>100</v>
      </c>
      <c r="V21" s="714" t="s">
        <v>17</v>
      </c>
      <c r="W21" s="715">
        <f>J21</f>
        <v>100</v>
      </c>
      <c r="X21" s="1541"/>
      <c r="Y21" s="332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29"/>
      <c r="Q22" s="1538"/>
      <c r="R22" s="714"/>
      <c r="S22" s="715"/>
      <c r="T22" s="714"/>
      <c r="U22" s="715"/>
      <c r="V22" s="714"/>
      <c r="W22" s="715"/>
      <c r="X22" s="1541"/>
      <c r="Y22" s="3329"/>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9"/>
      <c r="Q23" s="1538" t="str">
        <f>B23</f>
        <v>环境质量</v>
      </c>
      <c r="R23" s="714" t="s">
        <v>17</v>
      </c>
      <c r="S23" s="715">
        <f>F23</f>
        <v>100</v>
      </c>
      <c r="T23" s="714" t="s">
        <v>17</v>
      </c>
      <c r="U23" s="715">
        <f>H23</f>
        <v>100</v>
      </c>
      <c r="V23" s="714" t="s">
        <v>17</v>
      </c>
      <c r="W23" s="715">
        <f>J23</f>
        <v>100</v>
      </c>
      <c r="X23" s="1541"/>
      <c r="Y23" s="332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29"/>
      <c r="Q24" s="1538"/>
      <c r="R24" s="714"/>
      <c r="S24" s="715"/>
      <c r="T24" s="714"/>
      <c r="U24" s="715"/>
      <c r="V24" s="714"/>
      <c r="W24" s="715"/>
      <c r="X24" s="1541"/>
      <c r="Y24" s="332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9"/>
      <c r="Q25" s="1538">
        <f>B25</f>
        <v>111</v>
      </c>
      <c r="R25" s="714" t="s">
        <v>17</v>
      </c>
      <c r="S25" s="715">
        <f>F25</f>
        <v>100</v>
      </c>
      <c r="T25" s="714" t="s">
        <v>17</v>
      </c>
      <c r="U25" s="715">
        <f>H25</f>
        <v>100</v>
      </c>
      <c r="V25" s="714" t="s">
        <v>17</v>
      </c>
      <c r="W25" s="715">
        <f>J25</f>
        <v>100</v>
      </c>
      <c r="X25" s="1541"/>
      <c r="Y25" s="332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9"/>
      <c r="Q26" s="1538">
        <f t="shared" ref="Q26:Q40" si="11">B26</f>
        <v>111</v>
      </c>
      <c r="R26" s="714" t="s">
        <v>17</v>
      </c>
      <c r="S26" s="715">
        <f>F26</f>
        <v>100</v>
      </c>
      <c r="T26" s="714" t="s">
        <v>17</v>
      </c>
      <c r="U26" s="715">
        <f>H26</f>
        <v>100</v>
      </c>
      <c r="V26" s="714" t="s">
        <v>17</v>
      </c>
      <c r="W26" s="715">
        <f>J26</f>
        <v>100</v>
      </c>
      <c r="X26" s="1541"/>
      <c r="Y26" s="332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9"/>
      <c r="Q27" s="1529">
        <f t="shared" si="11"/>
        <v>111</v>
      </c>
      <c r="R27" s="710" t="s">
        <v>17</v>
      </c>
      <c r="S27" s="711">
        <f>F27</f>
        <v>100</v>
      </c>
      <c r="T27" s="710" t="s">
        <v>17</v>
      </c>
      <c r="U27" s="711">
        <f>H27</f>
        <v>100</v>
      </c>
      <c r="V27" s="710" t="s">
        <v>17</v>
      </c>
      <c r="W27" s="711">
        <f>J27</f>
        <v>100</v>
      </c>
      <c r="X27" s="712"/>
      <c r="Y27" s="332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9"/>
      <c r="Q28" s="1538">
        <f t="shared" si="11"/>
        <v>111</v>
      </c>
      <c r="R28" s="714" t="s">
        <v>17</v>
      </c>
      <c r="S28" s="715">
        <f t="shared" ref="S28:S40" si="12">F28</f>
        <v>100</v>
      </c>
      <c r="T28" s="714" t="s">
        <v>17</v>
      </c>
      <c r="U28" s="715">
        <f t="shared" ref="U28:U40" si="13">H28</f>
        <v>100</v>
      </c>
      <c r="V28" s="714" t="s">
        <v>17</v>
      </c>
      <c r="W28" s="715">
        <f t="shared" ref="W28:W40" si="14">J28</f>
        <v>100</v>
      </c>
      <c r="X28" s="1541"/>
      <c r="Y28" s="3329"/>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58" t="s">
        <v>2387</v>
      </c>
      <c r="Q29" s="1538" t="str">
        <f t="shared" si="11"/>
        <v>建筑类型</v>
      </c>
      <c r="R29" s="714" t="s">
        <v>17</v>
      </c>
      <c r="S29" s="715">
        <f t="shared" si="12"/>
        <v>100</v>
      </c>
      <c r="T29" s="714" t="s">
        <v>17</v>
      </c>
      <c r="U29" s="715">
        <f t="shared" si="13"/>
        <v>100</v>
      </c>
      <c r="V29" s="714" t="s">
        <v>17</v>
      </c>
      <c r="W29" s="715">
        <f t="shared" si="14"/>
        <v>100</v>
      </c>
      <c r="X29" s="1541"/>
      <c r="Y29" s="3333"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3"/>
      <c r="Q30" s="716" t="str">
        <f t="shared" si="11"/>
        <v>项目建筑规模</v>
      </c>
      <c r="R30" s="717" t="s">
        <v>17</v>
      </c>
      <c r="S30" s="718" t="e">
        <f t="shared" si="12"/>
        <v>#N/A</v>
      </c>
      <c r="T30" s="717" t="s">
        <v>17</v>
      </c>
      <c r="U30" s="718" t="e">
        <f t="shared" si="13"/>
        <v>#N/A</v>
      </c>
      <c r="V30" s="717" t="s">
        <v>17</v>
      </c>
      <c r="W30" s="718" t="e">
        <f t="shared" si="14"/>
        <v>#N/A</v>
      </c>
      <c r="X30" s="719"/>
      <c r="Y30" s="3333"/>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3"/>
      <c r="Q31" s="1538" t="str">
        <f t="shared" si="11"/>
        <v>建筑结构</v>
      </c>
      <c r="R31" s="714" t="s">
        <v>17</v>
      </c>
      <c r="S31" s="715">
        <f t="shared" si="12"/>
        <v>100</v>
      </c>
      <c r="T31" s="714" t="s">
        <v>17</v>
      </c>
      <c r="U31" s="715">
        <f t="shared" si="13"/>
        <v>100</v>
      </c>
      <c r="V31" s="714" t="s">
        <v>17</v>
      </c>
      <c r="W31" s="715">
        <f t="shared" si="14"/>
        <v>100</v>
      </c>
      <c r="X31" s="1541"/>
      <c r="Y31" s="3333"/>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3"/>
      <c r="Q32" s="1538" t="str">
        <f t="shared" si="11"/>
        <v>公共部分装修</v>
      </c>
      <c r="R32" s="714" t="s">
        <v>17</v>
      </c>
      <c r="S32" s="715">
        <f t="shared" si="12"/>
        <v>100</v>
      </c>
      <c r="T32" s="714" t="s">
        <v>17</v>
      </c>
      <c r="U32" s="715">
        <f t="shared" si="13"/>
        <v>100</v>
      </c>
      <c r="V32" s="714" t="s">
        <v>17</v>
      </c>
      <c r="W32" s="715">
        <f t="shared" si="14"/>
        <v>100</v>
      </c>
      <c r="X32" s="1541"/>
      <c r="Y32" s="3333"/>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3"/>
      <c r="Q33" s="1538" t="str">
        <f t="shared" si="11"/>
        <v>成新度</v>
      </c>
      <c r="R33" s="714" t="s">
        <v>17</v>
      </c>
      <c r="S33" s="715" t="e">
        <f t="shared" si="12"/>
        <v>#N/A</v>
      </c>
      <c r="T33" s="714" t="s">
        <v>17</v>
      </c>
      <c r="U33" s="715" t="e">
        <f t="shared" si="13"/>
        <v>#N/A</v>
      </c>
      <c r="V33" s="714" t="s">
        <v>17</v>
      </c>
      <c r="W33" s="715" t="e">
        <f t="shared" si="14"/>
        <v>#N/A</v>
      </c>
      <c r="X33" s="1541"/>
      <c r="Y33" s="3333"/>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3"/>
      <c r="Q34" s="1529" t="str">
        <f t="shared" si="11"/>
        <v>物业管理</v>
      </c>
      <c r="R34" s="710" t="s">
        <v>17</v>
      </c>
      <c r="S34" s="711">
        <f t="shared" si="12"/>
        <v>100</v>
      </c>
      <c r="T34" s="710" t="s">
        <v>17</v>
      </c>
      <c r="U34" s="711">
        <f t="shared" si="13"/>
        <v>100</v>
      </c>
      <c r="V34" s="710" t="s">
        <v>17</v>
      </c>
      <c r="W34" s="711">
        <f t="shared" si="14"/>
        <v>100</v>
      </c>
      <c r="X34" s="712"/>
      <c r="Y34" s="3333"/>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3" t="s">
        <v>2387</v>
      </c>
      <c r="Q35" s="1538" t="str">
        <f t="shared" si="11"/>
        <v>市政基础设施</v>
      </c>
      <c r="R35" s="714" t="s">
        <v>17</v>
      </c>
      <c r="S35" s="715">
        <f t="shared" si="12"/>
        <v>100</v>
      </c>
      <c r="T35" s="714" t="s">
        <v>17</v>
      </c>
      <c r="U35" s="715">
        <f t="shared" si="13"/>
        <v>100</v>
      </c>
      <c r="V35" s="714" t="s">
        <v>17</v>
      </c>
      <c r="W35" s="715">
        <f t="shared" si="14"/>
        <v>100</v>
      </c>
      <c r="X35" s="1541"/>
      <c r="Y35" s="3333"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3"/>
      <c r="Q36" s="1538" t="str">
        <f t="shared" si="11"/>
        <v>内部装修</v>
      </c>
      <c r="R36" s="714" t="s">
        <v>17</v>
      </c>
      <c r="S36" s="715">
        <f t="shared" si="12"/>
        <v>100</v>
      </c>
      <c r="T36" s="714" t="s">
        <v>17</v>
      </c>
      <c r="U36" s="715">
        <f t="shared" si="13"/>
        <v>100</v>
      </c>
      <c r="V36" s="714" t="s">
        <v>17</v>
      </c>
      <c r="W36" s="715">
        <f t="shared" si="14"/>
        <v>100</v>
      </c>
      <c r="X36" s="1541"/>
      <c r="Y36" s="3333"/>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3"/>
      <c r="Q37" s="1538" t="str">
        <f t="shared" si="11"/>
        <v>内部装修状况</v>
      </c>
      <c r="R37" s="714" t="s">
        <v>17</v>
      </c>
      <c r="S37" s="715">
        <f t="shared" si="12"/>
        <v>100</v>
      </c>
      <c r="T37" s="714" t="s">
        <v>17</v>
      </c>
      <c r="U37" s="715">
        <f t="shared" si="13"/>
        <v>100</v>
      </c>
      <c r="V37" s="714" t="s">
        <v>17</v>
      </c>
      <c r="W37" s="715">
        <f t="shared" si="14"/>
        <v>100</v>
      </c>
      <c r="X37" s="1541"/>
      <c r="Y37" s="333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3"/>
      <c r="Q38" s="716">
        <f t="shared" si="11"/>
        <v>111</v>
      </c>
      <c r="R38" s="717" t="s">
        <v>17</v>
      </c>
      <c r="S38" s="718">
        <f t="shared" si="12"/>
        <v>100</v>
      </c>
      <c r="T38" s="717" t="s">
        <v>17</v>
      </c>
      <c r="U38" s="718">
        <f t="shared" si="13"/>
        <v>100</v>
      </c>
      <c r="V38" s="717" t="s">
        <v>17</v>
      </c>
      <c r="W38" s="718">
        <f t="shared" si="14"/>
        <v>100</v>
      </c>
      <c r="X38" s="719"/>
      <c r="Y38" s="333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3"/>
      <c r="Q39" s="1538">
        <f t="shared" si="11"/>
        <v>111</v>
      </c>
      <c r="R39" s="714" t="s">
        <v>17</v>
      </c>
      <c r="S39" s="715">
        <f t="shared" si="12"/>
        <v>100</v>
      </c>
      <c r="T39" s="714" t="s">
        <v>17</v>
      </c>
      <c r="U39" s="715">
        <f t="shared" si="13"/>
        <v>100</v>
      </c>
      <c r="V39" s="714" t="s">
        <v>17</v>
      </c>
      <c r="W39" s="715">
        <f t="shared" si="14"/>
        <v>100</v>
      </c>
      <c r="X39" s="1541"/>
      <c r="Y39" s="333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4"/>
      <c r="Q40" s="1538">
        <f t="shared" si="11"/>
        <v>111</v>
      </c>
      <c r="R40" s="714" t="s">
        <v>17</v>
      </c>
      <c r="S40" s="715">
        <f t="shared" si="12"/>
        <v>100</v>
      </c>
      <c r="T40" s="714" t="s">
        <v>17</v>
      </c>
      <c r="U40" s="715">
        <f t="shared" si="13"/>
        <v>100</v>
      </c>
      <c r="V40" s="714" t="s">
        <v>17</v>
      </c>
      <c r="W40" s="715">
        <f t="shared" si="14"/>
        <v>100</v>
      </c>
      <c r="X40" s="1541"/>
      <c r="Y40" s="3334"/>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26" t="str">
        <f>A41</f>
        <v>成交单价（元/平方米）</v>
      </c>
      <c r="Q41" s="3326"/>
      <c r="R41" s="3327">
        <f>E41</f>
        <v>0</v>
      </c>
      <c r="S41" s="3327"/>
      <c r="T41" s="3327">
        <f>G41</f>
        <v>0</v>
      </c>
      <c r="U41" s="3327"/>
      <c r="V41" s="3327">
        <f>I41</f>
        <v>0</v>
      </c>
      <c r="W41" s="3327"/>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23" t="str">
        <f>A43</f>
        <v>估价对象XX用房的比较价值（楼面单价，元/平方米）</v>
      </c>
      <c r="Q43" s="3324"/>
      <c r="R43" s="3325" t="e">
        <f>IF(F1="售价",ROUND(IF(D42="简单平均",AVERAGE(R42:V42),R42*F42+T42*H42+V42*J42),0),ROUND(IF(D42="简单平均",AVERAGE(R42:V42),R42*F42+T42*H42+V42*J42),1))</f>
        <v>#DIV/0!</v>
      </c>
      <c r="S43" s="3325"/>
      <c r="T43" s="3325"/>
      <c r="U43" s="3325"/>
      <c r="V43" s="3325"/>
      <c r="W43" s="332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296" t="s">
        <v>2469</v>
      </c>
      <c r="S4" s="3297"/>
      <c r="T4" s="3296" t="s">
        <v>2470</v>
      </c>
      <c r="U4" s="3297"/>
      <c r="V4" s="3321" t="s">
        <v>2471</v>
      </c>
      <c r="W4" s="3321"/>
      <c r="X4" s="1541"/>
      <c r="Y4" s="3296" t="s">
        <v>2473</v>
      </c>
      <c r="Z4" s="3297"/>
      <c r="AA4" s="3291" t="s">
        <v>2469</v>
      </c>
      <c r="AB4" s="3292" t="s">
        <v>2470</v>
      </c>
      <c r="AC4" s="3291" t="s">
        <v>2471</v>
      </c>
    </row>
    <row r="5" spans="1:29" ht="15">
      <c r="A5" s="364"/>
      <c r="B5" s="365"/>
      <c r="C5" s="3302" t="s">
        <v>2364</v>
      </c>
      <c r="D5" s="3303"/>
      <c r="E5" s="3300" t="s">
        <v>2365</v>
      </c>
      <c r="F5" s="3301"/>
      <c r="G5" s="3302" t="s">
        <v>2366</v>
      </c>
      <c r="H5" s="3303"/>
      <c r="I5" s="3302" t="s">
        <v>2367</v>
      </c>
      <c r="J5" s="3303"/>
      <c r="K5" s="567"/>
      <c r="L5" s="2943"/>
      <c r="M5" s="2944"/>
      <c r="N5" s="2944"/>
      <c r="O5" s="2944"/>
      <c r="P5" s="3315"/>
      <c r="Q5" s="3316"/>
      <c r="R5" s="3298"/>
      <c r="S5" s="3299"/>
      <c r="T5" s="3298"/>
      <c r="U5" s="3299"/>
      <c r="V5" s="3321"/>
      <c r="W5" s="3321"/>
      <c r="X5" s="1541"/>
      <c r="Y5" s="3298"/>
      <c r="Z5" s="3299"/>
      <c r="AA5" s="3292"/>
      <c r="AB5" s="3292"/>
      <c r="AC5" s="3292"/>
    </row>
    <row r="6" spans="1:29" ht="15.75" thickBot="1">
      <c r="A6" s="366"/>
      <c r="B6" s="367"/>
      <c r="C6" s="3304" t="s">
        <v>2368</v>
      </c>
      <c r="D6" s="3305"/>
      <c r="E6" s="3306" t="s">
        <v>2368</v>
      </c>
      <c r="F6" s="3307"/>
      <c r="G6" s="3304" t="s">
        <v>2368</v>
      </c>
      <c r="H6" s="3305"/>
      <c r="I6" s="3304" t="s">
        <v>2368</v>
      </c>
      <c r="J6" s="3305"/>
      <c r="K6" s="567" t="s">
        <v>2369</v>
      </c>
      <c r="L6" s="2943"/>
      <c r="M6" s="2944"/>
      <c r="N6" s="2944"/>
      <c r="O6" s="2944"/>
      <c r="P6" s="3317"/>
      <c r="Q6" s="3318"/>
      <c r="R6" s="3298"/>
      <c r="S6" s="3299"/>
      <c r="T6" s="3319"/>
      <c r="U6" s="3320"/>
      <c r="V6" s="3321"/>
      <c r="W6" s="3321"/>
      <c r="X6" s="1541"/>
      <c r="Y6" s="3319"/>
      <c r="Z6" s="3320"/>
      <c r="AA6" s="3293"/>
      <c r="AB6" s="3293"/>
      <c r="AC6" s="3293"/>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94" t="s">
        <v>2371</v>
      </c>
      <c r="Q7" s="3322"/>
      <c r="R7" s="710" t="s">
        <v>17</v>
      </c>
      <c r="S7" s="711">
        <f t="shared" ref="S7:S14" si="0">F7</f>
        <v>0</v>
      </c>
      <c r="T7" s="710" t="s">
        <v>17</v>
      </c>
      <c r="U7" s="711">
        <f t="shared" ref="U7:U14" si="1">H7</f>
        <v>0</v>
      </c>
      <c r="V7" s="710" t="s">
        <v>17</v>
      </c>
      <c r="W7" s="711">
        <f t="shared" ref="W7:W14" si="2">J7</f>
        <v>0</v>
      </c>
      <c r="X7" s="712"/>
      <c r="Y7" s="3294" t="s">
        <v>2371</v>
      </c>
      <c r="Z7" s="329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94" t="s">
        <v>2374</v>
      </c>
      <c r="Q8" s="3295"/>
      <c r="R8" s="710" t="s">
        <v>17</v>
      </c>
      <c r="S8" s="711">
        <f t="shared" si="0"/>
        <v>0</v>
      </c>
      <c r="T8" s="710" t="s">
        <v>17</v>
      </c>
      <c r="U8" s="711">
        <f t="shared" si="1"/>
        <v>0</v>
      </c>
      <c r="V8" s="710" t="s">
        <v>17</v>
      </c>
      <c r="W8" s="711">
        <f t="shared" si="2"/>
        <v>0</v>
      </c>
      <c r="X8" s="712"/>
      <c r="Y8" s="3294" t="s">
        <v>2374</v>
      </c>
      <c r="Z8" s="329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26" t="s">
        <v>2377</v>
      </c>
      <c r="Q9" s="1529" t="str">
        <f t="shared" ref="Q9:Q14" si="6">B9</f>
        <v>用途</v>
      </c>
      <c r="R9" s="710" t="s">
        <v>17</v>
      </c>
      <c r="S9" s="711">
        <f t="shared" si="0"/>
        <v>100</v>
      </c>
      <c r="T9" s="710" t="s">
        <v>17</v>
      </c>
      <c r="U9" s="711">
        <f t="shared" si="1"/>
        <v>100</v>
      </c>
      <c r="V9" s="710" t="s">
        <v>17</v>
      </c>
      <c r="W9" s="711">
        <f t="shared" si="2"/>
        <v>100</v>
      </c>
      <c r="X9" s="712"/>
      <c r="Y9" s="3236"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26"/>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26"/>
      <c r="Q11" s="1529">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2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2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28" t="s">
        <v>2382</v>
      </c>
      <c r="Q14" s="1538" t="str">
        <f t="shared" si="6"/>
        <v>交通便捷度</v>
      </c>
      <c r="R14" s="714" t="s">
        <v>17</v>
      </c>
      <c r="S14" s="715">
        <f t="shared" si="0"/>
        <v>100</v>
      </c>
      <c r="T14" s="714" t="s">
        <v>17</v>
      </c>
      <c r="U14" s="715">
        <f t="shared" si="1"/>
        <v>100</v>
      </c>
      <c r="V14" s="714" t="s">
        <v>17</v>
      </c>
      <c r="W14" s="715">
        <f t="shared" si="2"/>
        <v>100</v>
      </c>
      <c r="X14" s="1541"/>
      <c r="Y14" s="3328"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29"/>
      <c r="Q15" s="1538"/>
      <c r="R15" s="714"/>
      <c r="S15" s="715"/>
      <c r="T15" s="714"/>
      <c r="U15" s="715"/>
      <c r="V15" s="714"/>
      <c r="W15" s="715"/>
      <c r="X15" s="1541"/>
      <c r="Y15" s="3329"/>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29"/>
      <c r="Q16" s="1538" t="str">
        <f>B16</f>
        <v>公共配套设施</v>
      </c>
      <c r="R16" s="714" t="s">
        <v>17</v>
      </c>
      <c r="S16" s="715">
        <f>F16</f>
        <v>100</v>
      </c>
      <c r="T16" s="714" t="s">
        <v>17</v>
      </c>
      <c r="U16" s="715">
        <f>H16</f>
        <v>100</v>
      </c>
      <c r="V16" s="714" t="s">
        <v>17</v>
      </c>
      <c r="W16" s="715">
        <f>J16</f>
        <v>100</v>
      </c>
      <c r="X16" s="1541"/>
      <c r="Y16" s="332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29"/>
      <c r="Q17" s="1538"/>
      <c r="R17" s="714"/>
      <c r="S17" s="715"/>
      <c r="T17" s="714"/>
      <c r="U17" s="715"/>
      <c r="V17" s="714"/>
      <c r="W17" s="715"/>
      <c r="X17" s="1541"/>
      <c r="Y17" s="3329"/>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29"/>
      <c r="Q18" s="1538" t="str">
        <f>B18</f>
        <v>基础设施水平</v>
      </c>
      <c r="R18" s="714" t="s">
        <v>17</v>
      </c>
      <c r="S18" s="715">
        <f>F18</f>
        <v>100</v>
      </c>
      <c r="T18" s="714" t="s">
        <v>17</v>
      </c>
      <c r="U18" s="715">
        <f>H18</f>
        <v>100</v>
      </c>
      <c r="V18" s="714" t="s">
        <v>17</v>
      </c>
      <c r="W18" s="715">
        <f>J18</f>
        <v>100</v>
      </c>
      <c r="X18" s="1541"/>
      <c r="Y18" s="332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29"/>
      <c r="Q19" s="1538"/>
      <c r="R19" s="714"/>
      <c r="S19" s="715"/>
      <c r="T19" s="714"/>
      <c r="U19" s="715"/>
      <c r="V19" s="714"/>
      <c r="W19" s="715"/>
      <c r="X19" s="1541"/>
      <c r="Y19" s="3329"/>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29"/>
      <c r="Q20" s="1538" t="str">
        <f>B20</f>
        <v>自然及人文环境</v>
      </c>
      <c r="R20" s="714" t="s">
        <v>17</v>
      </c>
      <c r="S20" s="715">
        <f>F20</f>
        <v>100</v>
      </c>
      <c r="T20" s="714" t="s">
        <v>17</v>
      </c>
      <c r="U20" s="715">
        <f>H20</f>
        <v>100</v>
      </c>
      <c r="V20" s="714" t="s">
        <v>17</v>
      </c>
      <c r="W20" s="715">
        <f>J20</f>
        <v>100</v>
      </c>
      <c r="X20" s="1541"/>
      <c r="Y20" s="332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29"/>
      <c r="Q21" s="1538"/>
      <c r="R21" s="714"/>
      <c r="S21" s="715"/>
      <c r="T21" s="714"/>
      <c r="U21" s="715"/>
      <c r="V21" s="714"/>
      <c r="W21" s="715"/>
      <c r="X21" s="1541"/>
      <c r="Y21" s="3329"/>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29"/>
      <c r="Q22" s="1538" t="str">
        <f>B22</f>
        <v>楼层</v>
      </c>
      <c r="R22" s="714" t="s">
        <v>17</v>
      </c>
      <c r="S22" s="715">
        <f>F22</f>
        <v>100</v>
      </c>
      <c r="T22" s="714" t="s">
        <v>17</v>
      </c>
      <c r="U22" s="715">
        <f>H22</f>
        <v>100</v>
      </c>
      <c r="V22" s="714" t="s">
        <v>17</v>
      </c>
      <c r="W22" s="715">
        <f>J22</f>
        <v>100</v>
      </c>
      <c r="X22" s="1541"/>
      <c r="Y22" s="332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29"/>
      <c r="Q23" s="1538">
        <f>B23</f>
        <v>111</v>
      </c>
      <c r="R23" s="714" t="s">
        <v>17</v>
      </c>
      <c r="S23" s="715">
        <f>F23</f>
        <v>100</v>
      </c>
      <c r="T23" s="714" t="s">
        <v>17</v>
      </c>
      <c r="U23" s="715">
        <f>H23</f>
        <v>100</v>
      </c>
      <c r="V23" s="714" t="s">
        <v>17</v>
      </c>
      <c r="W23" s="715">
        <f>J23</f>
        <v>100</v>
      </c>
      <c r="X23" s="1541"/>
      <c r="Y23" s="332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29"/>
      <c r="Q24" s="1538">
        <f t="shared" ref="Q24:Q36" si="11">B24</f>
        <v>111</v>
      </c>
      <c r="R24" s="714" t="s">
        <v>17</v>
      </c>
      <c r="S24" s="715">
        <f>F24</f>
        <v>100</v>
      </c>
      <c r="T24" s="714" t="s">
        <v>17</v>
      </c>
      <c r="U24" s="715">
        <f>H24</f>
        <v>100</v>
      </c>
      <c r="V24" s="714" t="s">
        <v>17</v>
      </c>
      <c r="W24" s="715">
        <f>J24</f>
        <v>100</v>
      </c>
      <c r="X24" s="1541"/>
      <c r="Y24" s="332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29"/>
      <c r="Q25" s="1529">
        <f t="shared" si="11"/>
        <v>111</v>
      </c>
      <c r="R25" s="710" t="s">
        <v>17</v>
      </c>
      <c r="S25" s="711">
        <f>F25</f>
        <v>100</v>
      </c>
      <c r="T25" s="710" t="s">
        <v>17</v>
      </c>
      <c r="U25" s="711">
        <f>H25</f>
        <v>100</v>
      </c>
      <c r="V25" s="710" t="s">
        <v>17</v>
      </c>
      <c r="W25" s="711">
        <f>J25</f>
        <v>100</v>
      </c>
      <c r="X25" s="712"/>
      <c r="Y25" s="3329"/>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3"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33"/>
      <c r="Q27" s="716" t="str">
        <f t="shared" si="11"/>
        <v>项目停车位配比</v>
      </c>
      <c r="R27" s="717" t="s">
        <v>17</v>
      </c>
      <c r="S27" s="718">
        <f t="shared" si="12"/>
        <v>100</v>
      </c>
      <c r="T27" s="717" t="s">
        <v>17</v>
      </c>
      <c r="U27" s="718">
        <f t="shared" si="13"/>
        <v>100</v>
      </c>
      <c r="V27" s="717" t="s">
        <v>17</v>
      </c>
      <c r="W27" s="718">
        <f t="shared" si="14"/>
        <v>100</v>
      </c>
      <c r="X27" s="719"/>
      <c r="Y27" s="3333"/>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33"/>
      <c r="Q28" s="1538" t="str">
        <f t="shared" si="11"/>
        <v>公共部分装修</v>
      </c>
      <c r="R28" s="714" t="s">
        <v>17</v>
      </c>
      <c r="S28" s="715">
        <f t="shared" si="12"/>
        <v>100</v>
      </c>
      <c r="T28" s="714" t="s">
        <v>17</v>
      </c>
      <c r="U28" s="715">
        <f t="shared" si="13"/>
        <v>100</v>
      </c>
      <c r="V28" s="714" t="s">
        <v>17</v>
      </c>
      <c r="W28" s="715">
        <f t="shared" si="14"/>
        <v>100</v>
      </c>
      <c r="X28" s="1541"/>
      <c r="Y28" s="3333"/>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33"/>
      <c r="Q29" s="1538" t="str">
        <f t="shared" si="11"/>
        <v>成新率</v>
      </c>
      <c r="R29" s="714" t="s">
        <v>17</v>
      </c>
      <c r="S29" s="715" t="e">
        <f t="shared" si="12"/>
        <v>#N/A</v>
      </c>
      <c r="T29" s="714" t="s">
        <v>17</v>
      </c>
      <c r="U29" s="715" t="e">
        <f t="shared" si="13"/>
        <v>#N/A</v>
      </c>
      <c r="V29" s="714" t="s">
        <v>17</v>
      </c>
      <c r="W29" s="715" t="e">
        <f t="shared" si="14"/>
        <v>#N/A</v>
      </c>
      <c r="X29" s="1541"/>
      <c r="Y29" s="3333"/>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33"/>
      <c r="Q30" s="1538" t="str">
        <f t="shared" si="11"/>
        <v>物业等级</v>
      </c>
      <c r="R30" s="714" t="s">
        <v>17</v>
      </c>
      <c r="S30" s="715">
        <f t="shared" si="12"/>
        <v>100</v>
      </c>
      <c r="T30" s="714" t="s">
        <v>17</v>
      </c>
      <c r="U30" s="715">
        <f t="shared" si="13"/>
        <v>100</v>
      </c>
      <c r="V30" s="714" t="s">
        <v>17</v>
      </c>
      <c r="W30" s="715">
        <f t="shared" si="14"/>
        <v>100</v>
      </c>
      <c r="X30" s="1541"/>
      <c r="Y30" s="3333"/>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33"/>
      <c r="Q31" s="1529" t="str">
        <f t="shared" si="11"/>
        <v>停车位面积</v>
      </c>
      <c r="R31" s="710" t="s">
        <v>17</v>
      </c>
      <c r="S31" s="711" t="e">
        <f t="shared" si="12"/>
        <v>#N/A</v>
      </c>
      <c r="T31" s="710" t="s">
        <v>17</v>
      </c>
      <c r="U31" s="711" t="e">
        <f t="shared" si="13"/>
        <v>#N/A</v>
      </c>
      <c r="V31" s="710" t="s">
        <v>17</v>
      </c>
      <c r="W31" s="711" t="e">
        <f t="shared" si="14"/>
        <v>#N/A</v>
      </c>
      <c r="X31" s="712"/>
      <c r="Y31" s="3333"/>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33" t="s">
        <v>2387</v>
      </c>
      <c r="Q32" s="1538" t="str">
        <f t="shared" si="11"/>
        <v>车位类型</v>
      </c>
      <c r="R32" s="714" t="s">
        <v>17</v>
      </c>
      <c r="S32" s="715">
        <f t="shared" si="12"/>
        <v>100</v>
      </c>
      <c r="T32" s="714" t="s">
        <v>17</v>
      </c>
      <c r="U32" s="715">
        <f t="shared" si="13"/>
        <v>100</v>
      </c>
      <c r="V32" s="714" t="s">
        <v>17</v>
      </c>
      <c r="W32" s="715">
        <f t="shared" si="14"/>
        <v>100</v>
      </c>
      <c r="X32" s="1541"/>
      <c r="Y32" s="3333"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33"/>
      <c r="Q33" s="1538" t="str">
        <f t="shared" si="11"/>
        <v>是否直接入户</v>
      </c>
      <c r="R33" s="714" t="s">
        <v>17</v>
      </c>
      <c r="S33" s="715">
        <f t="shared" si="12"/>
        <v>100</v>
      </c>
      <c r="T33" s="714" t="s">
        <v>17</v>
      </c>
      <c r="U33" s="715">
        <f t="shared" si="13"/>
        <v>100</v>
      </c>
      <c r="V33" s="714" t="s">
        <v>17</v>
      </c>
      <c r="W33" s="715">
        <f t="shared" si="14"/>
        <v>100</v>
      </c>
      <c r="X33" s="1541"/>
      <c r="Y33" s="333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33"/>
      <c r="Q34" s="1538">
        <f t="shared" si="11"/>
        <v>111</v>
      </c>
      <c r="R34" s="714" t="s">
        <v>17</v>
      </c>
      <c r="S34" s="715">
        <f t="shared" si="12"/>
        <v>100</v>
      </c>
      <c r="T34" s="714" t="s">
        <v>17</v>
      </c>
      <c r="U34" s="715">
        <f t="shared" si="13"/>
        <v>100</v>
      </c>
      <c r="V34" s="714" t="s">
        <v>17</v>
      </c>
      <c r="W34" s="715">
        <f t="shared" si="14"/>
        <v>100</v>
      </c>
      <c r="X34" s="1541"/>
      <c r="Y34" s="333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33"/>
      <c r="Q35" s="716">
        <f t="shared" si="11"/>
        <v>111</v>
      </c>
      <c r="R35" s="717" t="s">
        <v>17</v>
      </c>
      <c r="S35" s="718">
        <f t="shared" si="12"/>
        <v>100</v>
      </c>
      <c r="T35" s="717" t="s">
        <v>17</v>
      </c>
      <c r="U35" s="718">
        <f t="shared" si="13"/>
        <v>100</v>
      </c>
      <c r="V35" s="717" t="s">
        <v>17</v>
      </c>
      <c r="W35" s="718">
        <f t="shared" si="14"/>
        <v>100</v>
      </c>
      <c r="X35" s="719"/>
      <c r="Y35" s="333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33"/>
      <c r="Q36" s="1538">
        <f t="shared" si="11"/>
        <v>111</v>
      </c>
      <c r="R36" s="714" t="s">
        <v>17</v>
      </c>
      <c r="S36" s="715">
        <f t="shared" si="12"/>
        <v>100</v>
      </c>
      <c r="T36" s="714" t="s">
        <v>17</v>
      </c>
      <c r="U36" s="715">
        <f t="shared" si="13"/>
        <v>100</v>
      </c>
      <c r="V36" s="714" t="s">
        <v>17</v>
      </c>
      <c r="W36" s="715">
        <f t="shared" si="14"/>
        <v>100</v>
      </c>
      <c r="X36" s="1541"/>
      <c r="Y36" s="3333"/>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26" t="str">
        <f>A37</f>
        <v>成交单价</v>
      </c>
      <c r="Q37" s="3326"/>
      <c r="R37" s="3327">
        <f>E37</f>
        <v>0</v>
      </c>
      <c r="S37" s="3327"/>
      <c r="T37" s="3327">
        <f>G37</f>
        <v>0</v>
      </c>
      <c r="U37" s="3327"/>
      <c r="V37" s="3327">
        <f>I37</f>
        <v>0</v>
      </c>
      <c r="W37" s="3327"/>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23" t="str">
        <f>A39</f>
        <v>估价对象XX用房的比较价值（楼面单价，元/平方米）</v>
      </c>
      <c r="Q39" s="3324"/>
      <c r="R39" s="3359" t="e">
        <f>IF(F1="售价",ROUND(IF(D38="简单平均",AVERAGE(R38:W38),R38*F38+T38*H38+V38*J38),0),ROUND(IF(D38="简单平均",AVERAGE(R38:V38),R38*F38+T38*H38+V38*J38),1))</f>
        <v>#DIV/0!</v>
      </c>
      <c r="S39" s="3359"/>
      <c r="T39" s="3359"/>
      <c r="U39" s="3359"/>
      <c r="V39" s="3359"/>
      <c r="W39" s="335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296" t="s">
        <v>2469</v>
      </c>
      <c r="S4" s="3297"/>
      <c r="T4" s="3296" t="s">
        <v>2470</v>
      </c>
      <c r="U4" s="3297"/>
      <c r="V4" s="3321" t="s">
        <v>2471</v>
      </c>
      <c r="W4" s="3321"/>
      <c r="X4" s="1541"/>
      <c r="Y4" s="3296" t="s">
        <v>2473</v>
      </c>
      <c r="Z4" s="3297"/>
      <c r="AA4" s="3291" t="s">
        <v>2469</v>
      </c>
      <c r="AB4" s="3292" t="s">
        <v>2470</v>
      </c>
      <c r="AC4" s="3291" t="s">
        <v>2471</v>
      </c>
    </row>
    <row r="5" spans="1:29" ht="15">
      <c r="A5" s="364"/>
      <c r="B5" s="365"/>
      <c r="C5" s="3302" t="s">
        <v>2364</v>
      </c>
      <c r="D5" s="3303"/>
      <c r="E5" s="3300" t="s">
        <v>2365</v>
      </c>
      <c r="F5" s="3301"/>
      <c r="G5" s="3302" t="s">
        <v>2366</v>
      </c>
      <c r="H5" s="3303"/>
      <c r="I5" s="3302" t="s">
        <v>2367</v>
      </c>
      <c r="J5" s="3303"/>
      <c r="K5" s="567"/>
      <c r="L5" s="2943"/>
      <c r="M5" s="2944"/>
      <c r="N5" s="2944"/>
      <c r="O5" s="2944"/>
      <c r="P5" s="3315"/>
      <c r="Q5" s="3316"/>
      <c r="R5" s="3298"/>
      <c r="S5" s="3299"/>
      <c r="T5" s="3298"/>
      <c r="U5" s="3299"/>
      <c r="V5" s="3321"/>
      <c r="W5" s="3321"/>
      <c r="X5" s="1541"/>
      <c r="Y5" s="3298"/>
      <c r="Z5" s="3299"/>
      <c r="AA5" s="3292"/>
      <c r="AB5" s="3292"/>
      <c r="AC5" s="3292"/>
    </row>
    <row r="6" spans="1:29" ht="15.75" thickBot="1">
      <c r="A6" s="366"/>
      <c r="B6" s="367"/>
      <c r="C6" s="3304" t="s">
        <v>2368</v>
      </c>
      <c r="D6" s="3305"/>
      <c r="E6" s="3306" t="s">
        <v>2368</v>
      </c>
      <c r="F6" s="3307"/>
      <c r="G6" s="3304" t="s">
        <v>2368</v>
      </c>
      <c r="H6" s="3305"/>
      <c r="I6" s="3304" t="s">
        <v>2368</v>
      </c>
      <c r="J6" s="3305"/>
      <c r="K6" s="567" t="s">
        <v>2369</v>
      </c>
      <c r="L6" s="2943"/>
      <c r="M6" s="2944"/>
      <c r="N6" s="2944"/>
      <c r="O6" s="2944"/>
      <c r="P6" s="3317"/>
      <c r="Q6" s="3318"/>
      <c r="R6" s="3298"/>
      <c r="S6" s="3299"/>
      <c r="T6" s="3319"/>
      <c r="U6" s="3320"/>
      <c r="V6" s="3321"/>
      <c r="W6" s="3321"/>
      <c r="X6" s="1541"/>
      <c r="Y6" s="3319"/>
      <c r="Z6" s="3320"/>
      <c r="AA6" s="3293"/>
      <c r="AB6" s="3293"/>
      <c r="AC6" s="3293"/>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294" t="s">
        <v>2371</v>
      </c>
      <c r="Q7" s="3322"/>
      <c r="R7" s="710" t="s">
        <v>17</v>
      </c>
      <c r="S7" s="711">
        <f t="shared" ref="S7:S14" si="0">F7</f>
        <v>0</v>
      </c>
      <c r="T7" s="710" t="s">
        <v>17</v>
      </c>
      <c r="U7" s="711">
        <f t="shared" ref="U7:U14" si="1">H7</f>
        <v>0</v>
      </c>
      <c r="V7" s="710" t="s">
        <v>17</v>
      </c>
      <c r="W7" s="711">
        <f t="shared" ref="W7:W14" si="2">J7</f>
        <v>0</v>
      </c>
      <c r="X7" s="712"/>
      <c r="Y7" s="3294" t="s">
        <v>2371</v>
      </c>
      <c r="Z7" s="329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94" t="s">
        <v>2374</v>
      </c>
      <c r="Q8" s="3295"/>
      <c r="R8" s="710" t="s">
        <v>17</v>
      </c>
      <c r="S8" s="711">
        <f t="shared" si="0"/>
        <v>0</v>
      </c>
      <c r="T8" s="710" t="s">
        <v>17</v>
      </c>
      <c r="U8" s="711">
        <f t="shared" si="1"/>
        <v>0</v>
      </c>
      <c r="V8" s="710" t="s">
        <v>17</v>
      </c>
      <c r="W8" s="711">
        <f t="shared" si="2"/>
        <v>0</v>
      </c>
      <c r="X8" s="712"/>
      <c r="Y8" s="3294" t="s">
        <v>2374</v>
      </c>
      <c r="Z8" s="329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26" t="s">
        <v>2377</v>
      </c>
      <c r="Q9" s="1529" t="str">
        <f t="shared" ref="Q9:Q14" si="6">B9</f>
        <v>用途</v>
      </c>
      <c r="R9" s="710" t="s">
        <v>17</v>
      </c>
      <c r="S9" s="711">
        <f t="shared" si="0"/>
        <v>100</v>
      </c>
      <c r="T9" s="710" t="s">
        <v>17</v>
      </c>
      <c r="U9" s="711">
        <f t="shared" si="1"/>
        <v>100</v>
      </c>
      <c r="V9" s="710" t="s">
        <v>17</v>
      </c>
      <c r="W9" s="711">
        <f t="shared" si="2"/>
        <v>100</v>
      </c>
      <c r="X9" s="712"/>
      <c r="Y9" s="3236"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26"/>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26"/>
      <c r="Q11" s="1529">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2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2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28" t="s">
        <v>2382</v>
      </c>
      <c r="Q14" s="1538" t="str">
        <f t="shared" si="6"/>
        <v>交通便捷度</v>
      </c>
      <c r="R14" s="714" t="s">
        <v>17</v>
      </c>
      <c r="S14" s="715">
        <f t="shared" si="0"/>
        <v>100</v>
      </c>
      <c r="T14" s="714" t="s">
        <v>17</v>
      </c>
      <c r="U14" s="715">
        <f t="shared" si="1"/>
        <v>100</v>
      </c>
      <c r="V14" s="714" t="s">
        <v>17</v>
      </c>
      <c r="W14" s="715">
        <f t="shared" si="2"/>
        <v>100</v>
      </c>
      <c r="X14" s="1541"/>
      <c r="Y14" s="3328"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29"/>
      <c r="Q15" s="1538"/>
      <c r="R15" s="714"/>
      <c r="S15" s="715"/>
      <c r="T15" s="714"/>
      <c r="U15" s="715"/>
      <c r="V15" s="714"/>
      <c r="W15" s="715"/>
      <c r="X15" s="1541"/>
      <c r="Y15" s="3329"/>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29"/>
      <c r="Q16" s="1538" t="str">
        <f>B16</f>
        <v>公共配套设施</v>
      </c>
      <c r="R16" s="714" t="s">
        <v>17</v>
      </c>
      <c r="S16" s="715">
        <f>F16</f>
        <v>100</v>
      </c>
      <c r="T16" s="714" t="s">
        <v>17</v>
      </c>
      <c r="U16" s="715">
        <f>H16</f>
        <v>100</v>
      </c>
      <c r="V16" s="714" t="s">
        <v>17</v>
      </c>
      <c r="W16" s="715">
        <f>J16</f>
        <v>100</v>
      </c>
      <c r="X16" s="1541"/>
      <c r="Y16" s="332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29"/>
      <c r="Q17" s="1538"/>
      <c r="R17" s="714"/>
      <c r="S17" s="715"/>
      <c r="T17" s="714"/>
      <c r="U17" s="715"/>
      <c r="V17" s="714"/>
      <c r="W17" s="715"/>
      <c r="X17" s="1541"/>
      <c r="Y17" s="3329"/>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29"/>
      <c r="Q18" s="1538" t="str">
        <f>B18</f>
        <v>基础设施水平</v>
      </c>
      <c r="R18" s="714" t="s">
        <v>17</v>
      </c>
      <c r="S18" s="715">
        <f>F18</f>
        <v>100</v>
      </c>
      <c r="T18" s="714" t="s">
        <v>17</v>
      </c>
      <c r="U18" s="715">
        <f>H18</f>
        <v>100</v>
      </c>
      <c r="V18" s="714" t="s">
        <v>17</v>
      </c>
      <c r="W18" s="715">
        <f>J18</f>
        <v>100</v>
      </c>
      <c r="X18" s="1541"/>
      <c r="Y18" s="332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29"/>
      <c r="Q19" s="1538"/>
      <c r="R19" s="714"/>
      <c r="S19" s="715"/>
      <c r="T19" s="714"/>
      <c r="U19" s="715"/>
      <c r="V19" s="714"/>
      <c r="W19" s="715"/>
      <c r="X19" s="1541"/>
      <c r="Y19" s="3329"/>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29"/>
      <c r="Q20" s="1538" t="str">
        <f>B20</f>
        <v>自然及人文环境</v>
      </c>
      <c r="R20" s="714" t="s">
        <v>17</v>
      </c>
      <c r="S20" s="715">
        <f>F20</f>
        <v>100</v>
      </c>
      <c r="T20" s="714" t="s">
        <v>17</v>
      </c>
      <c r="U20" s="715">
        <f>H20</f>
        <v>100</v>
      </c>
      <c r="V20" s="714" t="s">
        <v>17</v>
      </c>
      <c r="W20" s="715">
        <f>J20</f>
        <v>100</v>
      </c>
      <c r="X20" s="1541"/>
      <c r="Y20" s="332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29"/>
      <c r="Q21" s="1538"/>
      <c r="R21" s="714"/>
      <c r="S21" s="715"/>
      <c r="T21" s="714"/>
      <c r="U21" s="715"/>
      <c r="V21" s="714"/>
      <c r="W21" s="715"/>
      <c r="X21" s="1541"/>
      <c r="Y21" s="3329"/>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29"/>
      <c r="Q22" s="1538" t="str">
        <f>B22</f>
        <v>楼层</v>
      </c>
      <c r="R22" s="714" t="s">
        <v>17</v>
      </c>
      <c r="S22" s="715">
        <f>F22</f>
        <v>100</v>
      </c>
      <c r="T22" s="714" t="s">
        <v>17</v>
      </c>
      <c r="U22" s="715">
        <f>H22</f>
        <v>100</v>
      </c>
      <c r="V22" s="714" t="s">
        <v>17</v>
      </c>
      <c r="W22" s="715">
        <f>J22</f>
        <v>100</v>
      </c>
      <c r="X22" s="1541"/>
      <c r="Y22" s="332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29"/>
      <c r="Q23" s="1538">
        <f>B23</f>
        <v>111</v>
      </c>
      <c r="R23" s="714" t="s">
        <v>17</v>
      </c>
      <c r="S23" s="715">
        <f>F23</f>
        <v>100</v>
      </c>
      <c r="T23" s="714" t="s">
        <v>17</v>
      </c>
      <c r="U23" s="715">
        <f>H23</f>
        <v>100</v>
      </c>
      <c r="V23" s="714" t="s">
        <v>17</v>
      </c>
      <c r="W23" s="715">
        <f>J23</f>
        <v>100</v>
      </c>
      <c r="X23" s="1541"/>
      <c r="Y23" s="332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29"/>
      <c r="Q24" s="1538">
        <f t="shared" ref="Q24:Q34" si="11">B24</f>
        <v>111</v>
      </c>
      <c r="R24" s="714" t="s">
        <v>17</v>
      </c>
      <c r="S24" s="715">
        <f>F24</f>
        <v>100</v>
      </c>
      <c r="T24" s="714" t="s">
        <v>17</v>
      </c>
      <c r="U24" s="715">
        <f>H24</f>
        <v>100</v>
      </c>
      <c r="V24" s="714" t="s">
        <v>17</v>
      </c>
      <c r="W24" s="715">
        <f>J24</f>
        <v>100</v>
      </c>
      <c r="X24" s="1541"/>
      <c r="Y24" s="3329"/>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29"/>
      <c r="Q25" s="1529">
        <f t="shared" si="11"/>
        <v>111</v>
      </c>
      <c r="R25" s="710" t="s">
        <v>17</v>
      </c>
      <c r="S25" s="711">
        <f>F25</f>
        <v>100</v>
      </c>
      <c r="T25" s="710" t="s">
        <v>17</v>
      </c>
      <c r="U25" s="711">
        <f>H25</f>
        <v>100</v>
      </c>
      <c r="V25" s="710" t="s">
        <v>17</v>
      </c>
      <c r="W25" s="711">
        <f>J25</f>
        <v>100</v>
      </c>
      <c r="X25" s="712"/>
      <c r="Y25" s="3329"/>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5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3"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33"/>
      <c r="Q27" s="716" t="str">
        <f t="shared" si="11"/>
        <v>成新率</v>
      </c>
      <c r="R27" s="717" t="s">
        <v>17</v>
      </c>
      <c r="S27" s="718" t="e">
        <f t="shared" si="12"/>
        <v>#N/A</v>
      </c>
      <c r="T27" s="717" t="s">
        <v>17</v>
      </c>
      <c r="U27" s="718" t="e">
        <f t="shared" si="13"/>
        <v>#N/A</v>
      </c>
      <c r="V27" s="717" t="s">
        <v>17</v>
      </c>
      <c r="W27" s="718" t="e">
        <f t="shared" si="14"/>
        <v>#N/A</v>
      </c>
      <c r="X27" s="719"/>
      <c r="Y27" s="3333"/>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33"/>
      <c r="Q28" s="1538" t="str">
        <f t="shared" si="11"/>
        <v>物业等级</v>
      </c>
      <c r="R28" s="714" t="s">
        <v>17</v>
      </c>
      <c r="S28" s="715">
        <f t="shared" si="12"/>
        <v>100</v>
      </c>
      <c r="T28" s="714" t="s">
        <v>17</v>
      </c>
      <c r="U28" s="715">
        <f t="shared" si="13"/>
        <v>100</v>
      </c>
      <c r="V28" s="714" t="s">
        <v>17</v>
      </c>
      <c r="W28" s="715">
        <f t="shared" si="14"/>
        <v>100</v>
      </c>
      <c r="X28" s="1541"/>
      <c r="Y28" s="3333"/>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33"/>
      <c r="Q29" s="1538" t="str">
        <f t="shared" si="11"/>
        <v>有无电梯</v>
      </c>
      <c r="R29" s="714" t="s">
        <v>17</v>
      </c>
      <c r="S29" s="715">
        <f t="shared" si="12"/>
        <v>100</v>
      </c>
      <c r="T29" s="714" t="s">
        <v>17</v>
      </c>
      <c r="U29" s="715">
        <f t="shared" si="13"/>
        <v>100</v>
      </c>
      <c r="V29" s="714" t="s">
        <v>17</v>
      </c>
      <c r="W29" s="715">
        <f t="shared" si="14"/>
        <v>100</v>
      </c>
      <c r="X29" s="1541"/>
      <c r="Y29" s="3333"/>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33"/>
      <c r="Q30" s="1538" t="str">
        <f t="shared" si="11"/>
        <v>建筑面积</v>
      </c>
      <c r="R30" s="714" t="s">
        <v>17</v>
      </c>
      <c r="S30" s="715" t="e">
        <f t="shared" si="12"/>
        <v>#N/A</v>
      </c>
      <c r="T30" s="714" t="s">
        <v>17</v>
      </c>
      <c r="U30" s="715" t="e">
        <f t="shared" si="13"/>
        <v>#N/A</v>
      </c>
      <c r="V30" s="714" t="s">
        <v>17</v>
      </c>
      <c r="W30" s="715" t="e">
        <f t="shared" si="14"/>
        <v>#N/A</v>
      </c>
      <c r="X30" s="1541"/>
      <c r="Y30" s="3333"/>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33"/>
      <c r="Q31" s="1529" t="str">
        <f t="shared" si="11"/>
        <v>是否封闭</v>
      </c>
      <c r="R31" s="710" t="s">
        <v>17</v>
      </c>
      <c r="S31" s="711">
        <f t="shared" si="12"/>
        <v>100</v>
      </c>
      <c r="T31" s="710" t="s">
        <v>17</v>
      </c>
      <c r="U31" s="711">
        <f t="shared" si="13"/>
        <v>100</v>
      </c>
      <c r="V31" s="710" t="s">
        <v>17</v>
      </c>
      <c r="W31" s="711">
        <f t="shared" si="14"/>
        <v>100</v>
      </c>
      <c r="X31" s="712"/>
      <c r="Y31" s="333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33" t="s">
        <v>2387</v>
      </c>
      <c r="Q32" s="1538">
        <f t="shared" si="11"/>
        <v>111</v>
      </c>
      <c r="R32" s="714" t="s">
        <v>17</v>
      </c>
      <c r="S32" s="715">
        <f t="shared" si="12"/>
        <v>100</v>
      </c>
      <c r="T32" s="714" t="s">
        <v>17</v>
      </c>
      <c r="U32" s="715">
        <f t="shared" si="13"/>
        <v>100</v>
      </c>
      <c r="V32" s="714" t="s">
        <v>17</v>
      </c>
      <c r="W32" s="715">
        <f t="shared" si="14"/>
        <v>100</v>
      </c>
      <c r="X32" s="1541"/>
      <c r="Y32" s="3333"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33"/>
      <c r="Q33" s="1538">
        <f t="shared" si="11"/>
        <v>111</v>
      </c>
      <c r="R33" s="714" t="s">
        <v>17</v>
      </c>
      <c r="S33" s="715">
        <f t="shared" si="12"/>
        <v>100</v>
      </c>
      <c r="T33" s="714" t="s">
        <v>17</v>
      </c>
      <c r="U33" s="715">
        <f t="shared" si="13"/>
        <v>100</v>
      </c>
      <c r="V33" s="714" t="s">
        <v>17</v>
      </c>
      <c r="W33" s="715">
        <f t="shared" si="14"/>
        <v>100</v>
      </c>
      <c r="X33" s="1541"/>
      <c r="Y33" s="3333"/>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33"/>
      <c r="Q34" s="1538">
        <f t="shared" si="11"/>
        <v>111</v>
      </c>
      <c r="R34" s="714" t="s">
        <v>17</v>
      </c>
      <c r="S34" s="715">
        <f t="shared" si="12"/>
        <v>100</v>
      </c>
      <c r="T34" s="714" t="s">
        <v>17</v>
      </c>
      <c r="U34" s="715">
        <f t="shared" si="13"/>
        <v>100</v>
      </c>
      <c r="V34" s="714" t="s">
        <v>17</v>
      </c>
      <c r="W34" s="715">
        <f t="shared" si="14"/>
        <v>100</v>
      </c>
      <c r="X34" s="1541"/>
      <c r="Y34" s="3333"/>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26" t="str">
        <f>A35</f>
        <v>成交单价（元/平方米）</v>
      </c>
      <c r="Q35" s="3326"/>
      <c r="R35" s="3327">
        <f>E35</f>
        <v>0</v>
      </c>
      <c r="S35" s="3327"/>
      <c r="T35" s="3327">
        <f>G35</f>
        <v>0</v>
      </c>
      <c r="U35" s="3327"/>
      <c r="V35" s="3327">
        <f>I35</f>
        <v>0</v>
      </c>
      <c r="W35" s="3327"/>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23" t="str">
        <f>A37</f>
        <v>估价对象XX用房的比较价值（楼面单价，元/平方米）</v>
      </c>
      <c r="Q37" s="3324"/>
      <c r="R37" s="3359" t="e">
        <f>IF(F1="售价",ROUND(IF(D36="简单平均",AVERAGE(R36:W36),R36*F36+T36*H36+V36*J36),0),ROUND(IF(D36="简单平均",AVERAGE(R36:V36),R36*F36+T36*H36+V36*J36),1))</f>
        <v>#DIV/0!</v>
      </c>
      <c r="S37" s="3359"/>
      <c r="T37" s="3359"/>
      <c r="U37" s="3359"/>
      <c r="V37" s="3359"/>
      <c r="W37" s="335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296" t="s">
        <v>2469</v>
      </c>
      <c r="S4" s="3297"/>
      <c r="T4" s="3296" t="s">
        <v>2470</v>
      </c>
      <c r="U4" s="3297"/>
      <c r="V4" s="3321" t="s">
        <v>2471</v>
      </c>
      <c r="W4" s="3321"/>
      <c r="X4" s="1541"/>
      <c r="Y4" s="3296" t="s">
        <v>2473</v>
      </c>
      <c r="Z4" s="3297"/>
      <c r="AA4" s="3291" t="s">
        <v>2469</v>
      </c>
      <c r="AB4" s="3292" t="s">
        <v>2470</v>
      </c>
      <c r="AC4" s="3291" t="s">
        <v>2471</v>
      </c>
    </row>
    <row r="5" spans="1:30" ht="15">
      <c r="A5" s="364"/>
      <c r="B5" s="365"/>
      <c r="C5" s="3302" t="s">
        <v>2364</v>
      </c>
      <c r="D5" s="3303"/>
      <c r="E5" s="3300" t="s">
        <v>2365</v>
      </c>
      <c r="F5" s="3301"/>
      <c r="G5" s="3302" t="s">
        <v>2366</v>
      </c>
      <c r="H5" s="3303"/>
      <c r="I5" s="3302" t="s">
        <v>2367</v>
      </c>
      <c r="J5" s="3303"/>
      <c r="K5" s="567"/>
      <c r="L5" s="2943"/>
      <c r="M5" s="2944"/>
      <c r="N5" s="2944"/>
      <c r="O5" s="2944"/>
      <c r="P5" s="3315"/>
      <c r="Q5" s="3316"/>
      <c r="R5" s="3298"/>
      <c r="S5" s="3299"/>
      <c r="T5" s="3298"/>
      <c r="U5" s="3299"/>
      <c r="V5" s="3321"/>
      <c r="W5" s="3321"/>
      <c r="X5" s="1541"/>
      <c r="Y5" s="3298"/>
      <c r="Z5" s="3299"/>
      <c r="AA5" s="3292"/>
      <c r="AB5" s="3292"/>
      <c r="AC5" s="3292"/>
    </row>
    <row r="6" spans="1:30" ht="15.75" thickBot="1">
      <c r="A6" s="366"/>
      <c r="B6" s="367"/>
      <c r="C6" s="3304" t="s">
        <v>2368</v>
      </c>
      <c r="D6" s="3305"/>
      <c r="E6" s="3306" t="s">
        <v>2368</v>
      </c>
      <c r="F6" s="3307"/>
      <c r="G6" s="3304" t="s">
        <v>2368</v>
      </c>
      <c r="H6" s="3305"/>
      <c r="I6" s="3304" t="s">
        <v>2368</v>
      </c>
      <c r="J6" s="3305"/>
      <c r="K6" s="567" t="s">
        <v>2369</v>
      </c>
      <c r="L6" s="2943"/>
      <c r="M6" s="2944"/>
      <c r="N6" s="2944"/>
      <c r="O6" s="2944"/>
      <c r="P6" s="3317"/>
      <c r="Q6" s="3318"/>
      <c r="R6" s="3298"/>
      <c r="S6" s="3299"/>
      <c r="T6" s="3319"/>
      <c r="U6" s="3320"/>
      <c r="V6" s="3321"/>
      <c r="W6" s="3321"/>
      <c r="X6" s="1541"/>
      <c r="Y6" s="3319"/>
      <c r="Z6" s="3320"/>
      <c r="AA6" s="3293"/>
      <c r="AB6" s="3293"/>
      <c r="AC6" s="3293"/>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294" t="s">
        <v>2371</v>
      </c>
      <c r="Q7" s="3322"/>
      <c r="R7" s="710" t="s">
        <v>17</v>
      </c>
      <c r="S7" s="711">
        <f t="shared" ref="S7:S15" si="0">F7</f>
        <v>0</v>
      </c>
      <c r="T7" s="710" t="s">
        <v>17</v>
      </c>
      <c r="U7" s="711">
        <f t="shared" ref="U7:U15" si="1">H7</f>
        <v>0</v>
      </c>
      <c r="V7" s="710" t="s">
        <v>17</v>
      </c>
      <c r="W7" s="711">
        <f t="shared" ref="W7:W15" si="2">J7</f>
        <v>0</v>
      </c>
      <c r="X7" s="712"/>
      <c r="Y7" s="3294" t="s">
        <v>2371</v>
      </c>
      <c r="Z7" s="329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94" t="s">
        <v>2374</v>
      </c>
      <c r="Q8" s="3295"/>
      <c r="R8" s="710" t="s">
        <v>17</v>
      </c>
      <c r="S8" s="711">
        <f t="shared" si="0"/>
        <v>0</v>
      </c>
      <c r="T8" s="710" t="s">
        <v>17</v>
      </c>
      <c r="U8" s="711">
        <f t="shared" si="1"/>
        <v>0</v>
      </c>
      <c r="V8" s="710" t="s">
        <v>17</v>
      </c>
      <c r="W8" s="711">
        <f t="shared" si="2"/>
        <v>0</v>
      </c>
      <c r="X8" s="712"/>
      <c r="Y8" s="3294" t="s">
        <v>2374</v>
      </c>
      <c r="Z8" s="3295"/>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26"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326"/>
      <c r="Q10" s="1529" t="str">
        <f t="shared" si="6"/>
        <v>土地使用年限（年）</v>
      </c>
      <c r="R10" s="710" t="s">
        <v>17</v>
      </c>
      <c r="S10" s="711">
        <f t="shared" si="0"/>
        <v>112</v>
      </c>
      <c r="T10" s="710" t="s">
        <v>17</v>
      </c>
      <c r="U10" s="711">
        <f t="shared" si="1"/>
        <v>112</v>
      </c>
      <c r="V10" s="710" t="s">
        <v>17</v>
      </c>
      <c r="W10" s="711">
        <f t="shared" si="2"/>
        <v>112</v>
      </c>
      <c r="X10" s="712"/>
      <c r="Y10" s="3236"/>
      <c r="Z10" s="55" t="str">
        <f t="shared" si="7"/>
        <v>土地使用年限（年）</v>
      </c>
      <c r="AA10" s="713">
        <f t="shared" si="3"/>
        <v>0.8928571428571429</v>
      </c>
      <c r="AB10" s="713">
        <f t="shared" si="4"/>
        <v>0.8928571428571429</v>
      </c>
      <c r="AC10" s="713">
        <f t="shared" si="5"/>
        <v>0.8928571428571429</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26"/>
      <c r="Q11" s="1529"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26"/>
      <c r="Q12" s="1529" t="str">
        <f t="shared" si="6"/>
        <v>配建</v>
      </c>
      <c r="R12" s="710" t="s">
        <v>17</v>
      </c>
      <c r="S12" s="711">
        <f t="shared" si="0"/>
        <v>100</v>
      </c>
      <c r="T12" s="710" t="s">
        <v>17</v>
      </c>
      <c r="U12" s="711">
        <f t="shared" si="1"/>
        <v>100</v>
      </c>
      <c r="V12" s="710" t="s">
        <v>17</v>
      </c>
      <c r="W12" s="711">
        <f t="shared" si="2"/>
        <v>100</v>
      </c>
      <c r="X12" s="712"/>
      <c r="Y12" s="3236"/>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26"/>
      <c r="Q13" s="1529">
        <f t="shared" si="6"/>
        <v>111</v>
      </c>
      <c r="R13" s="710" t="s">
        <v>17</v>
      </c>
      <c r="S13" s="711">
        <f t="shared" si="0"/>
        <v>100</v>
      </c>
      <c r="T13" s="710" t="s">
        <v>17</v>
      </c>
      <c r="U13" s="711">
        <f t="shared" si="1"/>
        <v>100</v>
      </c>
      <c r="V13" s="710" t="s">
        <v>17</v>
      </c>
      <c r="W13" s="711">
        <f t="shared" si="2"/>
        <v>100</v>
      </c>
      <c r="X13" s="712"/>
      <c r="Y13" s="3236"/>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26"/>
      <c r="Q14" s="1529">
        <f t="shared" si="6"/>
        <v>111</v>
      </c>
      <c r="R14" s="710" t="s">
        <v>17</v>
      </c>
      <c r="S14" s="711">
        <f t="shared" si="0"/>
        <v>100</v>
      </c>
      <c r="T14" s="710" t="s">
        <v>17</v>
      </c>
      <c r="U14" s="711">
        <f t="shared" si="1"/>
        <v>100</v>
      </c>
      <c r="V14" s="710" t="s">
        <v>17</v>
      </c>
      <c r="W14" s="711">
        <f t="shared" si="2"/>
        <v>100</v>
      </c>
      <c r="X14" s="712"/>
      <c r="Y14" s="3236"/>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28" t="s">
        <v>2382</v>
      </c>
      <c r="Q15" s="1538" t="str">
        <f t="shared" si="6"/>
        <v>居住社区成熟度</v>
      </c>
      <c r="R15" s="714" t="s">
        <v>17</v>
      </c>
      <c r="S15" s="715">
        <f t="shared" si="0"/>
        <v>100</v>
      </c>
      <c r="T15" s="714" t="s">
        <v>17</v>
      </c>
      <c r="U15" s="715">
        <f t="shared" si="1"/>
        <v>100</v>
      </c>
      <c r="V15" s="714" t="s">
        <v>17</v>
      </c>
      <c r="W15" s="715">
        <f t="shared" si="2"/>
        <v>100</v>
      </c>
      <c r="X15" s="1541"/>
      <c r="Y15" s="3328"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29"/>
      <c r="Q16" s="1538"/>
      <c r="R16" s="714"/>
      <c r="S16" s="715"/>
      <c r="T16" s="714"/>
      <c r="U16" s="715"/>
      <c r="V16" s="714"/>
      <c r="W16" s="715"/>
      <c r="X16" s="1541"/>
      <c r="Y16" s="3329"/>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29"/>
      <c r="Q17" s="1538" t="str">
        <f>B17</f>
        <v>商业繁华度</v>
      </c>
      <c r="R17" s="714" t="s">
        <v>17</v>
      </c>
      <c r="S17" s="715">
        <f>F17</f>
        <v>100</v>
      </c>
      <c r="T17" s="714" t="s">
        <v>17</v>
      </c>
      <c r="U17" s="715">
        <f>H17</f>
        <v>100</v>
      </c>
      <c r="V17" s="714" t="s">
        <v>17</v>
      </c>
      <c r="W17" s="715">
        <f>J17</f>
        <v>100</v>
      </c>
      <c r="X17" s="1541"/>
      <c r="Y17" s="332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29"/>
      <c r="Q18" s="1538"/>
      <c r="R18" s="714"/>
      <c r="S18" s="715"/>
      <c r="T18" s="714"/>
      <c r="U18" s="715"/>
      <c r="V18" s="714"/>
      <c r="W18" s="715"/>
      <c r="X18" s="1541"/>
      <c r="Y18" s="3329"/>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29"/>
      <c r="Q19" s="1538" t="str">
        <f>B19</f>
        <v>办公集聚程度</v>
      </c>
      <c r="R19" s="714" t="s">
        <v>17</v>
      </c>
      <c r="S19" s="715">
        <f>F19</f>
        <v>100</v>
      </c>
      <c r="T19" s="714" t="s">
        <v>17</v>
      </c>
      <c r="U19" s="715">
        <f>H19</f>
        <v>100</v>
      </c>
      <c r="V19" s="714" t="s">
        <v>17</v>
      </c>
      <c r="W19" s="715">
        <f>J19</f>
        <v>100</v>
      </c>
      <c r="X19" s="1541"/>
      <c r="Y19" s="332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29"/>
      <c r="Q20" s="1538"/>
      <c r="R20" s="714"/>
      <c r="S20" s="715"/>
      <c r="T20" s="714"/>
      <c r="U20" s="715"/>
      <c r="V20" s="714"/>
      <c r="W20" s="715"/>
      <c r="X20" s="1541"/>
      <c r="Y20" s="3329"/>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29"/>
      <c r="Q21" s="1538" t="str">
        <f>B21</f>
        <v>交通便捷度</v>
      </c>
      <c r="R21" s="714" t="s">
        <v>17</v>
      </c>
      <c r="S21" s="715">
        <f>F21</f>
        <v>100</v>
      </c>
      <c r="T21" s="714" t="s">
        <v>17</v>
      </c>
      <c r="U21" s="715">
        <f>H21</f>
        <v>100</v>
      </c>
      <c r="V21" s="714" t="s">
        <v>17</v>
      </c>
      <c r="W21" s="715">
        <f>J21</f>
        <v>100</v>
      </c>
      <c r="X21" s="1541"/>
      <c r="Y21" s="332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29"/>
      <c r="Q22" s="1538"/>
      <c r="R22" s="714"/>
      <c r="S22" s="715"/>
      <c r="T22" s="714"/>
      <c r="U22" s="715"/>
      <c r="V22" s="714"/>
      <c r="W22" s="715"/>
      <c r="X22" s="1541"/>
      <c r="Y22" s="3329"/>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29"/>
      <c r="Q23" s="1538" t="str">
        <f t="shared" ref="Q23:Q37" si="8">B23</f>
        <v>区域土地利用方向</v>
      </c>
      <c r="R23" s="714" t="s">
        <v>17</v>
      </c>
      <c r="S23" s="715">
        <f>F23</f>
        <v>100</v>
      </c>
      <c r="T23" s="714" t="s">
        <v>17</v>
      </c>
      <c r="U23" s="715">
        <f>H23</f>
        <v>100</v>
      </c>
      <c r="V23" s="714" t="s">
        <v>17</v>
      </c>
      <c r="W23" s="715">
        <f>J23</f>
        <v>100</v>
      </c>
      <c r="X23" s="1541"/>
      <c r="Y23" s="332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29"/>
      <c r="Q24" s="1538"/>
      <c r="R24" s="714"/>
      <c r="S24" s="715"/>
      <c r="T24" s="714"/>
      <c r="U24" s="715"/>
      <c r="V24" s="714"/>
      <c r="W24" s="715"/>
      <c r="X24" s="1541"/>
      <c r="Y24" s="3329"/>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29"/>
      <c r="Q25" s="1538" t="str">
        <f t="shared" si="8"/>
        <v>自然及人文环境状况</v>
      </c>
      <c r="R25" s="714" t="s">
        <v>17</v>
      </c>
      <c r="S25" s="715">
        <f>F25</f>
        <v>100</v>
      </c>
      <c r="T25" s="714" t="s">
        <v>17</v>
      </c>
      <c r="U25" s="715">
        <f>H25</f>
        <v>100</v>
      </c>
      <c r="V25" s="714" t="s">
        <v>17</v>
      </c>
      <c r="W25" s="715">
        <f>J25</f>
        <v>100</v>
      </c>
      <c r="X25" s="1541"/>
      <c r="Y25" s="332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29"/>
      <c r="Q26" s="1538"/>
      <c r="R26" s="714"/>
      <c r="S26" s="715"/>
      <c r="T26" s="714"/>
      <c r="U26" s="715"/>
      <c r="V26" s="714"/>
      <c r="W26" s="715"/>
      <c r="X26" s="1541"/>
      <c r="Y26" s="3329"/>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29"/>
      <c r="Q27" s="1529" t="str">
        <f t="shared" si="8"/>
        <v>公共配套设施</v>
      </c>
      <c r="R27" s="710" t="s">
        <v>17</v>
      </c>
      <c r="S27" s="711">
        <f>F27</f>
        <v>100</v>
      </c>
      <c r="T27" s="710" t="s">
        <v>17</v>
      </c>
      <c r="U27" s="711">
        <f>H27</f>
        <v>100</v>
      </c>
      <c r="V27" s="710" t="s">
        <v>17</v>
      </c>
      <c r="W27" s="711">
        <f>J27</f>
        <v>100</v>
      </c>
      <c r="X27" s="712"/>
      <c r="Y27" s="3329"/>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29"/>
      <c r="Q28" s="1529"/>
      <c r="R28" s="710"/>
      <c r="S28" s="711"/>
      <c r="T28" s="710"/>
      <c r="U28" s="711"/>
      <c r="V28" s="710"/>
      <c r="W28" s="711"/>
      <c r="X28" s="712"/>
      <c r="Y28" s="3329"/>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29"/>
      <c r="Q29" s="1529" t="str">
        <f t="shared" ref="Q29" si="9">B29</f>
        <v>基础设施水平</v>
      </c>
      <c r="R29" s="710" t="s">
        <v>17</v>
      </c>
      <c r="S29" s="711">
        <f>F29</f>
        <v>100</v>
      </c>
      <c r="T29" s="710" t="s">
        <v>17</v>
      </c>
      <c r="U29" s="711">
        <f>H29</f>
        <v>100</v>
      </c>
      <c r="V29" s="710" t="s">
        <v>17</v>
      </c>
      <c r="W29" s="711">
        <f>J29</f>
        <v>100</v>
      </c>
      <c r="X29" s="712"/>
      <c r="Y29" s="3329"/>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29"/>
      <c r="Q30" s="1529"/>
      <c r="R30" s="710"/>
      <c r="S30" s="711"/>
      <c r="T30" s="710"/>
      <c r="U30" s="711"/>
      <c r="V30" s="710"/>
      <c r="W30" s="711"/>
      <c r="X30" s="712"/>
      <c r="Y30" s="3329"/>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2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29"/>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29"/>
      <c r="Q32" s="1538" t="str">
        <f t="shared" si="8"/>
        <v>毗邻道路的类型与等级</v>
      </c>
      <c r="R32" s="714" t="s">
        <v>17</v>
      </c>
      <c r="S32" s="715">
        <f t="shared" si="10"/>
        <v>100</v>
      </c>
      <c r="T32" s="714" t="s">
        <v>17</v>
      </c>
      <c r="U32" s="715">
        <f t="shared" si="11"/>
        <v>100</v>
      </c>
      <c r="V32" s="714" t="s">
        <v>17</v>
      </c>
      <c r="W32" s="715">
        <f t="shared" si="12"/>
        <v>100</v>
      </c>
      <c r="X32" s="1541"/>
      <c r="Y32" s="332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29"/>
      <c r="Q33" s="1538"/>
      <c r="R33" s="714"/>
      <c r="S33" s="715"/>
      <c r="T33" s="714"/>
      <c r="U33" s="715"/>
      <c r="V33" s="714"/>
      <c r="W33" s="715"/>
      <c r="X33" s="1541"/>
      <c r="Y33" s="3329"/>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29"/>
      <c r="Q34" s="1538" t="str">
        <f t="shared" si="8"/>
        <v>土地级别</v>
      </c>
      <c r="R34" s="714" t="s">
        <v>17</v>
      </c>
      <c r="S34" s="715">
        <f t="shared" si="10"/>
        <v>100</v>
      </c>
      <c r="T34" s="714" t="s">
        <v>17</v>
      </c>
      <c r="U34" s="715">
        <f t="shared" si="11"/>
        <v>100</v>
      </c>
      <c r="V34" s="714" t="s">
        <v>17</v>
      </c>
      <c r="W34" s="715">
        <f t="shared" si="12"/>
        <v>100</v>
      </c>
      <c r="X34" s="1541"/>
      <c r="Y34" s="332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29"/>
      <c r="Q35" s="1538">
        <f t="shared" si="8"/>
        <v>111</v>
      </c>
      <c r="R35" s="714" t="s">
        <v>17</v>
      </c>
      <c r="S35" s="715">
        <f t="shared" si="10"/>
        <v>100</v>
      </c>
      <c r="T35" s="714" t="s">
        <v>17</v>
      </c>
      <c r="U35" s="715">
        <f t="shared" si="11"/>
        <v>100</v>
      </c>
      <c r="V35" s="714" t="s">
        <v>17</v>
      </c>
      <c r="W35" s="715">
        <f t="shared" si="12"/>
        <v>100</v>
      </c>
      <c r="X35" s="1541"/>
      <c r="Y35" s="332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8" t="s">
        <v>2387</v>
      </c>
      <c r="Q36" s="1538">
        <f t="shared" si="8"/>
        <v>111</v>
      </c>
      <c r="R36" s="714" t="s">
        <v>17</v>
      </c>
      <c r="S36" s="715">
        <f t="shared" si="10"/>
        <v>100</v>
      </c>
      <c r="T36" s="714" t="s">
        <v>17</v>
      </c>
      <c r="U36" s="715">
        <f t="shared" si="11"/>
        <v>100</v>
      </c>
      <c r="V36" s="714" t="s">
        <v>17</v>
      </c>
      <c r="W36" s="715">
        <f t="shared" si="12"/>
        <v>100</v>
      </c>
      <c r="X36" s="1541"/>
      <c r="Y36" s="3333"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33"/>
      <c r="Q37" s="1538">
        <f t="shared" si="8"/>
        <v>111</v>
      </c>
      <c r="R37" s="717" t="s">
        <v>17</v>
      </c>
      <c r="S37" s="718">
        <f t="shared" si="10"/>
        <v>100</v>
      </c>
      <c r="T37" s="717" t="s">
        <v>17</v>
      </c>
      <c r="U37" s="718">
        <f t="shared" si="11"/>
        <v>100</v>
      </c>
      <c r="V37" s="717" t="s">
        <v>17</v>
      </c>
      <c r="W37" s="718">
        <f t="shared" si="12"/>
        <v>100</v>
      </c>
      <c r="X37" s="719"/>
      <c r="Y37" s="3333"/>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33"/>
      <c r="Q38" s="1538" t="str">
        <f>B38</f>
        <v>宗地面积</v>
      </c>
      <c r="R38" s="714" t="s">
        <v>17</v>
      </c>
      <c r="S38" s="715" t="e">
        <f t="shared" si="10"/>
        <v>#N/A</v>
      </c>
      <c r="T38" s="714" t="s">
        <v>17</v>
      </c>
      <c r="U38" s="715" t="e">
        <f t="shared" si="11"/>
        <v>#N/A</v>
      </c>
      <c r="V38" s="714" t="s">
        <v>17</v>
      </c>
      <c r="W38" s="715" t="e">
        <f t="shared" si="12"/>
        <v>#N/A</v>
      </c>
      <c r="X38" s="1541"/>
      <c r="Y38" s="3333"/>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33"/>
      <c r="Q39" s="1538" t="str">
        <f t="shared" ref="Q39:Q45" si="14">B39</f>
        <v>宗地形状</v>
      </c>
      <c r="R39" s="714" t="s">
        <v>17</v>
      </c>
      <c r="S39" s="715">
        <f t="shared" si="10"/>
        <v>100</v>
      </c>
      <c r="T39" s="714" t="s">
        <v>17</v>
      </c>
      <c r="U39" s="715">
        <f t="shared" si="11"/>
        <v>100</v>
      </c>
      <c r="V39" s="714" t="s">
        <v>17</v>
      </c>
      <c r="W39" s="715">
        <f t="shared" si="12"/>
        <v>100</v>
      </c>
      <c r="X39" s="1541"/>
      <c r="Y39" s="3333"/>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33"/>
      <c r="Q40" s="1538" t="str">
        <f t="shared" si="14"/>
        <v>临街宽度及深度</v>
      </c>
      <c r="R40" s="714" t="s">
        <v>17</v>
      </c>
      <c r="S40" s="715">
        <f t="shared" si="10"/>
        <v>100</v>
      </c>
      <c r="T40" s="714" t="s">
        <v>17</v>
      </c>
      <c r="U40" s="715">
        <f t="shared" si="11"/>
        <v>100</v>
      </c>
      <c r="V40" s="714" t="s">
        <v>17</v>
      </c>
      <c r="W40" s="715">
        <f t="shared" si="12"/>
        <v>100</v>
      </c>
      <c r="X40" s="1541"/>
      <c r="Y40" s="3333"/>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33"/>
      <c r="Q41" s="1538" t="str">
        <f t="shared" si="14"/>
        <v>宗地开发程度</v>
      </c>
      <c r="R41" s="710" t="s">
        <v>17</v>
      </c>
      <c r="S41" s="711">
        <f t="shared" si="10"/>
        <v>100</v>
      </c>
      <c r="T41" s="710" t="s">
        <v>17</v>
      </c>
      <c r="U41" s="711">
        <f t="shared" si="11"/>
        <v>100</v>
      </c>
      <c r="V41" s="710" t="s">
        <v>17</v>
      </c>
      <c r="W41" s="711">
        <f t="shared" si="12"/>
        <v>100</v>
      </c>
      <c r="X41" s="712"/>
      <c r="Y41" s="3333"/>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33" t="s">
        <v>2387</v>
      </c>
      <c r="Q42" s="1538" t="str">
        <f t="shared" si="14"/>
        <v>工程地质条件</v>
      </c>
      <c r="R42" s="714" t="s">
        <v>17</v>
      </c>
      <c r="S42" s="715">
        <f t="shared" si="10"/>
        <v>100</v>
      </c>
      <c r="T42" s="714" t="s">
        <v>17</v>
      </c>
      <c r="U42" s="715">
        <f t="shared" si="11"/>
        <v>100</v>
      </c>
      <c r="V42" s="714" t="s">
        <v>17</v>
      </c>
      <c r="W42" s="715">
        <f t="shared" si="12"/>
        <v>100</v>
      </c>
      <c r="X42" s="1541"/>
      <c r="Y42" s="3333"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33"/>
      <c r="Q43" s="1538">
        <f t="shared" si="14"/>
        <v>111</v>
      </c>
      <c r="R43" s="714" t="s">
        <v>17</v>
      </c>
      <c r="S43" s="715">
        <f t="shared" si="10"/>
        <v>100</v>
      </c>
      <c r="T43" s="714" t="s">
        <v>17</v>
      </c>
      <c r="U43" s="715">
        <f t="shared" si="11"/>
        <v>100</v>
      </c>
      <c r="V43" s="714" t="s">
        <v>17</v>
      </c>
      <c r="W43" s="715">
        <f t="shared" si="12"/>
        <v>100</v>
      </c>
      <c r="X43" s="1541"/>
      <c r="Y43" s="333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33"/>
      <c r="Q44" s="1538">
        <f t="shared" si="14"/>
        <v>111</v>
      </c>
      <c r="R44" s="714" t="s">
        <v>17</v>
      </c>
      <c r="S44" s="715">
        <f t="shared" si="10"/>
        <v>100</v>
      </c>
      <c r="T44" s="714" t="s">
        <v>17</v>
      </c>
      <c r="U44" s="715">
        <f t="shared" si="11"/>
        <v>100</v>
      </c>
      <c r="V44" s="714" t="s">
        <v>17</v>
      </c>
      <c r="W44" s="715">
        <f t="shared" si="12"/>
        <v>100</v>
      </c>
      <c r="X44" s="1541"/>
      <c r="Y44" s="3333"/>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33"/>
      <c r="Q45" s="1538">
        <f t="shared" si="14"/>
        <v>111</v>
      </c>
      <c r="R45" s="717" t="s">
        <v>17</v>
      </c>
      <c r="S45" s="718">
        <f t="shared" si="10"/>
        <v>100</v>
      </c>
      <c r="T45" s="717" t="s">
        <v>17</v>
      </c>
      <c r="U45" s="718">
        <f t="shared" si="11"/>
        <v>100</v>
      </c>
      <c r="V45" s="717" t="s">
        <v>17</v>
      </c>
      <c r="W45" s="718">
        <f t="shared" si="12"/>
        <v>100</v>
      </c>
      <c r="X45" s="719"/>
      <c r="Y45" s="3333"/>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26" t="str">
        <f>A46</f>
        <v>成交单价</v>
      </c>
      <c r="Q46" s="3326"/>
      <c r="R46" s="3321">
        <f>E46</f>
        <v>0</v>
      </c>
      <c r="S46" s="3321"/>
      <c r="T46" s="3321">
        <f>G46</f>
        <v>0</v>
      </c>
      <c r="U46" s="3321"/>
      <c r="V46" s="3321">
        <f>I46</f>
        <v>0</v>
      </c>
      <c r="W46" s="3321"/>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26" t="str">
        <f>A47</f>
        <v>比较价值（元/平方米）</v>
      </c>
      <c r="Q47" s="3326"/>
      <c r="R47" s="3360" t="e">
        <f>ROUND(PRODUCT(R46,AA7:AA45),0)</f>
        <v>#DIV/0!</v>
      </c>
      <c r="S47" s="3360"/>
      <c r="T47" s="3360" t="e">
        <f>ROUND(PRODUCT(T46,AB7:AB45),0)</f>
        <v>#DIV/0!</v>
      </c>
      <c r="U47" s="3360"/>
      <c r="V47" s="3360" t="e">
        <f>ROUND(PRODUCT(V46,AC7:AC45),0)</f>
        <v>#DIV/0!</v>
      </c>
      <c r="W47" s="3360"/>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23" t="str">
        <f>A48</f>
        <v>估价对象XX用房的比较价值（楼面单价，元/平方米）</v>
      </c>
      <c r="Q48" s="3324"/>
      <c r="R48" s="3361" t="e">
        <f>ROUND(IF(D47="简单平均",AVERAGE(R47:W47),R47*F47+T47*H47+V47*J47),0)</f>
        <v>#DIV/0!</v>
      </c>
      <c r="S48" s="3361"/>
      <c r="T48" s="3361"/>
      <c r="U48" s="3361"/>
      <c r="V48" s="3361"/>
      <c r="W48" s="336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09" t="s">
        <v>2586</v>
      </c>
      <c r="H55" s="3362"/>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1266.6499999999999</v>
      </c>
      <c r="F56" s="1017" t="e">
        <f t="shared" ref="F56:F65" si="15">ROUND(B56*E56/10000,0)</f>
        <v>#DIV/0!</v>
      </c>
      <c r="G56" s="3308"/>
      <c r="H56" s="332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63"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6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6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6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1266.6499999999999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9" t="s">
        <v>2468</v>
      </c>
      <c r="D4" s="3310"/>
      <c r="E4" s="3311" t="s">
        <v>2469</v>
      </c>
      <c r="F4" s="3312"/>
      <c r="G4" s="3309" t="s">
        <v>2470</v>
      </c>
      <c r="H4" s="3310"/>
      <c r="I4" s="3309" t="s">
        <v>2471</v>
      </c>
      <c r="J4" s="3310"/>
      <c r="K4" s="567" t="s">
        <v>2472</v>
      </c>
      <c r="L4" s="2943"/>
      <c r="M4" s="2944"/>
      <c r="N4" s="2944"/>
      <c r="O4" s="2944"/>
      <c r="P4" s="3313" t="s">
        <v>2473</v>
      </c>
      <c r="Q4" s="3314"/>
      <c r="R4" s="3296" t="s">
        <v>2469</v>
      </c>
      <c r="S4" s="3297"/>
      <c r="T4" s="3296" t="s">
        <v>2470</v>
      </c>
      <c r="U4" s="3297"/>
      <c r="V4" s="3321" t="s">
        <v>2471</v>
      </c>
      <c r="W4" s="3321"/>
      <c r="X4" s="1541"/>
      <c r="Y4" s="3296" t="s">
        <v>2473</v>
      </c>
      <c r="Z4" s="3297"/>
      <c r="AA4" s="3291" t="s">
        <v>2469</v>
      </c>
      <c r="AB4" s="3292" t="s">
        <v>2470</v>
      </c>
      <c r="AC4" s="3291" t="s">
        <v>2471</v>
      </c>
    </row>
    <row r="5" spans="1:29" ht="15">
      <c r="A5" s="364"/>
      <c r="B5" s="365"/>
      <c r="C5" s="3302" t="s">
        <v>2364</v>
      </c>
      <c r="D5" s="3303"/>
      <c r="E5" s="3300" t="s">
        <v>2365</v>
      </c>
      <c r="F5" s="3301"/>
      <c r="G5" s="3302" t="s">
        <v>2366</v>
      </c>
      <c r="H5" s="3303"/>
      <c r="I5" s="3302" t="s">
        <v>2367</v>
      </c>
      <c r="J5" s="3303"/>
      <c r="K5" s="567"/>
      <c r="L5" s="2943"/>
      <c r="M5" s="2944"/>
      <c r="N5" s="2944"/>
      <c r="O5" s="2944"/>
      <c r="P5" s="3315"/>
      <c r="Q5" s="3316"/>
      <c r="R5" s="3298"/>
      <c r="S5" s="3299"/>
      <c r="T5" s="3298"/>
      <c r="U5" s="3299"/>
      <c r="V5" s="3321"/>
      <c r="W5" s="3321"/>
      <c r="X5" s="1541"/>
      <c r="Y5" s="3298"/>
      <c r="Z5" s="3299"/>
      <c r="AA5" s="3292"/>
      <c r="AB5" s="3292"/>
      <c r="AC5" s="3292"/>
    </row>
    <row r="6" spans="1:29" ht="15.75" thickBot="1">
      <c r="A6" s="366"/>
      <c r="B6" s="367"/>
      <c r="C6" s="3364" t="s">
        <v>2619</v>
      </c>
      <c r="D6" s="3365"/>
      <c r="E6" s="3366" t="s">
        <v>2619</v>
      </c>
      <c r="F6" s="3367"/>
      <c r="G6" s="3364" t="s">
        <v>2619</v>
      </c>
      <c r="H6" s="3365"/>
      <c r="I6" s="3364" t="s">
        <v>2619</v>
      </c>
      <c r="J6" s="3365"/>
      <c r="K6" s="567" t="s">
        <v>2369</v>
      </c>
      <c r="L6" s="2943"/>
      <c r="M6" s="2944"/>
      <c r="N6" s="2944"/>
      <c r="O6" s="2944"/>
      <c r="P6" s="3317"/>
      <c r="Q6" s="3318"/>
      <c r="R6" s="3298"/>
      <c r="S6" s="3299"/>
      <c r="T6" s="3319"/>
      <c r="U6" s="3320"/>
      <c r="V6" s="3321"/>
      <c r="W6" s="3321"/>
      <c r="X6" s="1541"/>
      <c r="Y6" s="3319"/>
      <c r="Z6" s="3320"/>
      <c r="AA6" s="3293"/>
      <c r="AB6" s="3293"/>
      <c r="AC6" s="3293"/>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294" t="s">
        <v>2371</v>
      </c>
      <c r="Q7" s="3322"/>
      <c r="R7" s="710" t="s">
        <v>17</v>
      </c>
      <c r="S7" s="711">
        <f t="shared" ref="S7:S15" si="0">F7</f>
        <v>0</v>
      </c>
      <c r="T7" s="710" t="s">
        <v>17</v>
      </c>
      <c r="U7" s="711">
        <f t="shared" ref="U7:U15" si="1">H7</f>
        <v>0</v>
      </c>
      <c r="V7" s="710" t="s">
        <v>17</v>
      </c>
      <c r="W7" s="711">
        <f t="shared" ref="W7:W15" si="2">J7</f>
        <v>0</v>
      </c>
      <c r="X7" s="712"/>
      <c r="Y7" s="3294" t="s">
        <v>2371</v>
      </c>
      <c r="Z7" s="329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94" t="s">
        <v>2374</v>
      </c>
      <c r="Q8" s="3295"/>
      <c r="R8" s="710" t="s">
        <v>17</v>
      </c>
      <c r="S8" s="711">
        <f t="shared" si="0"/>
        <v>0</v>
      </c>
      <c r="T8" s="710" t="s">
        <v>17</v>
      </c>
      <c r="U8" s="711">
        <f t="shared" si="1"/>
        <v>0</v>
      </c>
      <c r="V8" s="710" t="s">
        <v>17</v>
      </c>
      <c r="W8" s="711">
        <f t="shared" si="2"/>
        <v>0</v>
      </c>
      <c r="X8" s="712"/>
      <c r="Y8" s="3294" t="s">
        <v>2374</v>
      </c>
      <c r="Z8" s="3295"/>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26"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326"/>
      <c r="Q10" s="1529" t="str">
        <f t="shared" si="6"/>
        <v>土地使用年限（年）</v>
      </c>
      <c r="R10" s="710" t="s">
        <v>17</v>
      </c>
      <c r="S10" s="711">
        <f t="shared" si="0"/>
        <v>112</v>
      </c>
      <c r="T10" s="710" t="s">
        <v>17</v>
      </c>
      <c r="U10" s="711">
        <f t="shared" si="1"/>
        <v>112</v>
      </c>
      <c r="V10" s="710" t="s">
        <v>17</v>
      </c>
      <c r="W10" s="711">
        <f t="shared" si="2"/>
        <v>112</v>
      </c>
      <c r="X10" s="712"/>
      <c r="Y10" s="3236"/>
      <c r="Z10" s="55" t="str">
        <f t="shared" si="7"/>
        <v>土地使用年限（年）</v>
      </c>
      <c r="AA10" s="713">
        <f t="shared" si="3"/>
        <v>0.8928571428571429</v>
      </c>
      <c r="AB10" s="713">
        <f t="shared" si="4"/>
        <v>0.8928571428571429</v>
      </c>
      <c r="AC10" s="713">
        <f t="shared" si="5"/>
        <v>0.8928571428571429</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26"/>
      <c r="Q11" s="1529"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2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2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26"/>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28" t="s">
        <v>2382</v>
      </c>
      <c r="Q15" s="1538" t="str">
        <f t="shared" si="6"/>
        <v>产业集聚程度</v>
      </c>
      <c r="R15" s="714" t="s">
        <v>17</v>
      </c>
      <c r="S15" s="715">
        <f t="shared" si="0"/>
        <v>100</v>
      </c>
      <c r="T15" s="714" t="s">
        <v>17</v>
      </c>
      <c r="U15" s="715">
        <f t="shared" si="1"/>
        <v>100</v>
      </c>
      <c r="V15" s="714" t="s">
        <v>17</v>
      </c>
      <c r="W15" s="715">
        <f t="shared" si="2"/>
        <v>100</v>
      </c>
      <c r="X15" s="1541"/>
      <c r="Y15" s="3328"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29"/>
      <c r="Q16" s="1538"/>
      <c r="R16" s="714"/>
      <c r="S16" s="715"/>
      <c r="T16" s="714"/>
      <c r="U16" s="715"/>
      <c r="V16" s="714"/>
      <c r="W16" s="715"/>
      <c r="X16" s="1541"/>
      <c r="Y16" s="3329"/>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29"/>
      <c r="Q17" s="1538" t="str">
        <f>B17</f>
        <v>交通便捷度</v>
      </c>
      <c r="R17" s="714" t="s">
        <v>17</v>
      </c>
      <c r="S17" s="715">
        <f>F17</f>
        <v>100</v>
      </c>
      <c r="T17" s="714" t="s">
        <v>17</v>
      </c>
      <c r="U17" s="715">
        <f>H17</f>
        <v>100</v>
      </c>
      <c r="V17" s="714" t="s">
        <v>17</v>
      </c>
      <c r="W17" s="715">
        <f>J17</f>
        <v>100</v>
      </c>
      <c r="X17" s="1541"/>
      <c r="Y17" s="332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29"/>
      <c r="Q18" s="1538"/>
      <c r="R18" s="714"/>
      <c r="S18" s="715"/>
      <c r="T18" s="714"/>
      <c r="U18" s="715"/>
      <c r="V18" s="714"/>
      <c r="W18" s="715"/>
      <c r="X18" s="1541"/>
      <c r="Y18" s="3329"/>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29"/>
      <c r="Q19" s="1538" t="str">
        <f t="shared" ref="Q19:Q33" si="8">B19</f>
        <v>区域土地利用方向</v>
      </c>
      <c r="R19" s="714" t="s">
        <v>17</v>
      </c>
      <c r="S19" s="715">
        <f>F19</f>
        <v>100</v>
      </c>
      <c r="T19" s="714" t="s">
        <v>17</v>
      </c>
      <c r="U19" s="715">
        <f>H19</f>
        <v>100</v>
      </c>
      <c r="V19" s="714" t="s">
        <v>17</v>
      </c>
      <c r="W19" s="715">
        <f>J19</f>
        <v>100</v>
      </c>
      <c r="X19" s="1541"/>
      <c r="Y19" s="332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29"/>
      <c r="Q20" s="1538"/>
      <c r="R20" s="714"/>
      <c r="S20" s="715"/>
      <c r="T20" s="714"/>
      <c r="U20" s="715"/>
      <c r="V20" s="714"/>
      <c r="W20" s="715"/>
      <c r="X20" s="1541"/>
      <c r="Y20" s="3329"/>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29"/>
      <c r="Q21" s="1538" t="str">
        <f t="shared" si="8"/>
        <v>环境状况</v>
      </c>
      <c r="R21" s="714" t="s">
        <v>17</v>
      </c>
      <c r="S21" s="715">
        <f>F21</f>
        <v>100</v>
      </c>
      <c r="T21" s="714" t="s">
        <v>17</v>
      </c>
      <c r="U21" s="715">
        <f>H21</f>
        <v>100</v>
      </c>
      <c r="V21" s="714" t="s">
        <v>17</v>
      </c>
      <c r="W21" s="715">
        <f>J21</f>
        <v>100</v>
      </c>
      <c r="X21" s="1541"/>
      <c r="Y21" s="332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29"/>
      <c r="Q22" s="1538"/>
      <c r="R22" s="714"/>
      <c r="S22" s="715"/>
      <c r="T22" s="714"/>
      <c r="U22" s="715"/>
      <c r="V22" s="714"/>
      <c r="W22" s="715"/>
      <c r="X22" s="1541"/>
      <c r="Y22" s="3329"/>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29"/>
      <c r="Q23" s="1529" t="str">
        <f t="shared" si="8"/>
        <v>公共配套设施</v>
      </c>
      <c r="R23" s="710" t="s">
        <v>17</v>
      </c>
      <c r="S23" s="711">
        <f>F23</f>
        <v>100</v>
      </c>
      <c r="T23" s="710" t="s">
        <v>17</v>
      </c>
      <c r="U23" s="711">
        <f>H23</f>
        <v>100</v>
      </c>
      <c r="V23" s="710" t="s">
        <v>17</v>
      </c>
      <c r="W23" s="711">
        <f>J23</f>
        <v>100</v>
      </c>
      <c r="X23" s="712"/>
      <c r="Y23" s="3329"/>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29"/>
      <c r="Q24" s="1529"/>
      <c r="R24" s="710"/>
      <c r="S24" s="711"/>
      <c r="T24" s="710"/>
      <c r="U24" s="711"/>
      <c r="V24" s="710"/>
      <c r="W24" s="711"/>
      <c r="X24" s="712"/>
      <c r="Y24" s="3329"/>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29"/>
      <c r="Q25" s="1529" t="str">
        <f t="shared" ref="Q25" si="9">B25</f>
        <v>基础设施水平</v>
      </c>
      <c r="R25" s="710" t="s">
        <v>17</v>
      </c>
      <c r="S25" s="711">
        <f>F25</f>
        <v>100</v>
      </c>
      <c r="T25" s="710" t="s">
        <v>17</v>
      </c>
      <c r="U25" s="711">
        <f>H25</f>
        <v>100</v>
      </c>
      <c r="V25" s="710" t="s">
        <v>17</v>
      </c>
      <c r="W25" s="711">
        <f>J25</f>
        <v>100</v>
      </c>
      <c r="X25" s="712"/>
      <c r="Y25" s="3329"/>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29"/>
      <c r="Q26" s="1529"/>
      <c r="R26" s="710"/>
      <c r="S26" s="711"/>
      <c r="T26" s="710"/>
      <c r="U26" s="711"/>
      <c r="V26" s="710"/>
      <c r="W26" s="711"/>
      <c r="X26" s="712"/>
      <c r="Y26" s="3329"/>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2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29"/>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29"/>
      <c r="Q28" s="1538" t="str">
        <f t="shared" si="8"/>
        <v>毗邻道路的类型与等级</v>
      </c>
      <c r="R28" s="714" t="s">
        <v>17</v>
      </c>
      <c r="S28" s="715">
        <f t="shared" si="10"/>
        <v>100</v>
      </c>
      <c r="T28" s="714" t="s">
        <v>17</v>
      </c>
      <c r="U28" s="715">
        <f t="shared" si="11"/>
        <v>100</v>
      </c>
      <c r="V28" s="714" t="s">
        <v>17</v>
      </c>
      <c r="W28" s="715">
        <f t="shared" si="12"/>
        <v>100</v>
      </c>
      <c r="X28" s="1541"/>
      <c r="Y28" s="332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29"/>
      <c r="Q29" s="1538"/>
      <c r="R29" s="714"/>
      <c r="S29" s="715"/>
      <c r="T29" s="714"/>
      <c r="U29" s="715"/>
      <c r="V29" s="714"/>
      <c r="W29" s="715"/>
      <c r="X29" s="1541"/>
      <c r="Y29" s="3329"/>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29"/>
      <c r="Q30" s="1538" t="str">
        <f t="shared" si="8"/>
        <v>土地级别</v>
      </c>
      <c r="R30" s="714" t="s">
        <v>17</v>
      </c>
      <c r="S30" s="715">
        <f t="shared" si="10"/>
        <v>100</v>
      </c>
      <c r="T30" s="714" t="s">
        <v>17</v>
      </c>
      <c r="U30" s="715">
        <f t="shared" si="11"/>
        <v>100</v>
      </c>
      <c r="V30" s="714" t="s">
        <v>17</v>
      </c>
      <c r="W30" s="715">
        <f t="shared" si="12"/>
        <v>100</v>
      </c>
      <c r="X30" s="1541"/>
      <c r="Y30" s="3329"/>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29"/>
      <c r="Q31" s="1538">
        <f t="shared" si="8"/>
        <v>111</v>
      </c>
      <c r="R31" s="714" t="s">
        <v>17</v>
      </c>
      <c r="S31" s="715">
        <f t="shared" si="10"/>
        <v>100</v>
      </c>
      <c r="T31" s="714" t="s">
        <v>17</v>
      </c>
      <c r="U31" s="715">
        <f t="shared" si="11"/>
        <v>100</v>
      </c>
      <c r="V31" s="714" t="s">
        <v>17</v>
      </c>
      <c r="W31" s="715">
        <f t="shared" si="12"/>
        <v>100</v>
      </c>
      <c r="X31" s="1541"/>
      <c r="Y31" s="3329"/>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8" t="s">
        <v>2387</v>
      </c>
      <c r="Q32" s="1538">
        <f t="shared" si="8"/>
        <v>111</v>
      </c>
      <c r="R32" s="714" t="s">
        <v>17</v>
      </c>
      <c r="S32" s="715">
        <f t="shared" si="10"/>
        <v>100</v>
      </c>
      <c r="T32" s="714" t="s">
        <v>17</v>
      </c>
      <c r="U32" s="715">
        <f t="shared" si="11"/>
        <v>100</v>
      </c>
      <c r="V32" s="714" t="s">
        <v>17</v>
      </c>
      <c r="W32" s="715">
        <f t="shared" si="12"/>
        <v>100</v>
      </c>
      <c r="X32" s="1541"/>
      <c r="Y32" s="3333"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33"/>
      <c r="Q33" s="1538">
        <f t="shared" si="8"/>
        <v>111</v>
      </c>
      <c r="R33" s="717" t="s">
        <v>17</v>
      </c>
      <c r="S33" s="718">
        <f t="shared" si="10"/>
        <v>100</v>
      </c>
      <c r="T33" s="717" t="s">
        <v>17</v>
      </c>
      <c r="U33" s="718">
        <f t="shared" si="11"/>
        <v>100</v>
      </c>
      <c r="V33" s="717" t="s">
        <v>17</v>
      </c>
      <c r="W33" s="718">
        <f t="shared" si="12"/>
        <v>100</v>
      </c>
      <c r="X33" s="719"/>
      <c r="Y33" s="3333"/>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33"/>
      <c r="Q34" s="1538" t="str">
        <f>B34</f>
        <v>宗地面积</v>
      </c>
      <c r="R34" s="714" t="s">
        <v>17</v>
      </c>
      <c r="S34" s="715" t="e">
        <f t="shared" si="10"/>
        <v>#N/A</v>
      </c>
      <c r="T34" s="714" t="s">
        <v>17</v>
      </c>
      <c r="U34" s="715" t="e">
        <f t="shared" si="11"/>
        <v>#N/A</v>
      </c>
      <c r="V34" s="714" t="s">
        <v>17</v>
      </c>
      <c r="W34" s="715" t="e">
        <f t="shared" si="12"/>
        <v>#N/A</v>
      </c>
      <c r="X34" s="1541"/>
      <c r="Y34" s="3333"/>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33"/>
      <c r="Q35" s="1538" t="str">
        <f t="shared" ref="Q35:Q40" si="14">B35</f>
        <v>宗地形状</v>
      </c>
      <c r="R35" s="714" t="s">
        <v>17</v>
      </c>
      <c r="S35" s="715">
        <f t="shared" si="10"/>
        <v>100</v>
      </c>
      <c r="T35" s="714" t="s">
        <v>17</v>
      </c>
      <c r="U35" s="715">
        <f t="shared" si="11"/>
        <v>100</v>
      </c>
      <c r="V35" s="714" t="s">
        <v>17</v>
      </c>
      <c r="W35" s="715">
        <f t="shared" si="12"/>
        <v>100</v>
      </c>
      <c r="X35" s="1541"/>
      <c r="Y35" s="3333"/>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33"/>
      <c r="Q36" s="1538" t="str">
        <f t="shared" si="14"/>
        <v>宗地开发程度</v>
      </c>
      <c r="R36" s="710" t="s">
        <v>17</v>
      </c>
      <c r="S36" s="711">
        <f t="shared" si="10"/>
        <v>100</v>
      </c>
      <c r="T36" s="710" t="s">
        <v>17</v>
      </c>
      <c r="U36" s="711">
        <f t="shared" si="11"/>
        <v>100</v>
      </c>
      <c r="V36" s="710" t="s">
        <v>17</v>
      </c>
      <c r="W36" s="711">
        <f t="shared" si="12"/>
        <v>100</v>
      </c>
      <c r="X36" s="712"/>
      <c r="Y36" s="3333"/>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33" t="s">
        <v>2387</v>
      </c>
      <c r="Q37" s="1538" t="str">
        <f t="shared" si="14"/>
        <v>工程地质条件</v>
      </c>
      <c r="R37" s="714" t="s">
        <v>17</v>
      </c>
      <c r="S37" s="715">
        <f t="shared" si="10"/>
        <v>100</v>
      </c>
      <c r="T37" s="714" t="s">
        <v>17</v>
      </c>
      <c r="U37" s="715">
        <f t="shared" si="11"/>
        <v>100</v>
      </c>
      <c r="V37" s="714" t="s">
        <v>17</v>
      </c>
      <c r="W37" s="715">
        <f t="shared" si="12"/>
        <v>100</v>
      </c>
      <c r="X37" s="1541"/>
      <c r="Y37" s="3333"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33"/>
      <c r="Q38" s="1538">
        <f t="shared" si="14"/>
        <v>111</v>
      </c>
      <c r="R38" s="714" t="s">
        <v>17</v>
      </c>
      <c r="S38" s="715">
        <f t="shared" si="10"/>
        <v>100</v>
      </c>
      <c r="T38" s="714" t="s">
        <v>17</v>
      </c>
      <c r="U38" s="715">
        <f t="shared" si="11"/>
        <v>100</v>
      </c>
      <c r="V38" s="714" t="s">
        <v>17</v>
      </c>
      <c r="W38" s="715">
        <f t="shared" si="12"/>
        <v>100</v>
      </c>
      <c r="X38" s="1541"/>
      <c r="Y38" s="333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33"/>
      <c r="Q39" s="1538">
        <f t="shared" si="14"/>
        <v>111</v>
      </c>
      <c r="R39" s="714" t="s">
        <v>17</v>
      </c>
      <c r="S39" s="715">
        <f t="shared" si="10"/>
        <v>100</v>
      </c>
      <c r="T39" s="714" t="s">
        <v>17</v>
      </c>
      <c r="U39" s="715">
        <f t="shared" si="11"/>
        <v>100</v>
      </c>
      <c r="V39" s="714" t="s">
        <v>17</v>
      </c>
      <c r="W39" s="715">
        <f t="shared" si="12"/>
        <v>100</v>
      </c>
      <c r="X39" s="1541"/>
      <c r="Y39" s="3333"/>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33"/>
      <c r="Q40" s="1538">
        <f t="shared" si="14"/>
        <v>111</v>
      </c>
      <c r="R40" s="717" t="s">
        <v>17</v>
      </c>
      <c r="S40" s="718">
        <f t="shared" si="10"/>
        <v>100</v>
      </c>
      <c r="T40" s="717" t="s">
        <v>17</v>
      </c>
      <c r="U40" s="718">
        <f t="shared" si="11"/>
        <v>100</v>
      </c>
      <c r="V40" s="717" t="s">
        <v>17</v>
      </c>
      <c r="W40" s="718">
        <f t="shared" si="12"/>
        <v>100</v>
      </c>
      <c r="X40" s="719"/>
      <c r="Y40" s="3333"/>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26" t="str">
        <f>A41</f>
        <v>成交单价</v>
      </c>
      <c r="Q41" s="3326"/>
      <c r="R41" s="3321">
        <f>E41</f>
        <v>0</v>
      </c>
      <c r="S41" s="3321"/>
      <c r="T41" s="3321">
        <f>G41</f>
        <v>0</v>
      </c>
      <c r="U41" s="3321"/>
      <c r="V41" s="3321">
        <f>I41</f>
        <v>0</v>
      </c>
      <c r="W41" s="3321"/>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26" t="str">
        <f>A42</f>
        <v>比较价值（元/平方米）</v>
      </c>
      <c r="Q42" s="3326"/>
      <c r="R42" s="3360" t="e">
        <f>ROUND(PRODUCT(R41,AA7:AA40),0)</f>
        <v>#DIV/0!</v>
      </c>
      <c r="S42" s="3360"/>
      <c r="T42" s="3360" t="e">
        <f>ROUND(PRODUCT(T41,AB7:AB40),0)</f>
        <v>#DIV/0!</v>
      </c>
      <c r="U42" s="3360"/>
      <c r="V42" s="3360" t="e">
        <f>ROUND(PRODUCT(V41,AC7:AC40),0)</f>
        <v>#DIV/0!</v>
      </c>
      <c r="W42" s="336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23" t="str">
        <f>A43</f>
        <v>估价对象XX用房的比较价值（楼面单价，元/平方米）</v>
      </c>
      <c r="Q43" s="3324"/>
      <c r="R43" s="3361" t="e">
        <f>ROUND(IF(D42="简单平均",AVERAGE(R42:W42),R42*F42+T42*H42+V42*J42),0)</f>
        <v>#DIV/0!</v>
      </c>
      <c r="S43" s="3361"/>
      <c r="T43" s="3361"/>
      <c r="U43" s="3361"/>
      <c r="V43" s="3361"/>
      <c r="W43" s="336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09" t="s">
        <v>2586</v>
      </c>
      <c r="H50" s="3362"/>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1266.6499999999999</v>
      </c>
      <c r="F51" s="647" t="e">
        <f t="shared" ref="F51:F60" si="15">ROUND(B51*E51/10000,0)</f>
        <v>#DIV/0!</v>
      </c>
      <c r="G51" s="3308"/>
      <c r="H51" s="332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63"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6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6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6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7"/>
      <c r="B4" s="3388"/>
      <c r="C4" s="3388"/>
      <c r="D4" s="3389"/>
      <c r="E4" s="3389"/>
      <c r="F4" s="3389"/>
      <c r="G4" s="3389"/>
      <c r="H4" s="3389"/>
      <c r="I4" s="3389"/>
      <c r="J4" s="3390"/>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68"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91"/>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4" t="s">
        <v>2662</v>
      </c>
      <c r="X8" s="3385"/>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91"/>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6"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1"/>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1"/>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6"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68"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6"/>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2"/>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86"/>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92"/>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93"/>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68" t="s">
        <v>2705</v>
      </c>
      <c r="B16" s="2210" t="s">
        <v>2706</v>
      </c>
      <c r="C16" s="2372" t="e">
        <f>ROUND(IF(F17="与级别开发程度一致",0,(G17-E17)/C17),0)</f>
        <v>#DIV/0!</v>
      </c>
      <c r="D16" s="3381" t="s">
        <v>2710</v>
      </c>
      <c r="E16" s="3382"/>
      <c r="F16" s="3381" t="s">
        <v>2707</v>
      </c>
      <c r="G16" s="338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69"/>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78"/>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8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79"/>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79"/>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7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80"/>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8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70" t="s">
        <v>2793</v>
      </c>
      <c r="B90" s="3370"/>
      <c r="C90" s="3370"/>
      <c r="D90" s="3370"/>
      <c r="E90" s="3370"/>
      <c r="F90" s="3370"/>
      <c r="G90" s="3370"/>
      <c r="H90" s="3370"/>
      <c r="I90" s="3370"/>
      <c r="J90" s="3370"/>
      <c r="K90" s="2344"/>
      <c r="L90" s="2344"/>
      <c r="M90" s="2344"/>
      <c r="N90" s="2344"/>
    </row>
    <row r="91" spans="1:37">
      <c r="A91" s="3372" t="s">
        <v>2794</v>
      </c>
      <c r="B91" s="3372" t="s">
        <v>2795</v>
      </c>
      <c r="C91" s="2298" t="s">
        <v>2796</v>
      </c>
      <c r="D91" s="2299"/>
      <c r="E91" s="2299"/>
      <c r="F91" s="2299"/>
      <c r="G91" s="2299"/>
      <c r="H91" s="2299"/>
      <c r="I91" s="2299"/>
      <c r="J91" s="2345"/>
      <c r="K91" s="2346"/>
      <c r="L91" s="2346"/>
      <c r="M91" s="2346"/>
      <c r="N91" s="2346"/>
    </row>
    <row r="92" spans="1:37">
      <c r="A92" s="3372"/>
      <c r="B92" s="3372"/>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7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7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7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7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7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7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7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7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73"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74"/>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74"/>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74"/>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74"/>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74"/>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74"/>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74"/>
      <c r="B108" s="337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75"/>
      <c r="B109" s="3377"/>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71" t="s">
        <v>2801</v>
      </c>
      <c r="B110" s="3371"/>
      <c r="C110" s="3371"/>
      <c r="D110" s="3371"/>
      <c r="E110" s="3371"/>
      <c r="F110" s="3371"/>
      <c r="G110" s="3371"/>
      <c r="H110" s="3371"/>
      <c r="I110" s="3371"/>
      <c r="J110" s="3371"/>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4" t="s">
        <v>183</v>
      </c>
      <c r="B18" s="821" t="s">
        <v>560</v>
      </c>
      <c r="C18" s="822" t="s">
        <v>561</v>
      </c>
      <c r="D18" s="823"/>
      <c r="E18" s="821">
        <v>1</v>
      </c>
      <c r="F18" s="824" t="s">
        <v>562</v>
      </c>
      <c r="G18" s="825"/>
      <c r="H18" s="817"/>
      <c r="I18" s="817"/>
    </row>
    <row r="19" spans="1:9" s="826" customFormat="1" ht="19.5" customHeight="1">
      <c r="A19" s="3394"/>
      <c r="B19" s="3394" t="s">
        <v>563</v>
      </c>
      <c r="C19" s="822" t="s">
        <v>564</v>
      </c>
      <c r="D19" s="823"/>
      <c r="E19" s="821">
        <v>0.9</v>
      </c>
      <c r="F19" s="824" t="s">
        <v>565</v>
      </c>
      <c r="G19" s="825"/>
      <c r="H19" s="817"/>
      <c r="I19" s="817"/>
    </row>
    <row r="20" spans="1:9" s="826" customFormat="1" ht="19.5" customHeight="1">
      <c r="A20" s="3394"/>
      <c r="B20" s="3394"/>
      <c r="C20" s="822" t="s">
        <v>566</v>
      </c>
      <c r="D20" s="823"/>
      <c r="E20" s="821">
        <v>1.1000000000000001</v>
      </c>
      <c r="F20" s="824" t="s">
        <v>567</v>
      </c>
      <c r="G20" s="825"/>
      <c r="H20" s="817"/>
      <c r="I20" s="817"/>
    </row>
    <row r="21" spans="1:9" s="826" customFormat="1" ht="19.5" customHeight="1">
      <c r="A21" s="3394"/>
      <c r="B21" s="3394"/>
      <c r="C21" s="822" t="s">
        <v>568</v>
      </c>
      <c r="D21" s="823"/>
      <c r="E21" s="821">
        <v>0.8</v>
      </c>
      <c r="F21" s="824" t="s">
        <v>569</v>
      </c>
      <c r="G21" s="825"/>
      <c r="H21" s="817"/>
      <c r="I21" s="817"/>
    </row>
    <row r="22" spans="1:9" s="826" customFormat="1" ht="19.5" customHeight="1">
      <c r="A22" s="3394"/>
      <c r="B22" s="3394"/>
      <c r="C22" s="822" t="s">
        <v>570</v>
      </c>
      <c r="D22" s="823"/>
      <c r="E22" s="821">
        <v>0.5</v>
      </c>
      <c r="F22" s="824"/>
      <c r="G22" s="825"/>
      <c r="H22" s="817"/>
      <c r="I22" s="817"/>
    </row>
    <row r="23" spans="1:9" s="826" customFormat="1" ht="19.5" customHeight="1">
      <c r="A23" s="3394" t="s">
        <v>184</v>
      </c>
      <c r="B23" s="821" t="s">
        <v>560</v>
      </c>
      <c r="C23" s="822" t="s">
        <v>571</v>
      </c>
      <c r="D23" s="823"/>
      <c r="E23" s="821">
        <v>1</v>
      </c>
      <c r="F23" s="824" t="s">
        <v>572</v>
      </c>
      <c r="G23" s="825"/>
      <c r="H23" s="817"/>
      <c r="I23" s="817"/>
    </row>
    <row r="24" spans="1:9" s="826" customFormat="1" ht="19.5" customHeight="1">
      <c r="A24" s="3394"/>
      <c r="B24" s="3394" t="s">
        <v>563</v>
      </c>
      <c r="C24" s="822" t="s">
        <v>573</v>
      </c>
      <c r="D24" s="823"/>
      <c r="E24" s="821">
        <v>0.5</v>
      </c>
      <c r="F24" s="824"/>
      <c r="G24" s="825"/>
      <c r="H24" s="817"/>
      <c r="I24" s="817"/>
    </row>
    <row r="25" spans="1:9" s="826" customFormat="1" ht="19.5" customHeight="1">
      <c r="A25" s="3394"/>
      <c r="B25" s="3394"/>
      <c r="C25" s="822" t="s">
        <v>574</v>
      </c>
      <c r="D25" s="823"/>
      <c r="E25" s="821">
        <v>1.1000000000000001</v>
      </c>
      <c r="F25" s="824"/>
      <c r="G25" s="825"/>
      <c r="H25" s="817"/>
      <c r="I25" s="817"/>
    </row>
    <row r="26" spans="1:9" s="826" customFormat="1" ht="19.5" customHeight="1">
      <c r="A26" s="3394"/>
      <c r="B26" s="3394"/>
      <c r="C26" s="822" t="s">
        <v>575</v>
      </c>
      <c r="D26" s="823"/>
      <c r="E26" s="821">
        <v>1.1000000000000001</v>
      </c>
      <c r="F26" s="824"/>
      <c r="G26" s="825"/>
      <c r="H26" s="817"/>
      <c r="I26" s="817"/>
    </row>
    <row r="27" spans="1:9" s="826" customFormat="1" ht="19.5" customHeight="1">
      <c r="A27" s="3394"/>
      <c r="B27" s="3394"/>
      <c r="C27" s="822" t="s">
        <v>576</v>
      </c>
      <c r="D27" s="823"/>
      <c r="E27" s="821">
        <v>0.9</v>
      </c>
      <c r="F27" s="824" t="s">
        <v>577</v>
      </c>
      <c r="G27" s="825"/>
      <c r="H27" s="817"/>
      <c r="I27" s="817"/>
    </row>
    <row r="28" spans="1:9" s="826" customFormat="1" ht="19.5" customHeight="1">
      <c r="A28" s="3394"/>
      <c r="B28" s="3394"/>
      <c r="C28" s="822" t="s">
        <v>578</v>
      </c>
      <c r="D28" s="823"/>
      <c r="E28" s="821">
        <v>0.9</v>
      </c>
      <c r="F28" s="824" t="s">
        <v>579</v>
      </c>
      <c r="G28" s="825"/>
      <c r="H28" s="817"/>
      <c r="I28" s="817"/>
    </row>
    <row r="29" spans="1:9" s="826" customFormat="1" ht="19.5" customHeight="1">
      <c r="A29" s="3394"/>
      <c r="B29" s="3394"/>
      <c r="C29" s="822" t="s">
        <v>580</v>
      </c>
      <c r="D29" s="823"/>
      <c r="E29" s="821">
        <v>0.9</v>
      </c>
      <c r="F29" s="824" t="s">
        <v>581</v>
      </c>
      <c r="G29" s="825"/>
      <c r="H29" s="817"/>
      <c r="I29" s="817"/>
    </row>
    <row r="30" spans="1:9" s="826" customFormat="1" ht="19.5" customHeight="1">
      <c r="A30" s="3394"/>
      <c r="B30" s="3394"/>
      <c r="C30" s="822" t="s">
        <v>582</v>
      </c>
      <c r="D30" s="823"/>
      <c r="E30" s="821">
        <v>0.9</v>
      </c>
      <c r="F30" s="824" t="s">
        <v>583</v>
      </c>
      <c r="G30" s="825"/>
      <c r="H30" s="817"/>
      <c r="I30" s="817"/>
    </row>
    <row r="31" spans="1:9" s="826" customFormat="1" ht="19.5" customHeight="1">
      <c r="A31" s="3394"/>
      <c r="B31" s="3394"/>
      <c r="C31" s="822" t="s">
        <v>584</v>
      </c>
      <c r="D31" s="823"/>
      <c r="E31" s="821">
        <v>0.8</v>
      </c>
      <c r="F31" s="824" t="s">
        <v>585</v>
      </c>
      <c r="G31" s="825"/>
      <c r="H31" s="817"/>
      <c r="I31" s="817"/>
    </row>
    <row r="32" spans="1:9" s="826" customFormat="1" ht="19.5" customHeight="1">
      <c r="A32" s="3394"/>
      <c r="B32" s="3394"/>
      <c r="C32" s="822" t="s">
        <v>586</v>
      </c>
      <c r="D32" s="823"/>
      <c r="E32" s="821">
        <v>0.8</v>
      </c>
      <c r="F32" s="824" t="s">
        <v>587</v>
      </c>
      <c r="G32" s="825"/>
      <c r="H32" s="817"/>
      <c r="I32" s="817"/>
    </row>
    <row r="33" spans="1:9" s="826" customFormat="1" ht="19.5" customHeight="1">
      <c r="A33" s="3394" t="s">
        <v>185</v>
      </c>
      <c r="B33" s="821" t="s">
        <v>560</v>
      </c>
      <c r="C33" s="822" t="s">
        <v>588</v>
      </c>
      <c r="D33" s="823"/>
      <c r="E33" s="821">
        <v>1</v>
      </c>
      <c r="F33" s="824" t="s">
        <v>589</v>
      </c>
      <c r="G33" s="825"/>
      <c r="H33" s="817"/>
      <c r="I33" s="817"/>
    </row>
    <row r="34" spans="1:9" s="826" customFormat="1" ht="19.5" customHeight="1">
      <c r="A34" s="3394"/>
      <c r="B34" s="821" t="s">
        <v>563</v>
      </c>
      <c r="C34" s="822" t="s">
        <v>590</v>
      </c>
      <c r="D34" s="823"/>
      <c r="E34" s="821">
        <v>1.5</v>
      </c>
      <c r="F34" s="824" t="s">
        <v>591</v>
      </c>
      <c r="G34" s="825"/>
      <c r="H34" s="817"/>
      <c r="I34" s="817"/>
    </row>
    <row r="35" spans="1:9" s="826" customFormat="1" ht="19.5" customHeight="1">
      <c r="A35" s="3394" t="s">
        <v>186</v>
      </c>
      <c r="B35" s="821" t="s">
        <v>560</v>
      </c>
      <c r="C35" s="822" t="s">
        <v>592</v>
      </c>
      <c r="D35" s="823"/>
      <c r="E35" s="821">
        <v>1</v>
      </c>
      <c r="F35" s="824" t="s">
        <v>593</v>
      </c>
      <c r="G35" s="825"/>
      <c r="H35" s="817"/>
      <c r="I35" s="817"/>
    </row>
    <row r="36" spans="1:9" s="826" customFormat="1" ht="19.5" customHeight="1">
      <c r="A36" s="3394"/>
      <c r="B36" s="3394" t="s">
        <v>563</v>
      </c>
      <c r="C36" s="822" t="s">
        <v>594</v>
      </c>
      <c r="D36" s="823"/>
      <c r="E36" s="821">
        <v>1</v>
      </c>
      <c r="F36" s="824" t="s">
        <v>595</v>
      </c>
      <c r="G36" s="825"/>
      <c r="H36" s="817"/>
      <c r="I36" s="817"/>
    </row>
    <row r="37" spans="1:9" s="826" customFormat="1" ht="19.5" customHeight="1">
      <c r="A37" s="3394"/>
      <c r="B37" s="3394"/>
      <c r="C37" s="822" t="s">
        <v>596</v>
      </c>
      <c r="D37" s="823"/>
      <c r="E37" s="821">
        <v>1.5</v>
      </c>
      <c r="F37" s="824" t="s">
        <v>597</v>
      </c>
      <c r="G37" s="825"/>
      <c r="H37" s="817"/>
      <c r="I37" s="817"/>
    </row>
    <row r="38" spans="1:9" s="826" customFormat="1" ht="19.5" customHeight="1">
      <c r="A38" s="3394"/>
      <c r="B38" s="3394"/>
      <c r="C38" s="822" t="s">
        <v>598</v>
      </c>
      <c r="D38" s="823"/>
      <c r="E38" s="821">
        <v>1</v>
      </c>
      <c r="F38" s="824" t="s">
        <v>599</v>
      </c>
      <c r="G38" s="825"/>
      <c r="H38" s="817"/>
      <c r="I38" s="817"/>
    </row>
    <row r="39" spans="1:9" s="826" customFormat="1" ht="19.5" customHeight="1">
      <c r="A39" s="3394"/>
      <c r="B39" s="339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4" t="s">
        <v>614</v>
      </c>
      <c r="C61" s="757" t="s">
        <v>615</v>
      </c>
      <c r="D61" s="757" t="s">
        <v>616</v>
      </c>
      <c r="E61" s="834">
        <v>0.5</v>
      </c>
      <c r="F61" s="821">
        <v>80</v>
      </c>
    </row>
    <row r="62" spans="1:8" s="817" customFormat="1" ht="24">
      <c r="A62" s="821">
        <v>2</v>
      </c>
      <c r="B62" s="3394"/>
      <c r="C62" s="757" t="s">
        <v>617</v>
      </c>
      <c r="D62" s="757" t="s">
        <v>618</v>
      </c>
      <c r="E62" s="834">
        <v>0.5</v>
      </c>
      <c r="F62" s="821">
        <v>80</v>
      </c>
    </row>
    <row r="63" spans="1:8" s="817" customFormat="1" ht="36">
      <c r="A63" s="821">
        <v>3</v>
      </c>
      <c r="B63" s="3394"/>
      <c r="C63" s="757" t="s">
        <v>619</v>
      </c>
      <c r="D63" s="757" t="s">
        <v>620</v>
      </c>
      <c r="E63" s="834">
        <v>0.5</v>
      </c>
      <c r="F63" s="821">
        <v>80</v>
      </c>
    </row>
    <row r="64" spans="1:8" s="817" customFormat="1" ht="36">
      <c r="A64" s="821">
        <v>4</v>
      </c>
      <c r="B64" s="3394"/>
      <c r="C64" s="757" t="s">
        <v>621</v>
      </c>
      <c r="D64" s="757" t="s">
        <v>622</v>
      </c>
      <c r="E64" s="834">
        <v>0.4</v>
      </c>
      <c r="F64" s="821">
        <v>60</v>
      </c>
    </row>
    <row r="65" spans="1:6" s="817" customFormat="1" ht="36">
      <c r="A65" s="821">
        <v>5</v>
      </c>
      <c r="B65" s="3394"/>
      <c r="C65" s="757" t="s">
        <v>623</v>
      </c>
      <c r="D65" s="757" t="s">
        <v>624</v>
      </c>
      <c r="E65" s="834">
        <v>0.2</v>
      </c>
      <c r="F65" s="821">
        <v>30</v>
      </c>
    </row>
    <row r="66" spans="1:6" s="817" customFormat="1" ht="36">
      <c r="A66" s="821">
        <v>6</v>
      </c>
      <c r="B66" s="3394"/>
      <c r="C66" s="757" t="s">
        <v>625</v>
      </c>
      <c r="D66" s="757" t="s">
        <v>626</v>
      </c>
      <c r="E66" s="834">
        <v>0.3</v>
      </c>
      <c r="F66" s="821">
        <v>50</v>
      </c>
    </row>
    <row r="67" spans="1:6" s="817" customFormat="1" ht="36">
      <c r="A67" s="821">
        <v>7</v>
      </c>
      <c r="B67" s="3394"/>
      <c r="C67" s="757" t="s">
        <v>627</v>
      </c>
      <c r="D67" s="757" t="s">
        <v>628</v>
      </c>
      <c r="E67" s="834">
        <v>0.2</v>
      </c>
      <c r="F67" s="821">
        <v>30</v>
      </c>
    </row>
    <row r="68" spans="1:6" s="817" customFormat="1" ht="36">
      <c r="A68" s="821">
        <v>8</v>
      </c>
      <c r="B68" s="3394"/>
      <c r="C68" s="757" t="s">
        <v>629</v>
      </c>
      <c r="D68" s="757" t="s">
        <v>630</v>
      </c>
      <c r="E68" s="834">
        <v>0.2</v>
      </c>
      <c r="F68" s="821">
        <v>30</v>
      </c>
    </row>
    <row r="69" spans="1:6" s="817" customFormat="1" ht="36">
      <c r="A69" s="821">
        <v>9</v>
      </c>
      <c r="B69" s="3394"/>
      <c r="C69" s="757" t="s">
        <v>631</v>
      </c>
      <c r="D69" s="757" t="s">
        <v>632</v>
      </c>
      <c r="E69" s="834">
        <v>0.2</v>
      </c>
      <c r="F69" s="821">
        <v>30</v>
      </c>
    </row>
    <row r="70" spans="1:6" s="817" customFormat="1" ht="48">
      <c r="A70" s="821">
        <v>10</v>
      </c>
      <c r="B70" s="3394"/>
      <c r="C70" s="757" t="s">
        <v>633</v>
      </c>
      <c r="D70" s="757" t="s">
        <v>634</v>
      </c>
      <c r="E70" s="834">
        <v>0.2</v>
      </c>
      <c r="F70" s="821">
        <v>30</v>
      </c>
    </row>
    <row r="71" spans="1:6" s="817" customFormat="1" ht="48">
      <c r="A71" s="821">
        <v>11</v>
      </c>
      <c r="B71" s="3394"/>
      <c r="C71" s="757" t="s">
        <v>635</v>
      </c>
      <c r="D71" s="757" t="s">
        <v>636</v>
      </c>
      <c r="E71" s="834">
        <v>0.2</v>
      </c>
      <c r="F71" s="821">
        <v>30</v>
      </c>
    </row>
    <row r="72" spans="1:6" s="817" customFormat="1" ht="36">
      <c r="A72" s="821">
        <v>12</v>
      </c>
      <c r="B72" s="3394"/>
      <c r="C72" s="757" t="s">
        <v>637</v>
      </c>
      <c r="D72" s="757" t="s">
        <v>638</v>
      </c>
      <c r="E72" s="834">
        <v>0.5</v>
      </c>
      <c r="F72" s="821">
        <v>80</v>
      </c>
    </row>
    <row r="73" spans="1:6" s="817" customFormat="1" ht="24">
      <c r="A73" s="821">
        <v>13</v>
      </c>
      <c r="B73" s="3394"/>
      <c r="C73" s="757" t="s">
        <v>639</v>
      </c>
      <c r="D73" s="757" t="s">
        <v>640</v>
      </c>
      <c r="E73" s="834">
        <v>0.4</v>
      </c>
      <c r="F73" s="821">
        <v>60</v>
      </c>
    </row>
    <row r="74" spans="1:6" s="817" customFormat="1" ht="24">
      <c r="A74" s="821">
        <v>14</v>
      </c>
      <c r="B74" s="3394"/>
      <c r="C74" s="757" t="s">
        <v>641</v>
      </c>
      <c r="D74" s="757" t="s">
        <v>642</v>
      </c>
      <c r="E74" s="834">
        <v>0.2</v>
      </c>
      <c r="F74" s="821">
        <v>30</v>
      </c>
    </row>
    <row r="75" spans="1:6" s="817" customFormat="1" ht="24">
      <c r="A75" s="821">
        <v>15</v>
      </c>
      <c r="B75" s="3394"/>
      <c r="C75" s="757" t="s">
        <v>643</v>
      </c>
      <c r="D75" s="757" t="s">
        <v>644</v>
      </c>
      <c r="E75" s="834">
        <v>0.2</v>
      </c>
      <c r="F75" s="821">
        <v>30</v>
      </c>
    </row>
    <row r="76" spans="1:6" s="817" customFormat="1" ht="24">
      <c r="A76" s="821">
        <v>16</v>
      </c>
      <c r="B76" s="3394" t="s">
        <v>645</v>
      </c>
      <c r="C76" s="757" t="s">
        <v>646</v>
      </c>
      <c r="D76" s="757" t="s">
        <v>647</v>
      </c>
      <c r="E76" s="834">
        <v>0.5</v>
      </c>
      <c r="F76" s="821">
        <v>80</v>
      </c>
    </row>
    <row r="77" spans="1:6" s="817" customFormat="1" ht="24">
      <c r="A77" s="821">
        <v>17</v>
      </c>
      <c r="B77" s="3394"/>
      <c r="C77" s="757" t="s">
        <v>648</v>
      </c>
      <c r="D77" s="757" t="s">
        <v>649</v>
      </c>
      <c r="E77" s="834">
        <v>0.5</v>
      </c>
      <c r="F77" s="821">
        <v>80</v>
      </c>
    </row>
    <row r="78" spans="1:6" s="817" customFormat="1" ht="24">
      <c r="A78" s="821">
        <v>18</v>
      </c>
      <c r="B78" s="3394"/>
      <c r="C78" s="757" t="s">
        <v>650</v>
      </c>
      <c r="D78" s="757" t="s">
        <v>651</v>
      </c>
      <c r="E78" s="834">
        <v>0.2</v>
      </c>
      <c r="F78" s="821">
        <v>30</v>
      </c>
    </row>
    <row r="79" spans="1:6" s="817" customFormat="1" ht="24">
      <c r="A79" s="821">
        <v>19</v>
      </c>
      <c r="B79" s="3394"/>
      <c r="C79" s="757" t="s">
        <v>652</v>
      </c>
      <c r="D79" s="757" t="s">
        <v>653</v>
      </c>
      <c r="E79" s="834">
        <v>0.5</v>
      </c>
      <c r="F79" s="821">
        <v>80</v>
      </c>
    </row>
    <row r="80" spans="1:6" s="817" customFormat="1" ht="36">
      <c r="A80" s="821">
        <v>20</v>
      </c>
      <c r="B80" s="3394"/>
      <c r="C80" s="757" t="s">
        <v>654</v>
      </c>
      <c r="D80" s="757" t="s">
        <v>655</v>
      </c>
      <c r="E80" s="834">
        <v>0.2</v>
      </c>
      <c r="F80" s="821">
        <v>30</v>
      </c>
    </row>
    <row r="81" spans="1:6" s="817" customFormat="1" ht="36">
      <c r="A81" s="821">
        <v>21</v>
      </c>
      <c r="B81" s="3394"/>
      <c r="C81" s="757" t="s">
        <v>656</v>
      </c>
      <c r="D81" s="757" t="s">
        <v>657</v>
      </c>
      <c r="E81" s="834">
        <v>0.2</v>
      </c>
      <c r="F81" s="821">
        <v>30</v>
      </c>
    </row>
    <row r="82" spans="1:6" s="817" customFormat="1" ht="48">
      <c r="A82" s="821">
        <v>22</v>
      </c>
      <c r="B82" s="3394"/>
      <c r="C82" s="757" t="s">
        <v>658</v>
      </c>
      <c r="D82" s="757" t="s">
        <v>659</v>
      </c>
      <c r="E82" s="834">
        <v>0.2</v>
      </c>
      <c r="F82" s="821">
        <v>30</v>
      </c>
    </row>
    <row r="83" spans="1:6" s="817" customFormat="1" ht="48">
      <c r="A83" s="821">
        <v>23</v>
      </c>
      <c r="B83" s="3394"/>
      <c r="C83" s="757" t="s">
        <v>660</v>
      </c>
      <c r="D83" s="757" t="s">
        <v>661</v>
      </c>
      <c r="E83" s="834">
        <v>0.2</v>
      </c>
      <c r="F83" s="821">
        <v>30</v>
      </c>
    </row>
    <row r="84" spans="1:6" s="817" customFormat="1" ht="36">
      <c r="A84" s="821">
        <v>24</v>
      </c>
      <c r="B84" s="3394"/>
      <c r="C84" s="757" t="s">
        <v>662</v>
      </c>
      <c r="D84" s="757" t="s">
        <v>663</v>
      </c>
      <c r="E84" s="834">
        <v>0.2</v>
      </c>
      <c r="F84" s="821">
        <v>30</v>
      </c>
    </row>
    <row r="85" spans="1:6" s="817" customFormat="1" ht="36">
      <c r="A85" s="821">
        <v>25</v>
      </c>
      <c r="B85" s="3394"/>
      <c r="C85" s="757" t="s">
        <v>664</v>
      </c>
      <c r="D85" s="757" t="s">
        <v>665</v>
      </c>
      <c r="E85" s="834">
        <v>0.5</v>
      </c>
      <c r="F85" s="821">
        <v>80</v>
      </c>
    </row>
    <row r="86" spans="1:6" s="817" customFormat="1" ht="36">
      <c r="A86" s="821">
        <v>26</v>
      </c>
      <c r="B86" s="3394"/>
      <c r="C86" s="757" t="s">
        <v>666</v>
      </c>
      <c r="D86" s="757" t="s">
        <v>667</v>
      </c>
      <c r="E86" s="834">
        <v>0.2</v>
      </c>
      <c r="F86" s="821">
        <v>30</v>
      </c>
    </row>
    <row r="87" spans="1:6" s="817" customFormat="1" ht="36">
      <c r="A87" s="821">
        <v>27</v>
      </c>
      <c r="B87" s="3394"/>
      <c r="C87" s="757" t="s">
        <v>668</v>
      </c>
      <c r="D87" s="757" t="s">
        <v>669</v>
      </c>
      <c r="E87" s="834">
        <v>0.2</v>
      </c>
      <c r="F87" s="821">
        <v>30</v>
      </c>
    </row>
    <row r="88" spans="1:6" s="817" customFormat="1" ht="36">
      <c r="A88" s="821">
        <v>28</v>
      </c>
      <c r="B88" s="3394"/>
      <c r="C88" s="757" t="s">
        <v>670</v>
      </c>
      <c r="D88" s="757" t="s">
        <v>671</v>
      </c>
      <c r="E88" s="834">
        <v>0.2</v>
      </c>
      <c r="F88" s="821">
        <v>30</v>
      </c>
    </row>
    <row r="89" spans="1:6" s="817" customFormat="1" ht="24">
      <c r="A89" s="821">
        <v>29</v>
      </c>
      <c r="B89" s="3394"/>
      <c r="C89" s="757" t="s">
        <v>672</v>
      </c>
      <c r="D89" s="757" t="s">
        <v>673</v>
      </c>
      <c r="E89" s="834">
        <v>0.2</v>
      </c>
      <c r="F89" s="821">
        <v>30</v>
      </c>
    </row>
    <row r="90" spans="1:6" s="817" customFormat="1" ht="24">
      <c r="A90" s="821">
        <v>30</v>
      </c>
      <c r="B90" s="3394"/>
      <c r="C90" s="757" t="s">
        <v>674</v>
      </c>
      <c r="D90" s="757" t="s">
        <v>675</v>
      </c>
      <c r="E90" s="834">
        <v>0.2</v>
      </c>
      <c r="F90" s="821">
        <v>30</v>
      </c>
    </row>
    <row r="91" spans="1:6" s="817" customFormat="1" ht="36">
      <c r="A91" s="821">
        <v>31</v>
      </c>
      <c r="B91" s="3394"/>
      <c r="C91" s="757" t="s">
        <v>676</v>
      </c>
      <c r="D91" s="757" t="s">
        <v>677</v>
      </c>
      <c r="E91" s="834">
        <v>0.2</v>
      </c>
      <c r="F91" s="821">
        <v>30</v>
      </c>
    </row>
    <row r="92" spans="1:6" s="817" customFormat="1" ht="24">
      <c r="A92" s="821">
        <v>32</v>
      </c>
      <c r="B92" s="3394" t="s">
        <v>678</v>
      </c>
      <c r="C92" s="821" t="s">
        <v>679</v>
      </c>
      <c r="D92" s="757" t="s">
        <v>680</v>
      </c>
      <c r="E92" s="834">
        <v>0.2</v>
      </c>
      <c r="F92" s="821">
        <v>30</v>
      </c>
    </row>
    <row r="93" spans="1:6" s="817" customFormat="1" ht="36">
      <c r="A93" s="821">
        <v>33</v>
      </c>
      <c r="B93" s="3394"/>
      <c r="C93" s="821" t="s">
        <v>681</v>
      </c>
      <c r="D93" s="757" t="s">
        <v>682</v>
      </c>
      <c r="E93" s="834">
        <v>0.2</v>
      </c>
      <c r="F93" s="821">
        <v>30</v>
      </c>
    </row>
    <row r="94" spans="1:6" s="817" customFormat="1" ht="48">
      <c r="A94" s="821">
        <v>34</v>
      </c>
      <c r="B94" s="3394"/>
      <c r="C94" s="821" t="s">
        <v>683</v>
      </c>
      <c r="D94" s="757" t="s">
        <v>684</v>
      </c>
      <c r="E94" s="834">
        <v>0.2</v>
      </c>
      <c r="F94" s="821">
        <v>30</v>
      </c>
    </row>
    <row r="95" spans="1:6" s="817" customFormat="1" ht="36">
      <c r="A95" s="821">
        <v>35</v>
      </c>
      <c r="B95" s="3394"/>
      <c r="C95" s="821" t="s">
        <v>685</v>
      </c>
      <c r="D95" s="757" t="s">
        <v>686</v>
      </c>
      <c r="E95" s="834">
        <v>0.2</v>
      </c>
      <c r="F95" s="821">
        <v>30</v>
      </c>
    </row>
    <row r="96" spans="1:6" s="817" customFormat="1" ht="48">
      <c r="A96" s="821">
        <v>36</v>
      </c>
      <c r="B96" s="3394"/>
      <c r="C96" s="757" t="s">
        <v>687</v>
      </c>
      <c r="D96" s="757" t="s">
        <v>688</v>
      </c>
      <c r="E96" s="834">
        <v>0.2</v>
      </c>
      <c r="F96" s="821">
        <v>30</v>
      </c>
    </row>
    <row r="97" spans="1:6" s="817" customFormat="1" ht="36">
      <c r="A97" s="821">
        <v>37</v>
      </c>
      <c r="B97" s="3394"/>
      <c r="C97" s="821" t="s">
        <v>689</v>
      </c>
      <c r="D97" s="757" t="s">
        <v>690</v>
      </c>
      <c r="E97" s="834">
        <v>0.2</v>
      </c>
      <c r="F97" s="821">
        <v>30</v>
      </c>
    </row>
    <row r="98" spans="1:6" s="817" customFormat="1" ht="36">
      <c r="A98" s="821">
        <v>38</v>
      </c>
      <c r="B98" s="3394"/>
      <c r="C98" s="821" t="s">
        <v>691</v>
      </c>
      <c r="D98" s="757" t="s">
        <v>692</v>
      </c>
      <c r="E98" s="834">
        <v>0.2</v>
      </c>
      <c r="F98" s="821">
        <v>30</v>
      </c>
    </row>
    <row r="99" spans="1:6" s="817" customFormat="1" ht="36">
      <c r="A99" s="821">
        <v>39</v>
      </c>
      <c r="B99" s="3394" t="s">
        <v>693</v>
      </c>
      <c r="C99" s="821" t="s">
        <v>694</v>
      </c>
      <c r="D99" s="757" t="s">
        <v>695</v>
      </c>
      <c r="E99" s="834">
        <v>0.3</v>
      </c>
      <c r="F99" s="821">
        <v>50</v>
      </c>
    </row>
    <row r="100" spans="1:6" s="817" customFormat="1" ht="24">
      <c r="A100" s="821">
        <v>40</v>
      </c>
      <c r="B100" s="3394"/>
      <c r="C100" s="821" t="s">
        <v>696</v>
      </c>
      <c r="D100" s="757" t="s">
        <v>697</v>
      </c>
      <c r="E100" s="834">
        <v>0.2</v>
      </c>
      <c r="F100" s="821">
        <v>30</v>
      </c>
    </row>
    <row r="101" spans="1:6" s="817" customFormat="1" ht="36">
      <c r="A101" s="821">
        <v>41</v>
      </c>
      <c r="B101" s="339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4" t="s">
        <v>708</v>
      </c>
      <c r="C105" s="821" t="s">
        <v>709</v>
      </c>
      <c r="D105" s="757" t="s">
        <v>710</v>
      </c>
      <c r="E105" s="834">
        <v>0.2</v>
      </c>
      <c r="F105" s="821">
        <v>30</v>
      </c>
    </row>
    <row r="106" spans="1:6" s="817" customFormat="1" ht="36">
      <c r="A106" s="821">
        <v>46</v>
      </c>
      <c r="B106" s="3394"/>
      <c r="C106" s="821" t="s">
        <v>711</v>
      </c>
      <c r="D106" s="757" t="s">
        <v>712</v>
      </c>
      <c r="E106" s="834">
        <v>0.2</v>
      </c>
      <c r="F106" s="821">
        <v>30</v>
      </c>
    </row>
    <row r="107" spans="1:6" s="817" customFormat="1" ht="36">
      <c r="A107" s="821">
        <v>47</v>
      </c>
      <c r="B107" s="3394" t="s">
        <v>713</v>
      </c>
      <c r="C107" s="821" t="s">
        <v>714</v>
      </c>
      <c r="D107" s="757" t="s">
        <v>715</v>
      </c>
      <c r="E107" s="834">
        <v>0.3</v>
      </c>
      <c r="F107" s="821">
        <v>50</v>
      </c>
    </row>
    <row r="108" spans="1:6" s="817" customFormat="1" ht="36">
      <c r="A108" s="821">
        <v>48</v>
      </c>
      <c r="B108" s="339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4" t="s">
        <v>724</v>
      </c>
      <c r="C111" s="821" t="s">
        <v>725</v>
      </c>
      <c r="D111" s="757" t="s">
        <v>726</v>
      </c>
      <c r="E111" s="834">
        <v>0.2</v>
      </c>
      <c r="F111" s="821">
        <v>30</v>
      </c>
    </row>
    <row r="112" spans="1:6" s="817" customFormat="1" ht="24">
      <c r="A112" s="821">
        <v>52</v>
      </c>
      <c r="B112" s="3394"/>
      <c r="C112" s="821" t="s">
        <v>727</v>
      </c>
      <c r="D112" s="757" t="s">
        <v>728</v>
      </c>
      <c r="E112" s="834">
        <v>0.2</v>
      </c>
      <c r="F112" s="821">
        <v>30</v>
      </c>
    </row>
    <row r="113" spans="1:6" s="817" customFormat="1" ht="24">
      <c r="A113" s="821">
        <v>53</v>
      </c>
      <c r="B113" s="339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4" t="s">
        <v>737</v>
      </c>
      <c r="C116" s="821" t="s">
        <v>738</v>
      </c>
      <c r="D116" s="757" t="s">
        <v>739</v>
      </c>
      <c r="E116" s="834">
        <v>0.2</v>
      </c>
      <c r="F116" s="821">
        <v>30</v>
      </c>
    </row>
    <row r="117" spans="1:6" ht="36">
      <c r="A117" s="821">
        <v>57</v>
      </c>
      <c r="B117" s="339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估价结果一览表（市场价值不需“结果表-1”）</v>
      </c>
      <c r="B3" s="3077"/>
      <c r="C3" s="3077"/>
      <c r="D3" s="3077"/>
      <c r="E3" s="3077"/>
    </row>
    <row r="4" spans="1:5" ht="19.5" thickBot="1">
      <c r="A4" s="1680"/>
      <c r="B4" s="3075" t="s">
        <v>1595</v>
      </c>
      <c r="C4" s="3075"/>
      <c r="D4" s="3075"/>
      <c r="E4" s="1680"/>
    </row>
    <row r="5" spans="1:5" ht="16.5" thickTop="1">
      <c r="A5" s="1678"/>
      <c r="B5" s="3073" t="s">
        <v>1587</v>
      </c>
      <c r="C5" s="1681" t="s">
        <v>1588</v>
      </c>
      <c r="D5" s="959">
        <f ca="1">结果表!H101</f>
        <v>434</v>
      </c>
      <c r="E5" s="1678"/>
    </row>
    <row r="6" spans="1:5" ht="15.75">
      <c r="A6" s="1678"/>
      <c r="B6" s="3073"/>
      <c r="C6" s="1681" t="s">
        <v>1589</v>
      </c>
      <c r="D6" s="959" t="str">
        <f ca="1">NUMBERSTRING(INT(D5*10000),2)&amp;"元整"</f>
        <v>肆佰叁拾肆万元整</v>
      </c>
      <c r="E6" s="1678"/>
    </row>
    <row r="7" spans="1:5" ht="15.75">
      <c r="A7" s="1678"/>
      <c r="B7" s="3078"/>
      <c r="C7" s="1682" t="s">
        <v>1590</v>
      </c>
      <c r="D7" s="960">
        <f ca="1">结果表!H102</f>
        <v>34523</v>
      </c>
      <c r="E7" s="1678"/>
    </row>
    <row r="8" spans="1:5" ht="15.75">
      <c r="A8" s="1678"/>
      <c r="B8" s="3079" t="str">
        <f>结果表!E103</f>
        <v>2.估价师知悉的法定优先受偿款</v>
      </c>
      <c r="C8" s="1683" t="s">
        <v>1591</v>
      </c>
      <c r="D8" s="960">
        <f>结果表!H103</f>
        <v>0</v>
      </c>
      <c r="E8" s="1678"/>
    </row>
    <row r="9" spans="1:5" ht="15.75">
      <c r="A9" s="1678"/>
      <c r="B9" s="308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2" t="str">
        <f>结果表!E107</f>
        <v>3.房地产抵押价值</v>
      </c>
      <c r="C13" s="1686" t="s">
        <v>1588</v>
      </c>
      <c r="D13" s="962">
        <f ca="1">结果表!H107</f>
        <v>434</v>
      </c>
      <c r="E13" s="1678"/>
    </row>
    <row r="14" spans="1:5" ht="15.75">
      <c r="A14" s="1678"/>
      <c r="B14" s="3073"/>
      <c r="C14" s="1681" t="s">
        <v>1589</v>
      </c>
      <c r="D14" s="959" t="str">
        <f ca="1">NUMBERSTRING(INT(D13*10000),2)&amp;"元整"</f>
        <v>肆佰叁拾肆万元整</v>
      </c>
      <c r="E14" s="1678"/>
    </row>
    <row r="15" spans="1:5" ht="15">
      <c r="A15" s="1678"/>
      <c r="B15" s="3078"/>
      <c r="C15" s="1682" t="s">
        <v>1599</v>
      </c>
      <c r="D15" s="968">
        <f ca="1">结果表!H108</f>
        <v>3426</v>
      </c>
      <c r="E15" s="1678"/>
    </row>
    <row r="16" spans="1:5" ht="15">
      <c r="A16" s="1678"/>
      <c r="B16" s="3079" t="str">
        <f>结果表!E109</f>
        <v>——</v>
      </c>
      <c r="C16" s="1686" t="s">
        <v>1600</v>
      </c>
      <c r="D16" s="1687" t="str">
        <f>结果表!H109</f>
        <v>——</v>
      </c>
      <c r="E16" s="1678"/>
    </row>
    <row r="17" spans="1:5" ht="15.75">
      <c r="A17" s="1678"/>
      <c r="B17" s="3080"/>
      <c r="C17" s="1681" t="s">
        <v>1601</v>
      </c>
      <c r="D17" s="959" t="e">
        <f>NUMBERSTRING(INT(D16*10000),2)&amp;"元整"</f>
        <v>#VALUE!</v>
      </c>
      <c r="E17" s="1678"/>
    </row>
    <row r="18" spans="1:5" ht="15">
      <c r="A18" s="1678"/>
      <c r="B18" s="3081"/>
      <c r="C18" s="1682" t="s">
        <v>1590</v>
      </c>
      <c r="D18" s="968" t="str">
        <f>结果表!H110</f>
        <v>——</v>
      </c>
      <c r="E18" s="1678"/>
    </row>
    <row r="19" spans="1:5" ht="15.75">
      <c r="A19" s="1678"/>
      <c r="B19" s="3072" t="str">
        <f>结果表!E111</f>
        <v>——</v>
      </c>
      <c r="C19" s="1686" t="s">
        <v>1588</v>
      </c>
      <c r="D19" s="960" t="str">
        <f>结果表!H111</f>
        <v>——</v>
      </c>
      <c r="E19" s="1678"/>
    </row>
    <row r="20" spans="1:5" ht="15.75">
      <c r="A20" s="1678"/>
      <c r="B20" s="3073"/>
      <c r="C20" s="1681" t="s">
        <v>1601</v>
      </c>
      <c r="D20" s="959" t="e">
        <f>NUMBERSTRING(INT(D19*10000),2)&amp;"元整"</f>
        <v>#VALUE!</v>
      </c>
      <c r="E20" s="1678"/>
    </row>
    <row r="21" spans="1:5" ht="15.75" thickBot="1">
      <c r="A21" s="1678"/>
      <c r="B21" s="3074"/>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0" t="s">
        <v>1117</v>
      </c>
      <c r="C1" s="3400"/>
      <c r="D1" s="3400"/>
      <c r="E1" s="3400"/>
      <c r="F1" s="3400"/>
      <c r="G1" s="3396" t="s">
        <v>1118</v>
      </c>
      <c r="H1" s="3396"/>
      <c r="I1" s="3396"/>
      <c r="J1" s="3396"/>
      <c r="K1" s="3396"/>
      <c r="L1" s="3396"/>
      <c r="N1" s="3396" t="s">
        <v>1119</v>
      </c>
      <c r="O1" s="3396"/>
      <c r="P1" s="3396"/>
      <c r="Q1" s="3396"/>
      <c r="S1" s="3396" t="s">
        <v>1120</v>
      </c>
      <c r="T1" s="3396"/>
      <c r="U1" s="3396"/>
      <c r="V1" s="3396"/>
      <c r="X1" s="3395" t="s">
        <v>1121</v>
      </c>
      <c r="Y1" s="3396"/>
      <c r="Z1" s="3396"/>
      <c r="AA1" s="3396"/>
      <c r="AB1" s="3396"/>
      <c r="AD1" s="3395" t="s">
        <v>1122</v>
      </c>
      <c r="AE1" s="3396"/>
      <c r="AF1" s="3396"/>
      <c r="AG1" s="3396"/>
      <c r="AH1" s="339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9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9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9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0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0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9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9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0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0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9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9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9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9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9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9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9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9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9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9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9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0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0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0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0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9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9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9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9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9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9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9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9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9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9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9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9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9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9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9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9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9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9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9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9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9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9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9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9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9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9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9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9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9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9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9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9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9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9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9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9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9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9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9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9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9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9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9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9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Q18" sqref="Q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09" t="s">
        <v>2827</v>
      </c>
      <c r="D1" s="3410"/>
      <c r="E1" s="3410"/>
      <c r="F1" s="3410"/>
      <c r="G1" s="3410"/>
      <c r="H1" s="3410"/>
      <c r="I1" s="3410"/>
      <c r="J1" s="3410"/>
      <c r="K1" s="3410"/>
      <c r="L1" s="3410"/>
      <c r="M1" s="3410"/>
      <c r="N1" s="3410"/>
      <c r="O1" s="3410"/>
      <c r="P1" s="3410"/>
      <c r="Q1" s="3410"/>
      <c r="R1" s="3410"/>
      <c r="S1" s="3411"/>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3129</v>
      </c>
      <c r="C5" s="3054" t="s">
        <v>3130</v>
      </c>
      <c r="D5" s="3055" t="s">
        <v>3131</v>
      </c>
      <c r="E5" s="3055" t="s">
        <v>3132</v>
      </c>
      <c r="F5" s="3056" t="s">
        <v>3133</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3134</v>
      </c>
      <c r="C7" s="3058" t="s">
        <v>3136</v>
      </c>
      <c r="D7" s="3059" t="s">
        <v>3135</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2069</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34765</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406" t="s">
        <v>33</v>
      </c>
      <c r="D22" s="3407"/>
      <c r="E22" s="3407"/>
      <c r="F22" s="3407"/>
      <c r="G22" s="3407"/>
      <c r="H22" s="3407"/>
      <c r="I22" s="3407"/>
      <c r="J22" s="3407"/>
      <c r="K22" s="3407"/>
      <c r="L22" s="3407"/>
      <c r="M22" s="3407"/>
      <c r="N22" s="3407"/>
      <c r="O22" s="3407"/>
      <c r="P22" s="3407"/>
      <c r="Q22" s="3408"/>
      <c r="R22" s="672">
        <f ca="1">ROUND(S22*10000/B22,0)</f>
        <v>34765</v>
      </c>
      <c r="S22" s="24">
        <f ca="1">SUM(S24:S10000)</f>
        <v>2069</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34523</v>
      </c>
      <c r="S24" s="675">
        <f t="shared" ref="S24:S54" ca="1" si="11">ROUND(R24*B24/10000,0)</f>
        <v>434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34523</v>
      </c>
      <c r="S25" s="322">
        <f t="shared" ca="1" si="11"/>
        <v>478</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34523</v>
      </c>
      <c r="S26" s="322">
        <f t="shared" ca="1" si="11"/>
        <v>475</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34523</v>
      </c>
      <c r="S27" s="322">
        <f t="shared" ca="1" si="11"/>
        <v>418</v>
      </c>
    </row>
    <row r="28" spans="1:45">
      <c r="A28" s="57">
        <v>105</v>
      </c>
      <c r="B28" s="674">
        <f>'数据-基础表'!I17</f>
        <v>72.12</v>
      </c>
      <c r="C28" s="24">
        <f t="shared" si="12"/>
        <v>1.01</v>
      </c>
      <c r="D28" s="3041" t="s">
        <v>3098</v>
      </c>
      <c r="E28" s="24">
        <f t="shared" si="13"/>
        <v>1</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36612</v>
      </c>
      <c r="S28" s="322">
        <f t="shared" ca="1" si="11"/>
        <v>264</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30602</v>
      </c>
      <c r="C2" s="2" t="s">
        <v>133</v>
      </c>
      <c r="D2" s="205"/>
      <c r="E2" s="205"/>
      <c r="F2" s="205"/>
      <c r="G2" s="205"/>
    </row>
    <row r="3" spans="1:7" s="206" customFormat="1" ht="18" customHeight="1" thickBot="1">
      <c r="A3" s="209" t="s">
        <v>85</v>
      </c>
      <c r="B3" s="210">
        <f ca="1">ROUND(B2*10000/'数据-汇总表'!E3,0)</f>
        <v>241598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1266.6499999999999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1266.6499999999999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1503</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30169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v>
      </c>
      <c r="D34" s="223"/>
      <c r="E34" s="226"/>
      <c r="F34" s="263">
        <f>IF('数据-取费表'!B24=0,1,'数据-取费表'!N16)</f>
        <v>1</v>
      </c>
      <c r="G34" s="225" t="s">
        <v>116</v>
      </c>
    </row>
    <row r="35" spans="1:7" ht="13.5" customHeight="1">
      <c r="A35" s="888" t="s">
        <v>796</v>
      </c>
      <c r="B35" s="221" t="s">
        <v>60</v>
      </c>
      <c r="C35" s="226">
        <f>ROUND(C34*F35,0)</f>
        <v>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1266.6499999999999</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v>
      </c>
      <c r="D42" s="244"/>
      <c r="E42" s="244"/>
      <c r="F42" s="245"/>
      <c r="G42" s="3260" t="s">
        <v>121</v>
      </c>
    </row>
    <row r="43" spans="1:7" ht="13.5" customHeight="1">
      <c r="A43" s="888" t="s">
        <v>792</v>
      </c>
      <c r="B43" s="221" t="s">
        <v>1032</v>
      </c>
      <c r="C43" s="244">
        <f ca="1">ROUND(IF('数据-取费表'!B22&lt;=1,C39*F22*'数据-取费表'!B21/2,C39*(POWER((1+F22),'数据-取费表'!B21/2)-1)),0)</f>
        <v>0</v>
      </c>
      <c r="D43" s="244"/>
      <c r="E43" s="244"/>
      <c r="F43" s="245"/>
      <c r="G43" s="3261"/>
    </row>
    <row r="44" spans="1:7" ht="13.5" customHeight="1">
      <c r="A44" s="888" t="s">
        <v>793</v>
      </c>
      <c r="B44" s="221" t="s">
        <v>1034</v>
      </c>
      <c r="C44" s="244">
        <f ca="1">ROUND(IF('数据-取费表'!B22&lt;=1,C40*F22*'数据-取费表'!B21/2,C40*(POWER((1+F22),'数据-取费表'!B21/2)-1)),4)</f>
        <v>6.9999999999999999E-4</v>
      </c>
      <c r="D44" s="244"/>
      <c r="E44" s="244"/>
      <c r="F44" s="245"/>
      <c r="G44" s="3262"/>
    </row>
    <row r="45" spans="1:7" s="220" customFormat="1" ht="13.5" customHeight="1">
      <c r="A45" s="885" t="s">
        <v>786</v>
      </c>
      <c r="B45" s="250" t="s">
        <v>112</v>
      </c>
      <c r="C45" s="251">
        <f>C46</f>
        <v>101</v>
      </c>
      <c r="D45" s="241">
        <f>C47</f>
        <v>5.0000000000000001E-3</v>
      </c>
      <c r="E45" s="242" t="s">
        <v>129</v>
      </c>
      <c r="F45" s="252"/>
      <c r="G45" s="253" t="s">
        <v>1040</v>
      </c>
    </row>
    <row r="46" spans="1:7" s="220" customFormat="1" ht="13.5" customHeight="1">
      <c r="A46" s="888" t="s">
        <v>794</v>
      </c>
      <c r="B46" s="254" t="s">
        <v>1033</v>
      </c>
      <c r="C46" s="255">
        <f>ROUND((C33+C39)*F27,0)</f>
        <v>101</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562</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433</v>
      </c>
      <c r="D51" s="238"/>
      <c r="E51" s="238"/>
      <c r="F51" s="270"/>
      <c r="G51" s="240" t="s">
        <v>64</v>
      </c>
    </row>
    <row r="52" spans="1:7" s="214" customFormat="1" ht="16.5" thickBot="1">
      <c r="A52" s="271" t="s">
        <v>65</v>
      </c>
      <c r="B52" s="272"/>
      <c r="C52" s="273">
        <f ca="1">C31+C51</f>
        <v>30602</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2" t="s">
        <v>156</v>
      </c>
      <c r="B1" s="3412"/>
      <c r="C1" s="3412"/>
      <c r="D1" s="3412"/>
      <c r="E1" s="3412"/>
      <c r="F1" s="34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3" t="s">
        <v>169</v>
      </c>
      <c r="B2" s="3413"/>
      <c r="C2" s="3413"/>
      <c r="D2" s="3413"/>
      <c r="E2" s="3413"/>
      <c r="F2" s="34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2" t="s">
        <v>839</v>
      </c>
      <c r="B1" s="341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2" t="str">
        <f>IF(项目基本情况!B9="房地产市场价值","估价结果一览表","结果表-2")</f>
        <v>估价结果一览表</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房地产市场价值</v>
      </c>
      <c r="I2" s="3083"/>
    </row>
    <row r="3" spans="1:9" ht="15">
      <c r="A3" s="3084"/>
      <c r="B3" s="3084"/>
      <c r="C3" s="3084"/>
      <c r="D3" s="963" t="s">
        <v>1603</v>
      </c>
      <c r="E3" s="963" t="s">
        <v>1609</v>
      </c>
      <c r="F3" s="963" t="s">
        <v>1603</v>
      </c>
      <c r="G3" s="963" t="s">
        <v>1604</v>
      </c>
      <c r="H3" s="963" t="s">
        <v>1603</v>
      </c>
      <c r="I3" s="963" t="s">
        <v>1604</v>
      </c>
    </row>
    <row r="4" spans="1:9" ht="15">
      <c r="A4" s="1692" t="str">
        <f>项目基本情况!S2</f>
        <v>北京市房地产</v>
      </c>
      <c r="B4" s="963">
        <f>项目基本情况!C17</f>
        <v>1266.6499999999999</v>
      </c>
      <c r="C4" s="963">
        <f>项目基本情况!C18</f>
        <v>0</v>
      </c>
      <c r="D4" s="963" t="e">
        <f ca="1">结果表!D118</f>
        <v>#REF!</v>
      </c>
      <c r="E4" s="963" t="e">
        <f ca="1">结果表!E118</f>
        <v>#REF!</v>
      </c>
      <c r="F4" s="963" t="e">
        <f ca="1">结果表!F118</f>
        <v>#REF!</v>
      </c>
      <c r="G4" s="963" t="e">
        <f ca="1">结果表!G118</f>
        <v>#REF!</v>
      </c>
      <c r="H4" s="963">
        <f ca="1">结果表!H118</f>
        <v>434</v>
      </c>
      <c r="I4" s="963">
        <f ca="1">结果表!I118</f>
        <v>34523</v>
      </c>
    </row>
    <row r="5" spans="1:9" ht="30" customHeight="1">
      <c r="A5" s="3084" t="s">
        <v>1605</v>
      </c>
      <c r="B5" s="3084"/>
      <c r="C5" s="3084"/>
      <c r="D5" s="3085" t="e">
        <f ca="1">结果表!D119</f>
        <v>#REF!</v>
      </c>
      <c r="E5" s="3085"/>
      <c r="F5" s="3085" t="e">
        <f ca="1">结果表!F119</f>
        <v>#REF!</v>
      </c>
      <c r="G5" s="3085"/>
      <c r="H5" s="3085" t="str">
        <f ca="1">结果表!H119</f>
        <v>肆佰叁拾肆万元整</v>
      </c>
      <c r="I5" s="3085"/>
    </row>
    <row r="6" spans="1:9" ht="15.75">
      <c r="A6" s="3086" t="str">
        <f>结果表!A120</f>
        <v/>
      </c>
      <c r="B6" s="3086"/>
      <c r="C6" s="3086"/>
      <c r="D6" s="3086">
        <f>结果表!D120</f>
        <v>0</v>
      </c>
      <c r="E6" s="3086"/>
      <c r="F6" s="3086"/>
      <c r="G6" s="3086"/>
      <c r="H6" s="3086"/>
      <c r="I6" s="3086"/>
    </row>
    <row r="7" spans="1:9" ht="15">
      <c r="A7" s="3084" t="s">
        <v>1605</v>
      </c>
      <c r="B7" s="3084"/>
      <c r="C7" s="3084"/>
      <c r="D7" s="3087" t="str">
        <f>结果表!D121</f>
        <v>零元整</v>
      </c>
      <c r="E7" s="3088"/>
      <c r="F7" s="3088"/>
      <c r="G7" s="3088"/>
      <c r="H7" s="3088"/>
      <c r="I7" s="3089"/>
    </row>
    <row r="8" spans="1:9" ht="15.75">
      <c r="A8" s="3086" t="str">
        <f>结果表!A122</f>
        <v/>
      </c>
      <c r="B8" s="3086"/>
      <c r="C8" s="3086"/>
      <c r="D8" s="3086">
        <f ca="1">结果表!D122</f>
        <v>434</v>
      </c>
      <c r="E8" s="3086"/>
      <c r="F8" s="3086"/>
      <c r="G8" s="3086"/>
      <c r="H8" s="3086"/>
      <c r="I8" s="3086"/>
    </row>
    <row r="9" spans="1:9" ht="15">
      <c r="A9" s="3084" t="s">
        <v>1605</v>
      </c>
      <c r="B9" s="3084"/>
      <c r="C9" s="3084"/>
      <c r="D9" s="3085" t="str">
        <f ca="1">结果表!D123</f>
        <v>肆佰叁拾肆万元整</v>
      </c>
      <c r="E9" s="3085"/>
      <c r="F9" s="3085"/>
      <c r="G9" s="3085"/>
      <c r="H9" s="3085"/>
      <c r="I9" s="3085"/>
    </row>
    <row r="10" spans="1:9" ht="15.75">
      <c r="A10" s="3086" t="str">
        <f>结果表!A124</f>
        <v/>
      </c>
      <c r="B10" s="3086"/>
      <c r="C10" s="3086"/>
      <c r="D10" s="3086" t="str">
        <f>结果表!D124</f>
        <v>——</v>
      </c>
      <c r="E10" s="3086"/>
      <c r="F10" s="3086"/>
      <c r="G10" s="3086"/>
      <c r="H10" s="3086"/>
      <c r="I10" s="3086"/>
    </row>
    <row r="11" spans="1:9" ht="15">
      <c r="A11" s="3084" t="s">
        <v>1605</v>
      </c>
      <c r="B11" s="3084"/>
      <c r="C11" s="3084"/>
      <c r="D11" s="3085" t="e">
        <f>结果表!D125</f>
        <v>#VALUE!</v>
      </c>
      <c r="E11" s="3085"/>
      <c r="F11" s="3085"/>
      <c r="G11" s="3085"/>
      <c r="H11" s="3085"/>
      <c r="I11" s="3085"/>
    </row>
    <row r="12" spans="1:9" ht="15.75">
      <c r="A12" s="3086" t="str">
        <f>结果表!A126</f>
        <v/>
      </c>
      <c r="B12" s="3086"/>
      <c r="C12" s="3086"/>
      <c r="D12" s="3086" t="str">
        <f>结果表!D126</f>
        <v>——</v>
      </c>
      <c r="E12" s="3086"/>
      <c r="F12" s="3086"/>
      <c r="G12" s="3086"/>
      <c r="H12" s="3086"/>
      <c r="I12" s="3086"/>
    </row>
    <row r="13" spans="1:9" ht="15.75" thickBot="1">
      <c r="A13" s="3090" t="s">
        <v>1605</v>
      </c>
      <c r="B13" s="3090"/>
      <c r="C13" s="3090"/>
      <c r="D13" s="3091" t="e">
        <f>结果表!D127</f>
        <v>#VALUE!</v>
      </c>
      <c r="E13" s="3091"/>
      <c r="F13" s="3091"/>
      <c r="G13" s="3091"/>
      <c r="H13" s="3091"/>
      <c r="I13" s="3091"/>
    </row>
    <row r="14" spans="1:9" ht="15" thickTop="1">
      <c r="A14" s="3092" t="s">
        <v>1610</v>
      </c>
      <c r="B14" s="3092"/>
      <c r="C14" s="3092"/>
      <c r="D14" s="3092"/>
      <c r="E14" s="3092"/>
      <c r="F14" s="3092"/>
      <c r="G14" s="3092"/>
      <c r="H14" s="3092"/>
      <c r="I14" s="309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3" t="s">
        <v>1627</v>
      </c>
      <c r="B1" s="3093"/>
      <c r="C1" s="3093"/>
      <c r="D1" s="3093"/>
    </row>
    <row r="2" spans="1:4" ht="18">
      <c r="A2" s="3094" t="s">
        <v>1611</v>
      </c>
      <c r="B2" s="3094"/>
      <c r="C2" s="3094"/>
      <c r="D2" s="3094"/>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094" t="s">
        <v>1617</v>
      </c>
      <c r="B6" s="3094"/>
      <c r="C6" s="3094"/>
      <c r="D6" s="309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5"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7"/>
      <c r="C12" s="3097"/>
      <c r="D12" s="3097"/>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7"/>
      <c r="C13" s="3097"/>
      <c r="D13" s="3097"/>
    </row>
    <row r="14" spans="1:4" ht="15.75" customHeight="1">
      <c r="A14" s="3096" t="str">
        <f>IF(项目基本情况!B8="抵押","4.本次评估估价师所知悉的法定优先受偿款情况说明如下：","——")</f>
        <v>4.本次评估估价师所知悉的法定优先受偿款情况说明如下：</v>
      </c>
      <c r="B14" s="3097"/>
      <c r="C14" s="3097"/>
      <c r="D14" s="3097"/>
    </row>
    <row r="15" spans="1:4" ht="42" customHeight="1">
      <c r="A15" s="30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9" t="s">
        <v>1621</v>
      </c>
      <c r="B16" s="3099"/>
      <c r="C16" s="3099"/>
      <c r="D16" s="3099"/>
    </row>
    <row r="17" spans="1:4" ht="144" customHeight="1">
      <c r="A17" s="3099" t="s">
        <v>1622</v>
      </c>
      <c r="B17" s="3099"/>
      <c r="C17" s="3099"/>
      <c r="D17" s="3099"/>
    </row>
    <row r="18" spans="1:4" ht="15.75" customHeight="1">
      <c r="A18" s="3096" t="str">
        <f>IF(项目基本情况!B8="抵押",结果表!K120,"——")</f>
        <v>故，本次评估不存在</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1623</v>
      </c>
      <c r="B22" s="3101"/>
      <c r="C22" s="3101"/>
      <c r="D22" s="310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7" t="s">
        <v>1634</v>
      </c>
      <c r="B15" s="3102" t="s">
        <v>136</v>
      </c>
      <c r="C15" s="3103"/>
    </row>
    <row r="16" spans="1:7" ht="13.5">
      <c r="A16" s="3108"/>
      <c r="B16" s="3102" t="s">
        <v>69</v>
      </c>
      <c r="C16" s="3103"/>
    </row>
    <row r="17" spans="1:3" ht="13.5">
      <c r="A17" s="3108"/>
      <c r="B17" s="3105" t="s">
        <v>1635</v>
      </c>
      <c r="C17" s="1719" t="s">
        <v>1634</v>
      </c>
    </row>
    <row r="18" spans="1:3" ht="13.5">
      <c r="A18" s="3108"/>
      <c r="B18" s="3105"/>
      <c r="C18" s="1719" t="s">
        <v>1636</v>
      </c>
    </row>
    <row r="19" spans="1:3" ht="13.5">
      <c r="A19" s="3108"/>
      <c r="B19" s="3105"/>
      <c r="C19" s="1719" t="s">
        <v>1637</v>
      </c>
    </row>
    <row r="20" spans="1:3" ht="13.5">
      <c r="A20" s="3109"/>
      <c r="B20" s="3104" t="s">
        <v>1638</v>
      </c>
      <c r="C20" s="3103"/>
    </row>
    <row r="21" spans="1:3" ht="13.5">
      <c r="A21" s="1720" t="s">
        <v>1639</v>
      </c>
      <c r="B21" s="1721"/>
      <c r="C21" s="1722"/>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9" t="s">
        <v>1645</v>
      </c>
    </row>
    <row r="26" spans="1:3" ht="13.5">
      <c r="A26" s="3106"/>
      <c r="B26" s="3105"/>
      <c r="C26" s="1719" t="s">
        <v>1646</v>
      </c>
    </row>
    <row r="27" spans="1:3" ht="13.5">
      <c r="A27" s="3106"/>
      <c r="B27" s="3105"/>
      <c r="C27" s="1719" t="s">
        <v>1647</v>
      </c>
    </row>
    <row r="28" spans="1:3" ht="13.5">
      <c r="A28" s="3106"/>
      <c r="B28" s="3105"/>
      <c r="C28" s="1719" t="s">
        <v>1648</v>
      </c>
    </row>
    <row r="29" spans="1:3" ht="13.5">
      <c r="A29" s="3106"/>
      <c r="B29" s="3105"/>
      <c r="C29" s="1719" t="s">
        <v>1649</v>
      </c>
    </row>
    <row r="30" spans="1:3" ht="13.5">
      <c r="A30" s="3106"/>
      <c r="B30" s="3105"/>
      <c r="C30" s="1719" t="s">
        <v>1650</v>
      </c>
    </row>
    <row r="31" spans="1:3" ht="13.5">
      <c r="A31" s="3106"/>
      <c r="B31" s="3105"/>
      <c r="C31" s="1719" t="s">
        <v>1651</v>
      </c>
    </row>
    <row r="32" spans="1:3" ht="13.5">
      <c r="A32" s="3106"/>
      <c r="B32" s="3105"/>
      <c r="C32" s="1719" t="s">
        <v>1652</v>
      </c>
    </row>
    <row r="33" spans="1:3" ht="13.5">
      <c r="A33" s="3106"/>
      <c r="B33" s="310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44225</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10" t="s">
        <v>2901</v>
      </c>
      <c r="B17" s="3110"/>
      <c r="C17" s="3110"/>
      <c r="D17" s="3110"/>
      <c r="E17" s="3110"/>
      <c r="F17" s="3110"/>
      <c r="G17" s="3110"/>
      <c r="H17" s="3110"/>
    </row>
    <row r="18" spans="1:8" ht="24" customHeight="1">
      <c r="A18" s="3111" t="s">
        <v>2902</v>
      </c>
      <c r="B18" s="3111"/>
      <c r="C18" s="3111"/>
      <c r="D18" s="2567"/>
      <c r="E18" s="3112" t="s">
        <v>2903</v>
      </c>
      <c r="F18" s="3111"/>
      <c r="G18" s="311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www</cp:lastModifiedBy>
  <cp:lastPrinted>2017-03-01T09:15:43Z</cp:lastPrinted>
  <dcterms:created xsi:type="dcterms:W3CDTF">2015-07-13T07:17:23Z</dcterms:created>
  <dcterms:modified xsi:type="dcterms:W3CDTF">2021-01-29T08:00:34Z</dcterms:modified>
</cp:coreProperties>
</file>