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78" r:id="rId17"/>
    <sheet name="案例" sheetId="77"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商业" sheetId="33" r:id="rId29"/>
    <sheet name="比较法-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29" hidden="1">'比较法-租金'!$A$1:$L$50</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9">'比较法-租金'!$A$1:$K$55,'比较法-租金'!$A$58:$M$132</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B17" i="74"/>
  <c r="B18" i="74"/>
  <c r="B15" i="74"/>
  <c r="C34" i="34" l="1"/>
  <c r="I7" i="34"/>
  <c r="G7" i="34"/>
  <c r="E7" i="34"/>
  <c r="B25" i="31" l="1"/>
  <c r="B26" i="31"/>
  <c r="B27" i="31"/>
  <c r="B28" i="31"/>
  <c r="B24" i="31"/>
  <c r="C33" i="33" l="1"/>
  <c r="I7" i="33"/>
  <c r="G7" i="33"/>
  <c r="F20" i="6"/>
  <c r="Y7" i="1" l="1"/>
  <c r="Y6" i="1"/>
  <c r="N7" i="1"/>
  <c r="N6" i="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H21" i="33"/>
  <c r="U21" i="33" s="1"/>
  <c r="F21" i="33"/>
  <c r="S21" i="33" s="1"/>
  <c r="E83" i="21"/>
  <c r="S21" i="21"/>
  <c r="H1" i="69"/>
  <c r="AC25" i="40"/>
  <c r="W25" i="40"/>
  <c r="AB25" i="40"/>
  <c r="U25" i="40"/>
  <c r="AB29" i="39"/>
  <c r="U29" i="39"/>
  <c r="AC29" i="39"/>
  <c r="W29" i="39"/>
  <c r="AC18" i="36"/>
  <c r="W18" i="36"/>
  <c r="AB21" i="37"/>
  <c r="U21" i="37"/>
  <c r="AA21" i="37"/>
  <c r="S21" i="37"/>
  <c r="AA21" i="33"/>
  <c r="AB18" i="35"/>
  <c r="U18" i="35"/>
  <c r="AC18" i="35"/>
  <c r="W18" i="35"/>
  <c r="G77" i="37"/>
  <c r="J21" i="37"/>
  <c r="J21" i="34"/>
  <c r="W21" i="34" s="1"/>
  <c r="J21" i="33"/>
  <c r="W21" i="33" s="1"/>
  <c r="F83" i="21"/>
  <c r="H21" i="21"/>
  <c r="F38" i="69"/>
  <c r="E37" i="69"/>
  <c r="F36" i="69"/>
  <c r="F35" i="69"/>
  <c r="F21" i="69"/>
  <c r="F40" i="69" s="1"/>
  <c r="F20" i="69"/>
  <c r="F39" i="69" s="1"/>
  <c r="E10" i="69"/>
  <c r="E9" i="69"/>
  <c r="C7" i="69"/>
  <c r="AC21" i="37"/>
  <c r="W21" i="37"/>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AC35" i="34" s="1"/>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J28" i="34"/>
  <c r="W28" i="34" s="1"/>
  <c r="F41" i="33"/>
  <c r="AA41" i="33"/>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c r="H114" i="34" s="1"/>
  <c r="I114" i="34" s="1"/>
  <c r="J114" i="34" s="1"/>
  <c r="K114" i="34" s="1"/>
  <c r="L114" i="34" s="1"/>
  <c r="M114" i="34" s="1"/>
  <c r="H38" i="34"/>
  <c r="AB38" i="34" s="1"/>
  <c r="J36" i="34"/>
  <c r="W36"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AC44" i="34"/>
  <c r="S15" i="37"/>
  <c r="U13" i="37"/>
  <c r="U12" i="40"/>
  <c r="AA12" i="40"/>
  <c r="J37" i="33"/>
  <c r="W37" i="33" s="1"/>
  <c r="F106" i="33"/>
  <c r="G106" i="33"/>
  <c r="H106" i="33"/>
  <c r="I106" i="33"/>
  <c r="J106" i="33"/>
  <c r="K106" i="33"/>
  <c r="L106" i="33"/>
  <c r="M106" i="33"/>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K6" i="1"/>
  <c r="B29" i="1" s="1"/>
  <c r="C8" i="68" s="1"/>
  <c r="G29" i="6"/>
  <c r="E29" i="6" s="1"/>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F121" i="33"/>
  <c r="G121" i="33"/>
  <c r="H121" i="33"/>
  <c r="I121" i="33"/>
  <c r="J121" i="33"/>
  <c r="K121" i="33"/>
  <c r="L121" i="33"/>
  <c r="M121" i="33"/>
  <c r="U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BL17" i="3"/>
  <c r="AZ17" i="3" s="1"/>
  <c r="BL13" i="3"/>
  <c r="G30" i="6"/>
  <c r="G31" i="6" s="1"/>
  <c r="J56" i="9"/>
  <c r="J57" i="9" s="1"/>
  <c r="J59" i="9" s="1"/>
  <c r="J61" i="9" s="1"/>
  <c r="A24" i="51"/>
  <c r="B18" i="72" s="1"/>
  <c r="U29" i="34"/>
  <c r="E14" i="6"/>
  <c r="E64" i="39" s="1"/>
  <c r="E5" i="6"/>
  <c r="D19" i="12" s="1"/>
  <c r="C19" i="12" s="1"/>
  <c r="E32" i="6"/>
  <c r="L19" i="6"/>
  <c r="G1" i="68"/>
  <c r="K1" i="12"/>
  <c r="F30" i="6"/>
  <c r="E28"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c r="C59" i="34"/>
  <c r="D59" i="34"/>
  <c r="E59" i="34" s="1"/>
  <c r="F59" i="34"/>
  <c r="C52" i="37"/>
  <c r="D52" i="37"/>
  <c r="A4" i="51"/>
  <c r="B6" i="72" s="1"/>
  <c r="C48" i="35"/>
  <c r="C4" i="12"/>
  <c r="H66" i="43"/>
  <c r="H65" i="43"/>
  <c r="H64" i="43"/>
  <c r="H63" i="43"/>
  <c r="H55" i="43"/>
  <c r="H56" i="43"/>
  <c r="H72" i="43"/>
  <c r="L20" i="6"/>
  <c r="B6" i="1"/>
  <c r="E6" i="1"/>
  <c r="S8" i="1"/>
  <c r="AQ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W33" i="34"/>
  <c r="AC14" i="34"/>
  <c r="AC32" i="34"/>
  <c r="AC29" i="34"/>
  <c r="W29" i="34"/>
  <c r="W46" i="34"/>
  <c r="AC46" i="34"/>
  <c r="S32" i="34"/>
  <c r="AA32" i="34"/>
  <c r="U30" i="34"/>
  <c r="AB30" i="34"/>
  <c r="W40" i="34"/>
  <c r="AA36" i="34"/>
  <c r="AA8" i="34"/>
  <c r="S8" i="34"/>
  <c r="AB9" i="34"/>
  <c r="U9" i="34"/>
  <c r="S46" i="34"/>
  <c r="AA46" i="34"/>
  <c r="U32" i="34"/>
  <c r="AB32" i="34"/>
  <c r="U14" i="34"/>
  <c r="AB14" i="34"/>
  <c r="AC43" i="34"/>
  <c r="W43" i="34"/>
  <c r="W35" i="34"/>
  <c r="U12" i="34"/>
  <c r="AB12" i="34"/>
  <c r="AB28" i="33"/>
  <c r="W46" i="33"/>
  <c r="U39" i="33"/>
  <c r="U38" i="33"/>
  <c r="S33" i="33"/>
  <c r="U44" i="33"/>
  <c r="AB44" i="33"/>
  <c r="S30" i="33"/>
  <c r="AA30" i="33"/>
  <c r="AC14" i="33"/>
  <c r="W14" i="33"/>
  <c r="AC30" i="33"/>
  <c r="W30" i="33"/>
  <c r="S31" i="33"/>
  <c r="AA31" i="33"/>
  <c r="W13" i="33"/>
  <c r="AC13" i="33"/>
  <c r="S11" i="33"/>
  <c r="U37"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Q9" i="1"/>
  <c r="AR11" i="1"/>
  <c r="E59" i="40"/>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C10" i="34" s="1"/>
  <c r="AB41" i="33"/>
  <c r="U41" i="33"/>
  <c r="W35" i="33"/>
  <c r="AC35" i="33"/>
  <c r="H111" i="33"/>
  <c r="I111" i="33"/>
  <c r="J111" i="33"/>
  <c r="K111" i="33"/>
  <c r="L111" i="33"/>
  <c r="M111" i="33"/>
  <c r="J36" i="33"/>
  <c r="H36" i="33"/>
  <c r="AB36" i="33" s="1"/>
  <c r="W32" i="33"/>
  <c r="J27" i="33"/>
  <c r="W27" i="33" s="1"/>
  <c r="S25" i="33"/>
  <c r="J25" i="33"/>
  <c r="AC25" i="33" s="1"/>
  <c r="AC10" i="33"/>
  <c r="W10" i="33"/>
  <c r="AC37" i="21"/>
  <c r="U33" i="21"/>
  <c r="S37" i="21"/>
  <c r="AA23" i="21"/>
  <c r="AB15" i="21"/>
  <c r="J23" i="21"/>
  <c r="F85" i="21"/>
  <c r="G85" i="21"/>
  <c r="H23" i="21"/>
  <c r="S13" i="21"/>
  <c r="D6" i="52"/>
  <c r="S6" i="43"/>
  <c r="S4" i="43"/>
  <c r="S7" i="43"/>
  <c r="K14" i="1"/>
  <c r="M14" i="1" s="1"/>
  <c r="O14" i="1" s="1"/>
  <c r="P14" i="1" s="1"/>
  <c r="AR8" i="1"/>
  <c r="T8" i="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J11" i="34"/>
  <c r="AC36" i="33"/>
  <c r="W36" i="33"/>
  <c r="U36" i="33"/>
  <c r="U23" i="21"/>
  <c r="AB23" i="21"/>
  <c r="AC23" i="21"/>
  <c r="W23" i="21"/>
  <c r="AC11" i="37"/>
  <c r="W11" i="37"/>
  <c r="W11" i="34"/>
  <c r="AC11" i="34"/>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H112" i="9"/>
  <c r="D21" i="53"/>
  <c r="B39" i="72"/>
  <c r="H111" i="9"/>
  <c r="D126" i="9"/>
  <c r="D19" i="53"/>
  <c r="B38" i="72"/>
  <c r="D20" i="53"/>
  <c r="B40" i="72"/>
  <c r="I14" i="74"/>
  <c r="B8" i="74"/>
  <c r="D127" i="9"/>
  <c r="D13" i="52"/>
  <c r="D12" i="52"/>
  <c r="AD3" i="71"/>
  <c r="D63" i="40"/>
  <c r="E63" i="40" s="1"/>
  <c r="E65" i="40" s="1"/>
  <c r="J1" i="73"/>
  <c r="AA7" i="3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E68" i="39" s="1"/>
  <c r="E70" i="39" s="1"/>
  <c r="AC7" i="33"/>
  <c r="D58" i="2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G17" i="43"/>
  <c r="C16" i="43"/>
  <c r="D5" i="43"/>
  <c r="C5" i="43"/>
  <c r="E58" i="21"/>
  <c r="F58" i="21" s="1"/>
  <c r="G58" i="21" s="1"/>
  <c r="H58" i="21" s="1"/>
  <c r="I58" i="21"/>
  <c r="J58" i="21" s="1"/>
  <c r="K58" i="21" s="1"/>
  <c r="L58" i="21" s="1"/>
  <c r="M58" i="21" s="1"/>
  <c r="D70" i="39"/>
  <c r="H59" i="34"/>
  <c r="V13" i="71"/>
  <c r="C13" i="71"/>
  <c r="D14" i="71"/>
  <c r="F63" i="40"/>
  <c r="E41" i="43"/>
  <c r="C41" i="43"/>
  <c r="C20" i="43"/>
  <c r="F68" i="39"/>
  <c r="F70" i="39" s="1"/>
  <c r="I59" i="34"/>
  <c r="D11" i="71"/>
  <c r="T13" i="71"/>
  <c r="D12" i="71"/>
  <c r="D13" i="71"/>
  <c r="F65" i="40"/>
  <c r="G63" i="40"/>
  <c r="H63" i="40" s="1"/>
  <c r="H65" i="40" s="1"/>
  <c r="G68" i="39"/>
  <c r="G70" i="39" s="1"/>
  <c r="C19" i="43"/>
  <c r="U13" i="71"/>
  <c r="G65" i="40"/>
  <c r="H68" i="39"/>
  <c r="I68" i="39" s="1"/>
  <c r="J68" i="39" s="1"/>
  <c r="I63" i="40"/>
  <c r="I65" i="40" s="1"/>
  <c r="H70" i="39"/>
  <c r="I70" i="39"/>
  <c r="K68" i="39"/>
  <c r="J70" i="39"/>
  <c r="L68" i="39"/>
  <c r="K70" i="39"/>
  <c r="M68" i="39"/>
  <c r="L70" i="39"/>
  <c r="N68" i="39"/>
  <c r="M70" i="39"/>
  <c r="O68" i="39"/>
  <c r="O70" i="39" s="1"/>
  <c r="N70" i="39"/>
  <c r="F7" i="73"/>
  <c r="F4" i="73"/>
  <c r="F6" i="73"/>
  <c r="M29" i="15"/>
  <c r="M28" i="67"/>
  <c r="D6" i="73"/>
  <c r="F9" i="67"/>
  <c r="D2" i="21"/>
  <c r="M6" i="67"/>
  <c r="F42" i="67"/>
  <c r="F37" i="15"/>
  <c r="M9" i="67"/>
  <c r="AO8" i="1"/>
  <c r="E11" i="76"/>
  <c r="AO9" i="1"/>
  <c r="B7" i="76"/>
  <c r="D5" i="73"/>
  <c r="D2" i="36"/>
  <c r="F7" i="67"/>
  <c r="B9" i="76"/>
  <c r="AO11" i="1"/>
  <c r="F13" i="67"/>
  <c r="M22" i="15"/>
  <c r="E2" i="68"/>
  <c r="L48" i="67"/>
  <c r="M8" i="15"/>
  <c r="D2" i="37"/>
  <c r="AO10" i="1"/>
  <c r="F43" i="15"/>
  <c r="F36" i="67"/>
  <c r="M6" i="15"/>
  <c r="D34" i="9"/>
  <c r="E13" i="76"/>
  <c r="D4" i="73"/>
  <c r="M26" i="15"/>
  <c r="D2" i="34"/>
  <c r="L47" i="15"/>
  <c r="E10" i="76"/>
  <c r="B13" i="76"/>
  <c r="F40" i="67"/>
  <c r="M27" i="15"/>
  <c r="F7" i="15"/>
  <c r="D3" i="73"/>
  <c r="E9" i="76"/>
  <c r="F40" i="15"/>
  <c r="F36" i="15"/>
  <c r="D2" i="33"/>
  <c r="M22" i="67"/>
  <c r="AO13" i="1"/>
  <c r="F9" i="15"/>
  <c r="D35" i="9"/>
  <c r="F16" i="15"/>
  <c r="F38" i="15"/>
  <c r="M8" i="67"/>
  <c r="B8" i="76"/>
  <c r="F26" i="67"/>
  <c r="E8" i="76"/>
  <c r="D7" i="73"/>
  <c r="M9" i="15"/>
  <c r="F38" i="67"/>
  <c r="B12" i="76"/>
  <c r="M26" i="67"/>
  <c r="M24" i="67"/>
  <c r="B10" i="76"/>
  <c r="F43" i="67"/>
  <c r="F13" i="15"/>
  <c r="E7" i="76"/>
  <c r="F20" i="31"/>
  <c r="M28" i="15"/>
  <c r="F3" i="73"/>
  <c r="F6" i="15"/>
  <c r="B11" i="76"/>
  <c r="M23" i="15"/>
  <c r="F41" i="15"/>
  <c r="F5" i="73"/>
  <c r="AO12" i="1"/>
  <c r="L48" i="15"/>
  <c r="AO7" i="1"/>
  <c r="C76" i="67"/>
  <c r="F42" i="15"/>
  <c r="F37" i="67"/>
  <c r="M21" i="15"/>
  <c r="F35" i="15"/>
  <c r="F26" i="15"/>
  <c r="M27" i="67"/>
  <c r="C76" i="15"/>
  <c r="M23" i="67"/>
  <c r="F8" i="15"/>
  <c r="J15" i="67"/>
  <c r="F16" i="67"/>
  <c r="J15" i="15"/>
  <c r="E2" i="69"/>
  <c r="M24" i="15"/>
  <c r="M29" i="67"/>
  <c r="F8" i="67"/>
  <c r="E12" i="76"/>
  <c r="D2" i="35"/>
  <c r="L47" i="67"/>
  <c r="W40" i="33" l="1"/>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AB23" i="34"/>
  <c r="U21" i="34"/>
  <c r="S21" i="34"/>
  <c r="AB11" i="34"/>
  <c r="AA11" i="34"/>
  <c r="AB10" i="34"/>
  <c r="W10" i="34"/>
  <c r="S10" i="34"/>
  <c r="S9" i="34"/>
  <c r="W8" i="34"/>
  <c r="F79" i="33"/>
  <c r="G79" i="33" s="1"/>
  <c r="H17" i="33"/>
  <c r="J17" i="33"/>
  <c r="F17" i="33"/>
  <c r="AA17" i="33" s="1"/>
  <c r="F77" i="33"/>
  <c r="G77" i="33" s="1"/>
  <c r="F15" i="33"/>
  <c r="J15" i="33"/>
  <c r="AC15" i="33" s="1"/>
  <c r="H15" i="33"/>
  <c r="AB15" i="33" s="1"/>
  <c r="W15" i="33"/>
  <c r="S42" i="33"/>
  <c r="W43" i="33"/>
  <c r="AC37" i="33"/>
  <c r="AA36" i="33"/>
  <c r="U35" i="33"/>
  <c r="AB34" i="33"/>
  <c r="AA34" i="33"/>
  <c r="S32" i="33"/>
  <c r="AC28" i="33"/>
  <c r="S26" i="33"/>
  <c r="AB26" i="33"/>
  <c r="U27" i="33"/>
  <c r="AC27" i="33"/>
  <c r="W25" i="33"/>
  <c r="AB25" i="33"/>
  <c r="W23" i="33"/>
  <c r="U23" i="33"/>
  <c r="AB21" i="33"/>
  <c r="AA19" i="33"/>
  <c r="AB10" i="33"/>
  <c r="AA10" i="33"/>
  <c r="S9" i="33"/>
  <c r="U8" i="33"/>
  <c r="S8" i="33"/>
  <c r="E2" i="70"/>
  <c r="M6" i="1"/>
  <c r="O6" i="1" s="1"/>
  <c r="P6" i="1" s="1"/>
  <c r="BA19" i="3"/>
  <c r="AZ19" i="3" s="1"/>
  <c r="BL20" i="3"/>
  <c r="BA23" i="3"/>
  <c r="BL23" i="3"/>
  <c r="BL5" i="3"/>
  <c r="G5" i="3"/>
  <c r="B3" i="3" s="1"/>
  <c r="E125" i="3" s="1"/>
  <c r="O6" i="3"/>
  <c r="E350" i="3"/>
  <c r="E253" i="3"/>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Q16" i="1"/>
  <c r="F27" i="69" s="1"/>
  <c r="F45" i="69" s="1"/>
  <c r="BA18" i="3"/>
  <c r="BA20" i="3"/>
  <c r="AZ20" i="3" s="1"/>
  <c r="AZ23" i="3"/>
  <c r="E510" i="3"/>
  <c r="F27" i="6"/>
  <c r="F31" i="6" s="1"/>
  <c r="E56" i="39"/>
  <c r="E51" i="40"/>
  <c r="F22" i="43"/>
  <c r="K101" i="43"/>
  <c r="N101" i="43"/>
  <c r="G101" i="43"/>
  <c r="J101" i="43"/>
  <c r="L101" i="43"/>
  <c r="L106" i="43" s="1"/>
  <c r="D101" i="43"/>
  <c r="D105" i="43" s="1"/>
  <c r="I101" i="43"/>
  <c r="I109" i="43" s="1"/>
  <c r="G22" i="43"/>
  <c r="S2" i="43"/>
  <c r="T2" i="43" s="1"/>
  <c r="V2" i="43" s="1"/>
  <c r="AJ11" i="43"/>
  <c r="AJ13" i="43" s="1"/>
  <c r="AF11" i="43"/>
  <c r="AF13" i="43" s="1"/>
  <c r="AB11" i="43"/>
  <c r="AB13" i="43" s="1"/>
  <c r="Z7" i="43"/>
  <c r="AI11" i="43"/>
  <c r="AI13" i="43" s="1"/>
  <c r="AE11" i="43"/>
  <c r="AE13" i="43" s="1"/>
  <c r="AA11" i="43"/>
  <c r="AA13" i="43" s="1"/>
  <c r="C23" i="43"/>
  <c r="C21" i="43" s="1"/>
  <c r="C29" i="43" s="1"/>
  <c r="S3" i="43"/>
  <c r="J22" i="43"/>
  <c r="B113" i="43"/>
  <c r="F101" i="43"/>
  <c r="E22" i="43"/>
  <c r="C101" i="43"/>
  <c r="N104" i="46"/>
  <c r="H22" i="43"/>
  <c r="H101" i="43"/>
  <c r="M101" i="43"/>
  <c r="M104" i="43" s="1"/>
  <c r="E101" i="43"/>
  <c r="E104" i="43" s="1"/>
  <c r="AH11" i="43"/>
  <c r="AH13" i="43" s="1"/>
  <c r="AD11" i="43"/>
  <c r="AD13" i="43" s="1"/>
  <c r="Z11" i="43"/>
  <c r="Z13" i="43" s="1"/>
  <c r="S5" i="43"/>
  <c r="T5" i="43" s="1"/>
  <c r="V5" i="43" s="1"/>
  <c r="AG11" i="43"/>
  <c r="AG13" i="43" s="1"/>
  <c r="AC11" i="43"/>
  <c r="AC13" i="43" s="1"/>
  <c r="Y11" i="43"/>
  <c r="Y13" i="43" s="1"/>
  <c r="E12" i="6"/>
  <c r="E16" i="6" s="1"/>
  <c r="O7" i="1"/>
  <c r="P7" i="1" s="1"/>
  <c r="M16" i="1"/>
  <c r="C34" i="11" s="1"/>
  <c r="C38" i="11" s="1"/>
  <c r="C34" i="69"/>
  <c r="C35" i="69" s="1"/>
  <c r="F27" i="11"/>
  <c r="H16" i="1"/>
  <c r="C36" i="69"/>
  <c r="M109" i="43"/>
  <c r="M107" i="43"/>
  <c r="E61" i="39"/>
  <c r="E56" i="40"/>
  <c r="AZ22" i="3"/>
  <c r="I104" i="43"/>
  <c r="I105" i="43"/>
  <c r="D109" i="43"/>
  <c r="L109" i="43"/>
  <c r="L107" i="43"/>
  <c r="D9" i="11"/>
  <c r="C9" i="11" s="1"/>
  <c r="D9" i="69"/>
  <c r="C9" i="69" s="1"/>
  <c r="D9" i="68"/>
  <c r="C9" i="68" s="1"/>
  <c r="AQ13" i="1"/>
  <c r="AR10" i="1"/>
  <c r="O11" i="1"/>
  <c r="P11" i="1" s="1"/>
  <c r="O8" i="1"/>
  <c r="P8" i="1" s="1"/>
  <c r="K15" i="1"/>
  <c r="K16" i="1" s="1"/>
  <c r="E30" i="6"/>
  <c r="O9" i="1"/>
  <c r="P9" i="1" s="1"/>
  <c r="A19" i="51"/>
  <c r="B14" i="72" s="1"/>
  <c r="T35" i="4"/>
  <c r="N58" i="21"/>
  <c r="O58" i="21" s="1"/>
  <c r="H7" i="21"/>
  <c r="F7" i="39"/>
  <c r="S7" i="39" s="1"/>
  <c r="H7" i="39"/>
  <c r="U7" i="39" s="1"/>
  <c r="J7" i="39"/>
  <c r="W7" i="39" s="1"/>
  <c r="J63" i="40"/>
  <c r="J59" i="34"/>
  <c r="AB7" i="33"/>
  <c r="U7" i="33"/>
  <c r="E52" i="37"/>
  <c r="D48" i="35"/>
  <c r="E46" i="36"/>
  <c r="F7" i="21"/>
  <c r="J7" i="21"/>
  <c r="G16" i="1"/>
  <c r="J10" i="40" s="1"/>
  <c r="T14" i="43"/>
  <c r="V14" i="43" s="1"/>
  <c r="F31" i="15"/>
  <c r="K4" i="4"/>
  <c r="B46" i="48" s="1"/>
  <c r="B4" i="72" s="1"/>
  <c r="B4" i="62"/>
  <c r="B71" i="72" s="1"/>
  <c r="D9" i="53"/>
  <c r="B25" i="72" s="1"/>
  <c r="B24" i="72"/>
  <c r="K120" i="9"/>
  <c r="A18" i="62" s="1"/>
  <c r="B64" i="72" s="1"/>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4" i="43"/>
  <c r="V4" i="43" s="1"/>
  <c r="T15" i="43"/>
  <c r="V15" i="43" s="1"/>
  <c r="T6" i="43"/>
  <c r="V6" i="43" s="1"/>
  <c r="Y3" i="71"/>
  <c r="Z3" i="71" s="1"/>
  <c r="D9" i="71"/>
  <c r="F9" i="71"/>
  <c r="F8" i="71" s="1"/>
  <c r="F7" i="71" s="1"/>
  <c r="F6" i="71" s="1"/>
  <c r="F5" i="71" s="1"/>
  <c r="AC7" i="39"/>
  <c r="V47" i="39" s="1"/>
  <c r="I47" i="39" s="1"/>
  <c r="I51" i="39" s="1"/>
  <c r="J51" i="39" s="1"/>
  <c r="AA7" i="39"/>
  <c r="R47" i="39" s="1"/>
  <c r="R48" i="39" s="1"/>
  <c r="AF3" i="71"/>
  <c r="P22" i="43" s="1"/>
  <c r="AB7" i="39"/>
  <c r="T47" i="39" s="1"/>
  <c r="G47" i="39" s="1"/>
  <c r="C34" i="43"/>
  <c r="T10" i="43"/>
  <c r="V10" i="43" s="1"/>
  <c r="T7" i="43"/>
  <c r="V7" i="43" s="1"/>
  <c r="C33" i="43"/>
  <c r="T16" i="43"/>
  <c r="V16" i="43" s="1"/>
  <c r="T13" i="43"/>
  <c r="V13" i="43" s="1"/>
  <c r="T8" i="43"/>
  <c r="V8" i="43" s="1"/>
  <c r="C38" i="43"/>
  <c r="T3" i="43"/>
  <c r="V3" i="43" s="1"/>
  <c r="G35" i="43"/>
  <c r="I35"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C17" i="15"/>
  <c r="C16" i="15"/>
  <c r="G1" i="73"/>
  <c r="C14" i="15"/>
  <c r="C16" i="67"/>
  <c r="F48" i="9" l="1"/>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T48" i="33"/>
  <c r="G48" i="33" s="1"/>
  <c r="G52" i="33" s="1"/>
  <c r="H52" i="33" s="1"/>
  <c r="W17" i="33"/>
  <c r="AC17" i="33"/>
  <c r="V48" i="33" s="1"/>
  <c r="I48" i="33" s="1"/>
  <c r="I52" i="33" s="1"/>
  <c r="J52" i="33" s="1"/>
  <c r="AA15" i="33"/>
  <c r="R48" i="33" s="1"/>
  <c r="S15" i="33"/>
  <c r="U15" i="33"/>
  <c r="L103" i="43"/>
  <c r="I107" i="43"/>
  <c r="M105" i="43"/>
  <c r="C47" i="69"/>
  <c r="D45" i="69" s="1"/>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F27" i="68"/>
  <c r="F45" i="68" s="1"/>
  <c r="F28" i="12"/>
  <c r="C29" i="12" s="1"/>
  <c r="D28" i="12" s="1"/>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C6" i="3"/>
  <c r="E60" i="40"/>
  <c r="E65" i="39"/>
  <c r="F59" i="67"/>
  <c r="C48" i="69"/>
  <c r="C30" i="69"/>
  <c r="F48" i="68"/>
  <c r="C30" i="68"/>
  <c r="C48" i="68"/>
  <c r="C29" i="69"/>
  <c r="D27" i="69" s="1"/>
  <c r="C34" i="68"/>
  <c r="AZ18" i="3"/>
  <c r="AZ5" i="3" s="1"/>
  <c r="BA5" i="3"/>
  <c r="E27" i="6" s="1"/>
  <c r="K21" i="6" s="1"/>
  <c r="M21" i="6" s="1"/>
  <c r="I21" i="6" s="1"/>
  <c r="S21" i="6" s="1"/>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66" i="39"/>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38" i="69"/>
  <c r="C35" i="11"/>
  <c r="C29" i="11"/>
  <c r="D27" i="11" s="1"/>
  <c r="C47" i="11"/>
  <c r="D45" i="11" s="1"/>
  <c r="N16" i="1"/>
  <c r="L16" i="1"/>
  <c r="C15" i="15"/>
  <c r="C18" i="15"/>
  <c r="O16" i="1"/>
  <c r="P16" i="1"/>
  <c r="C11" i="12" s="1"/>
  <c r="AA7" i="21"/>
  <c r="R48" i="21" s="1"/>
  <c r="S7" i="21"/>
  <c r="F46" i="36"/>
  <c r="F52" i="37"/>
  <c r="K59" i="34"/>
  <c r="W7" i="21"/>
  <c r="AC7" i="21"/>
  <c r="V48" i="21" s="1"/>
  <c r="I48" i="21" s="1"/>
  <c r="E48" i="35"/>
  <c r="J65" i="40"/>
  <c r="K63" i="40"/>
  <c r="AB7" i="21"/>
  <c r="T48" i="21" s="1"/>
  <c r="G48" i="21" s="1"/>
  <c r="U7" i="21"/>
  <c r="F10" i="39"/>
  <c r="AA10" i="39" s="1"/>
  <c r="H10" i="40"/>
  <c r="AB10" i="40" s="1"/>
  <c r="J10" i="39"/>
  <c r="AC10" i="39" s="1"/>
  <c r="F10" i="40"/>
  <c r="S10" i="40" s="1"/>
  <c r="H10" i="39"/>
  <c r="U10" i="39" s="1"/>
  <c r="U10" i="40"/>
  <c r="S10" i="39"/>
  <c r="W10" i="40"/>
  <c r="AC10" i="40"/>
  <c r="G36" i="43"/>
  <c r="I36" i="43" s="1"/>
  <c r="G37" i="43"/>
  <c r="I37" i="43" s="1"/>
  <c r="D7" i="71"/>
  <c r="C6" i="71"/>
  <c r="E47" i="39"/>
  <c r="E51" i="39" s="1"/>
  <c r="F51" i="39" s="1"/>
  <c r="M17" i="67"/>
  <c r="M17" i="15"/>
  <c r="F59" i="15"/>
  <c r="P24" i="43"/>
  <c r="B66" i="40" s="1"/>
  <c r="P21" i="43"/>
  <c r="C49" i="67"/>
  <c r="E39" i="43"/>
  <c r="G39" i="43"/>
  <c r="I39" i="43" s="1"/>
  <c r="P25" i="43"/>
  <c r="P23" i="43"/>
  <c r="B71" i="39" s="1"/>
  <c r="C30" i="43"/>
  <c r="E30" i="43" s="1"/>
  <c r="E29" i="43"/>
  <c r="C48" i="39"/>
  <c r="C47" i="39"/>
  <c r="E38" i="43"/>
  <c r="G38" i="43"/>
  <c r="I38" i="43" s="1"/>
  <c r="G34" i="43"/>
  <c r="I34" i="43" s="1"/>
  <c r="E34" i="43"/>
  <c r="G51" i="39"/>
  <c r="H51" i="39" s="1"/>
  <c r="G52" i="39"/>
  <c r="H52" i="39" s="1"/>
  <c r="G33" i="43"/>
  <c r="I33" i="43" s="1"/>
  <c r="E33" i="43"/>
  <c r="C26" i="43" s="1"/>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48" i="11" l="1"/>
  <c r="C30" i="11"/>
  <c r="E48" i="33"/>
  <c r="I53" i="33" s="1"/>
  <c r="J53" i="33" s="1"/>
  <c r="R49" i="33"/>
  <c r="C48" i="33" s="1"/>
  <c r="G53" i="33"/>
  <c r="H53" i="33" s="1"/>
  <c r="C47" i="68"/>
  <c r="D45" i="68" s="1"/>
  <c r="C29" i="68"/>
  <c r="D27" i="68" s="1"/>
  <c r="K25" i="6"/>
  <c r="M25" i="6" s="1"/>
  <c r="I25" i="6" s="1"/>
  <c r="S25" i="6" s="1"/>
  <c r="H6" i="3"/>
  <c r="E6" i="3" s="1"/>
  <c r="K24" i="6"/>
  <c r="M24" i="6" s="1"/>
  <c r="I24" i="6" s="1"/>
  <c r="S24" i="6" s="1"/>
  <c r="K26" i="6"/>
  <c r="M26" i="6" s="1"/>
  <c r="I26" i="6" s="1"/>
  <c r="S26" i="6" s="1"/>
  <c r="K19" i="6"/>
  <c r="S6" i="1" s="1"/>
  <c r="T6" i="1" s="1"/>
  <c r="K20" i="6"/>
  <c r="K23" i="6"/>
  <c r="M23" i="6" s="1"/>
  <c r="I23" i="6" s="1"/>
  <c r="S23" i="6" s="1"/>
  <c r="K22" i="6"/>
  <c r="M22" i="6" s="1"/>
  <c r="I22" i="6" s="1"/>
  <c r="S22" i="6" s="1"/>
  <c r="C38" i="68"/>
  <c r="C35" i="68"/>
  <c r="E3" i="6"/>
  <c r="D3" i="21" s="1"/>
  <c r="AY6" i="3"/>
  <c r="AY425" i="3" s="1"/>
  <c r="E31" i="6"/>
  <c r="D113" i="43"/>
  <c r="C115" i="43"/>
  <c r="M19" i="6"/>
  <c r="C19" i="15"/>
  <c r="C20" i="15" s="1"/>
  <c r="C26" i="15" s="1"/>
  <c r="F50" i="11"/>
  <c r="F50" i="69"/>
  <c r="F50" i="68"/>
  <c r="AA10" i="40"/>
  <c r="AY103" i="3"/>
  <c r="AY534" i="3"/>
  <c r="AY157" i="3"/>
  <c r="AY575" i="3"/>
  <c r="AY376" i="3"/>
  <c r="AY373" i="3"/>
  <c r="AY248" i="3"/>
  <c r="AY293" i="3"/>
  <c r="AY297" i="3"/>
  <c r="AY87" i="3"/>
  <c r="AY420" i="3"/>
  <c r="C15" i="12"/>
  <c r="C12" i="12"/>
  <c r="I52" i="39"/>
  <c r="J52" i="39" s="1"/>
  <c r="AB10" i="39"/>
  <c r="W10" i="39"/>
  <c r="K65" i="40"/>
  <c r="L63" i="40"/>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E52" i="39"/>
  <c r="F52" i="39" s="1"/>
  <c r="D6" i="71"/>
  <c r="C5" i="71"/>
  <c r="B56" i="39"/>
  <c r="F56" i="39" s="1"/>
  <c r="F66" i="39" s="1"/>
  <c r="B2" i="39" s="1"/>
  <c r="B59" i="39"/>
  <c r="F59" i="39" s="1"/>
  <c r="B63" i="39"/>
  <c r="F63" i="39" s="1"/>
  <c r="B58" i="39"/>
  <c r="F58" i="39" s="1"/>
  <c r="B57" i="39"/>
  <c r="F57" i="39" s="1"/>
  <c r="B60" i="39"/>
  <c r="F60" i="39" s="1"/>
  <c r="B61" i="39"/>
  <c r="F61" i="39" s="1"/>
  <c r="B65" i="39"/>
  <c r="F65" i="39" s="1"/>
  <c r="B64" i="39"/>
  <c r="F64" i="39" s="1"/>
  <c r="B62" i="39"/>
  <c r="F62" i="39" s="1"/>
  <c r="C27" i="43"/>
  <c r="J26" i="67"/>
  <c r="J24" i="67"/>
  <c r="J24" i="15"/>
  <c r="J26" i="15"/>
  <c r="J29" i="15" s="1"/>
  <c r="C53" i="67"/>
  <c r="C48" i="67" s="1"/>
  <c r="C53" i="15"/>
  <c r="C48" i="15" s="1"/>
  <c r="C10" i="15"/>
  <c r="C5" i="15" s="1"/>
  <c r="F25" i="12"/>
  <c r="F22" i="69"/>
  <c r="F41" i="69" s="1"/>
  <c r="F24" i="67"/>
  <c r="C24" i="67" s="1"/>
  <c r="F22" i="11"/>
  <c r="F22" i="68"/>
  <c r="F24" i="15"/>
  <c r="C24" i="15" s="1"/>
  <c r="C17" i="67"/>
  <c r="F41" i="67"/>
  <c r="E6" i="76"/>
  <c r="C14" i="67"/>
  <c r="C49" i="33" l="1"/>
  <c r="E53" i="33"/>
  <c r="F53" i="33" s="1"/>
  <c r="E52" i="33"/>
  <c r="F52" i="33" s="1"/>
  <c r="F69" i="67"/>
  <c r="J29" i="67"/>
  <c r="B3" i="39"/>
  <c r="D37" i="11"/>
  <c r="C37" i="11" s="1"/>
  <c r="C33" i="11" s="1"/>
  <c r="C39" i="11" s="1"/>
  <c r="C46" i="11" s="1"/>
  <c r="C45" i="11" s="1"/>
  <c r="D3" i="33"/>
  <c r="AQ6" i="1"/>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K27" i="6"/>
  <c r="C17" i="4"/>
  <c r="B4" i="52" s="1"/>
  <c r="B43" i="72" s="1"/>
  <c r="D14" i="12"/>
  <c r="D17" i="12" s="1"/>
  <c r="C17" i="12" s="1"/>
  <c r="L18" i="9"/>
  <c r="C18" i="67"/>
  <c r="C15" i="67"/>
  <c r="D3" i="37"/>
  <c r="D3" i="34"/>
  <c r="D19" i="11"/>
  <c r="C19" i="11" s="1"/>
  <c r="C20" i="11" s="1"/>
  <c r="C28" i="11" s="1"/>
  <c r="C27" i="11" s="1"/>
  <c r="E6" i="6"/>
  <c r="M18" i="9"/>
  <c r="B118" i="9" s="1"/>
  <c r="B14" i="74" s="1"/>
  <c r="B1" i="74" s="1"/>
  <c r="AR6" i="1"/>
  <c r="M20" i="6"/>
  <c r="I20" i="6" s="1"/>
  <c r="S20" i="6" s="1"/>
  <c r="S7" i="1"/>
  <c r="I19" i="6"/>
  <c r="H19" i="6" s="1"/>
  <c r="M19" i="9"/>
  <c r="C118" i="9" s="1"/>
  <c r="C14" i="74" s="1"/>
  <c r="B2" i="74" s="1"/>
  <c r="E61" i="40"/>
  <c r="C18" i="4"/>
  <c r="L19" i="9"/>
  <c r="D26" i="6"/>
  <c r="D23" i="6"/>
  <c r="D11" i="6"/>
  <c r="H23" i="6"/>
  <c r="D19" i="6"/>
  <c r="D8" i="6"/>
  <c r="D14" i="6"/>
  <c r="D12" i="6"/>
  <c r="D13" i="6"/>
  <c r="H26" i="6"/>
  <c r="D15" i="6"/>
  <c r="D21" i="6"/>
  <c r="D20" i="6"/>
  <c r="D10" i="6"/>
  <c r="H22" i="6"/>
  <c r="H24" i="6"/>
  <c r="H25" i="6"/>
  <c r="D5" i="6"/>
  <c r="D28" i="6"/>
  <c r="D25" i="6"/>
  <c r="D22" i="6"/>
  <c r="R22" i="6" s="1"/>
  <c r="D24" i="6"/>
  <c r="R24" i="6" s="1"/>
  <c r="D9" i="6"/>
  <c r="D29" i="6"/>
  <c r="H21" i="6"/>
  <c r="F7" i="37"/>
  <c r="U7" i="34"/>
  <c r="AB7" i="34"/>
  <c r="T49" i="34" s="1"/>
  <c r="G49" i="34" s="1"/>
  <c r="E52" i="21"/>
  <c r="F52" i="21" s="1"/>
  <c r="E53" i="21"/>
  <c r="F53" i="21" s="1"/>
  <c r="I53" i="21"/>
  <c r="J53" i="21" s="1"/>
  <c r="L65" i="40"/>
  <c r="M63" i="40"/>
  <c r="F7" i="34"/>
  <c r="U7" i="37"/>
  <c r="AB7" i="37"/>
  <c r="T42" i="37" s="1"/>
  <c r="G42" i="37" s="1"/>
  <c r="AC7" i="34"/>
  <c r="V49" i="34" s="1"/>
  <c r="I49" i="34" s="1"/>
  <c r="W7" i="34"/>
  <c r="C48" i="21"/>
  <c r="C49" i="21"/>
  <c r="B2" i="21" s="1"/>
  <c r="B3" i="21" s="1"/>
  <c r="H46" i="36"/>
  <c r="I46" i="36" s="1"/>
  <c r="J46" i="36" s="1"/>
  <c r="K46" i="36" s="1"/>
  <c r="L46" i="36" s="1"/>
  <c r="M46" i="36" s="1"/>
  <c r="N46" i="36" s="1"/>
  <c r="O46" i="36" s="1"/>
  <c r="J7" i="36"/>
  <c r="F7" i="36"/>
  <c r="G48" i="35"/>
  <c r="J7" i="37"/>
  <c r="D5" i="71"/>
  <c r="M20" i="43"/>
  <c r="F41" i="68"/>
  <c r="E2" i="76"/>
  <c r="B2" i="43"/>
  <c r="C60" i="15"/>
  <c r="C66" i="15"/>
  <c r="C23" i="15"/>
  <c r="C29" i="15" s="1"/>
  <c r="C26" i="69"/>
  <c r="D22" i="69" s="1"/>
  <c r="C44" i="69"/>
  <c r="D41" i="69" s="1"/>
  <c r="C44" i="68"/>
  <c r="D41" i="68" s="1"/>
  <c r="C23" i="68"/>
  <c r="C26" i="68"/>
  <c r="D22" i="68" s="1"/>
  <c r="C26" i="12"/>
  <c r="D25" i="12" s="1"/>
  <c r="C44" i="11"/>
  <c r="D41" i="11" s="1"/>
  <c r="C23" i="11"/>
  <c r="C24" i="11"/>
  <c r="C43" i="11"/>
  <c r="C25" i="11"/>
  <c r="C26" i="11"/>
  <c r="D22" i="11" s="1"/>
  <c r="C42" i="11"/>
  <c r="C38" i="15"/>
  <c r="C66" i="67"/>
  <c r="C60" i="67"/>
  <c r="B6" i="76"/>
  <c r="B2" i="33" l="1"/>
  <c r="B3" i="33"/>
  <c r="H20" i="6"/>
  <c r="C19" i="67"/>
  <c r="C20" i="67" s="1"/>
  <c r="C26" i="67" s="1"/>
  <c r="M27" i="6"/>
  <c r="C23" i="67"/>
  <c r="C29" i="67" s="1"/>
  <c r="C36" i="67" s="1"/>
  <c r="C14" i="12"/>
  <c r="C16" i="12" s="1"/>
  <c r="D10" i="68"/>
  <c r="D10" i="11"/>
  <c r="C10" i="11" s="1"/>
  <c r="D6" i="6"/>
  <c r="D10" i="69"/>
  <c r="D20" i="12"/>
  <c r="C20" i="12" s="1"/>
  <c r="C18" i="12" s="1"/>
  <c r="AQ7" i="1"/>
  <c r="AR7" i="1"/>
  <c r="T7" i="1"/>
  <c r="T16" i="1" s="1"/>
  <c r="S16" i="1"/>
  <c r="C7" i="74"/>
  <c r="C8" i="74"/>
  <c r="H27" i="6"/>
  <c r="D30" i="6"/>
  <c r="R20" i="6"/>
  <c r="R7" i="1" s="1"/>
  <c r="D16" i="6"/>
  <c r="I27" i="6"/>
  <c r="S19" i="6"/>
  <c r="S27" i="6" s="1"/>
  <c r="R26" i="6"/>
  <c r="D7" i="74"/>
  <c r="D8" i="74"/>
  <c r="R25" i="6"/>
  <c r="R21" i="6"/>
  <c r="D27" i="6"/>
  <c r="D31" i="6" s="1"/>
  <c r="R19" i="6"/>
  <c r="R23" i="6"/>
  <c r="C4" i="52"/>
  <c r="B45" i="72" s="1"/>
  <c r="A10" i="51"/>
  <c r="B9" i="72" s="1"/>
  <c r="A7" i="51"/>
  <c r="B7" i="72" s="1"/>
  <c r="W7" i="36"/>
  <c r="AC7" i="36"/>
  <c r="V36" i="36" s="1"/>
  <c r="I36" i="36" s="1"/>
  <c r="G46" i="37"/>
  <c r="H46" i="37" s="1"/>
  <c r="AA7" i="36"/>
  <c r="R36" i="36" s="1"/>
  <c r="S7" i="36"/>
  <c r="I53" i="34"/>
  <c r="J53" i="34" s="1"/>
  <c r="M65" i="40"/>
  <c r="N63" i="40"/>
  <c r="H7" i="36"/>
  <c r="W7" i="37"/>
  <c r="AC7" i="37"/>
  <c r="V42" i="37" s="1"/>
  <c r="I42" i="37" s="1"/>
  <c r="H48" i="35"/>
  <c r="I48" i="35" s="1"/>
  <c r="J48" i="35" s="1"/>
  <c r="K48" i="35" s="1"/>
  <c r="L48" i="35" s="1"/>
  <c r="M48" i="35" s="1"/>
  <c r="N48" i="35" s="1"/>
  <c r="O48" i="35" s="1"/>
  <c r="J7" i="35"/>
  <c r="S7" i="34"/>
  <c r="AA7" i="34"/>
  <c r="R49" i="34" s="1"/>
  <c r="G53" i="34"/>
  <c r="H53" i="34" s="1"/>
  <c r="G54" i="34"/>
  <c r="H54" i="34" s="1"/>
  <c r="S7" i="37"/>
  <c r="AA7" i="37"/>
  <c r="R42" i="37" s="1"/>
  <c r="F7" i="35"/>
  <c r="B2" i="76"/>
  <c r="B3" i="76" s="1"/>
  <c r="B3" i="43"/>
  <c r="J14" i="15"/>
  <c r="C57" i="15"/>
  <c r="C36" i="15"/>
  <c r="C33" i="15"/>
  <c r="C31" i="15" s="1"/>
  <c r="C13" i="15"/>
  <c r="Q49" i="15"/>
  <c r="J19" i="15"/>
  <c r="J17" i="15" s="1"/>
  <c r="J59" i="15"/>
  <c r="J60" i="15" s="1"/>
  <c r="C41" i="11"/>
  <c r="C49" i="11" s="1"/>
  <c r="C51" i="11" s="1"/>
  <c r="C22" i="11"/>
  <c r="C31" i="11" s="1"/>
  <c r="C33" i="67"/>
  <c r="C13" i="67" l="1"/>
  <c r="C75" i="67" s="1"/>
  <c r="J59" i="67"/>
  <c r="J60" i="67" s="1"/>
  <c r="Q48" i="67" s="1"/>
  <c r="C57" i="67"/>
  <c r="C64" i="67" s="1"/>
  <c r="Q49" i="67"/>
  <c r="J19" i="67"/>
  <c r="J17" i="67" s="1"/>
  <c r="J14" i="67"/>
  <c r="J22" i="67" s="1"/>
  <c r="C21" i="12"/>
  <c r="C22" i="12" s="1"/>
  <c r="C30" i="12" s="1"/>
  <c r="C28" i="12" s="1"/>
  <c r="D19" i="68"/>
  <c r="C10" i="68"/>
  <c r="D19" i="69"/>
  <c r="C10" i="69"/>
  <c r="C8" i="69" s="1"/>
  <c r="C5" i="69" s="1"/>
  <c r="C23" i="69" s="1"/>
  <c r="R27" i="6"/>
  <c r="R6" i="1"/>
  <c r="I6" i="6"/>
  <c r="I5" i="6"/>
  <c r="R43" i="37"/>
  <c r="E42" i="37"/>
  <c r="I47" i="37" s="1"/>
  <c r="J47" i="37" s="1"/>
  <c r="R50" i="34"/>
  <c r="E49" i="34"/>
  <c r="AA7" i="35"/>
  <c r="R38" i="35" s="1"/>
  <c r="S7" i="35"/>
  <c r="N65" i="40"/>
  <c r="O63" i="40"/>
  <c r="O65" i="40" s="1"/>
  <c r="J7" i="40" s="1"/>
  <c r="F7" i="40"/>
  <c r="AC7" i="35"/>
  <c r="V38" i="35" s="1"/>
  <c r="I38" i="35" s="1"/>
  <c r="W7" i="35"/>
  <c r="I46" i="37"/>
  <c r="J46" i="37" s="1"/>
  <c r="U7" i="36"/>
  <c r="AB7" i="36"/>
  <c r="T36" i="36" s="1"/>
  <c r="G36" i="36" s="1"/>
  <c r="R37" i="36"/>
  <c r="E36" i="36"/>
  <c r="G47" i="37"/>
  <c r="H47" i="37" s="1"/>
  <c r="I40" i="36"/>
  <c r="J40" i="36" s="1"/>
  <c r="H7" i="35"/>
  <c r="C52" i="11"/>
  <c r="B2" i="11" s="1"/>
  <c r="B3" i="11" s="1"/>
  <c r="Q48" i="15"/>
  <c r="L46" i="15"/>
  <c r="J13" i="67"/>
  <c r="J23" i="67" s="1"/>
  <c r="C61" i="67"/>
  <c r="C59" i="67" s="1"/>
  <c r="C64" i="15"/>
  <c r="C61" i="15"/>
  <c r="C59" i="15" s="1"/>
  <c r="C56" i="15"/>
  <c r="C65" i="15" s="1"/>
  <c r="Q70" i="15"/>
  <c r="C37" i="15"/>
  <c r="C30" i="15" s="1"/>
  <c r="C39" i="15" s="1"/>
  <c r="C75" i="15"/>
  <c r="J22" i="15"/>
  <c r="J13" i="15"/>
  <c r="J23" i="15" s="1"/>
  <c r="F35" i="67"/>
  <c r="M21" i="67"/>
  <c r="L51" i="15"/>
  <c r="C37" i="67" l="1"/>
  <c r="C56" i="67"/>
  <c r="C65" i="67" s="1"/>
  <c r="C58" i="67" s="1"/>
  <c r="C67" i="67" s="1"/>
  <c r="C68" i="67" s="1"/>
  <c r="Q70" i="67"/>
  <c r="C27" i="12"/>
  <c r="C25" i="12" s="1"/>
  <c r="C32" i="12" s="1"/>
  <c r="B2" i="12" s="1"/>
  <c r="B3" i="12" s="1"/>
  <c r="D37" i="69"/>
  <c r="C37" i="69" s="1"/>
  <c r="C33" i="69" s="1"/>
  <c r="C19" i="69"/>
  <c r="D37" i="68"/>
  <c r="C37" i="68" s="1"/>
  <c r="C33" i="68" s="1"/>
  <c r="C19" i="68"/>
  <c r="J20" i="67"/>
  <c r="F63" i="67"/>
  <c r="C62" i="67" s="1"/>
  <c r="R16" i="1"/>
  <c r="AC7" i="40"/>
  <c r="V42" i="40" s="1"/>
  <c r="I42" i="40" s="1"/>
  <c r="W7" i="40"/>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H7" i="40"/>
  <c r="R39" i="35"/>
  <c r="E38" i="35"/>
  <c r="C50" i="34"/>
  <c r="B2" i="34" s="1"/>
  <c r="B3" i="34" s="1"/>
  <c r="C49" i="34"/>
  <c r="U6" i="1" s="1"/>
  <c r="C42" i="37"/>
  <c r="C43" i="37"/>
  <c r="B2" i="37" s="1"/>
  <c r="B3" i="37" s="1"/>
  <c r="AA7" i="40"/>
  <c r="R42" i="40" s="1"/>
  <c r="S7" i="40"/>
  <c r="E46" i="37"/>
  <c r="F46" i="37" s="1"/>
  <c r="E47" i="37"/>
  <c r="F47" i="37" s="1"/>
  <c r="C56" i="11"/>
  <c r="C57" i="11" s="1"/>
  <c r="C58" i="15"/>
  <c r="C67" i="15" s="1"/>
  <c r="C68" i="15" s="1"/>
  <c r="C71" i="15" s="1"/>
  <c r="J16" i="15"/>
  <c r="J25" i="15" s="1"/>
  <c r="J16" i="67"/>
  <c r="J25" i="67" s="1"/>
  <c r="C80" i="15"/>
  <c r="C79" i="15" s="1"/>
  <c r="Q69" i="15"/>
  <c r="Q68" i="15" s="1"/>
  <c r="C40" i="15"/>
  <c r="F6" i="67"/>
  <c r="F31" i="67" l="1"/>
  <c r="C6" i="67"/>
  <c r="C42" i="68"/>
  <c r="C39" i="68"/>
  <c r="C43" i="68" s="1"/>
  <c r="C39" i="69"/>
  <c r="C43" i="69" s="1"/>
  <c r="C42" i="69"/>
  <c r="C20" i="68"/>
  <c r="C24" i="68"/>
  <c r="C24" i="69"/>
  <c r="C20" i="69"/>
  <c r="E43" i="35"/>
  <c r="F43" i="35" s="1"/>
  <c r="E42" i="35"/>
  <c r="F42" i="35" s="1"/>
  <c r="G43" i="35"/>
  <c r="H43" i="35" s="1"/>
  <c r="G42" i="35"/>
  <c r="H42" i="35" s="1"/>
  <c r="I46" i="40"/>
  <c r="J46" i="40" s="1"/>
  <c r="R43" i="40"/>
  <c r="E42" i="40"/>
  <c r="C38" i="35"/>
  <c r="C39" i="35"/>
  <c r="B2" i="35" s="1"/>
  <c r="B3" i="35" s="1"/>
  <c r="I43" i="35"/>
  <c r="J43" i="35" s="1"/>
  <c r="U7" i="40"/>
  <c r="AB7" i="40"/>
  <c r="T42" i="40" s="1"/>
  <c r="G42" i="40" s="1"/>
  <c r="Q67" i="15"/>
  <c r="L57" i="15"/>
  <c r="L60" i="15" s="1"/>
  <c r="L57" i="67"/>
  <c r="L60" i="67" s="1"/>
  <c r="L46" i="67" s="1"/>
  <c r="C71" i="67"/>
  <c r="B2" i="15"/>
  <c r="B3" i="15" s="1"/>
  <c r="Q56" i="15"/>
  <c r="Q65" i="15"/>
  <c r="C43" i="15"/>
  <c r="Q47" i="15"/>
  <c r="Q53" i="15" s="1"/>
  <c r="C83" i="15"/>
  <c r="C82" i="15" s="1"/>
  <c r="C46" i="15"/>
  <c r="C10" i="67" l="1"/>
  <c r="C5" i="67" s="1"/>
  <c r="C38" i="67" s="1"/>
  <c r="C31" i="67"/>
  <c r="C46" i="68"/>
  <c r="C45" i="68" s="1"/>
  <c r="C46" i="69"/>
  <c r="C45" i="69" s="1"/>
  <c r="C28" i="69"/>
  <c r="C27" i="69" s="1"/>
  <c r="C25" i="69"/>
  <c r="C22" i="69" s="1"/>
  <c r="C41" i="69"/>
  <c r="C41" i="68"/>
  <c r="C25" i="68"/>
  <c r="C22" i="68" s="1"/>
  <c r="C28" i="68"/>
  <c r="C27" i="68" s="1"/>
  <c r="G47" i="40"/>
  <c r="H47" i="40" s="1"/>
  <c r="G46" i="40"/>
  <c r="H46" i="40" s="1"/>
  <c r="C43" i="40"/>
  <c r="C42" i="40"/>
  <c r="E46" i="40"/>
  <c r="F46" i="40" s="1"/>
  <c r="E47" i="40"/>
  <c r="F47" i="40" s="1"/>
  <c r="I47" i="40"/>
  <c r="J47" i="40" s="1"/>
  <c r="Q66" i="15"/>
  <c r="Q75" i="15" s="1"/>
  <c r="Q57" i="15"/>
  <c r="Q62" i="15" s="1"/>
  <c r="Q66" i="67"/>
  <c r="Q57" i="67"/>
  <c r="C20" i="9"/>
  <c r="C19" i="9"/>
  <c r="C30" i="67" l="1"/>
  <c r="C39" i="67" s="1"/>
  <c r="C102" i="9"/>
  <c r="C21" i="9"/>
  <c r="C103" i="9"/>
  <c r="C49" i="68"/>
  <c r="C51" i="68" s="1"/>
  <c r="C49" i="69"/>
  <c r="C51" i="69" s="1"/>
  <c r="C31" i="68"/>
  <c r="C31" i="6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L51" i="67"/>
  <c r="Q67" i="67" l="1"/>
  <c r="C80" i="67"/>
  <c r="C79" i="67" s="1"/>
  <c r="Q69" i="67"/>
  <c r="Q68" i="67" s="1"/>
  <c r="C40" i="67"/>
  <c r="C52" i="69"/>
  <c r="B2" i="69" s="1"/>
  <c r="B3" i="69" s="1"/>
  <c r="C52" i="68"/>
  <c r="C57" i="68" s="1"/>
  <c r="C56" i="68" s="1"/>
  <c r="C57" i="69"/>
  <c r="C56" i="69" s="1"/>
  <c r="C45" i="67" l="1"/>
  <c r="C46" i="67" s="1"/>
  <c r="Q47" i="67"/>
  <c r="Q53" i="67" s="1"/>
  <c r="D2" i="67"/>
  <c r="C83" i="67"/>
  <c r="C82" i="67" s="1"/>
  <c r="C43" i="67"/>
  <c r="Q65" i="67"/>
  <c r="Q75" i="67" s="1"/>
  <c r="Q56" i="67"/>
  <c r="Q62" i="67" s="1"/>
  <c r="R35" i="31"/>
  <c r="R31" i="31"/>
  <c r="R34" i="31"/>
  <c r="R30" i="31"/>
  <c r="R33" i="31"/>
  <c r="R29" i="31"/>
  <c r="R32" i="31"/>
  <c r="B2" i="68"/>
  <c r="B3" i="68" s="1"/>
  <c r="B3" i="67" l="1"/>
  <c r="B2" i="67"/>
  <c r="S32" i="31"/>
  <c r="S29" i="31"/>
  <c r="S34" i="31"/>
  <c r="S31" i="31"/>
  <c r="S33" i="31"/>
  <c r="S30" i="31"/>
  <c r="S35" i="31"/>
  <c r="D19" i="9"/>
  <c r="D20" i="9"/>
  <c r="AO6" i="1"/>
  <c r="D103" i="9" l="1"/>
  <c r="G20" i="9"/>
  <c r="D102" i="9"/>
  <c r="D21" i="9"/>
  <c r="D22" i="9"/>
  <c r="G19" i="9"/>
  <c r="G21" i="9" s="1"/>
  <c r="B6" i="70"/>
  <c r="B2" i="70" s="1"/>
  <c r="B3" i="70" s="1"/>
  <c r="C32" i="9" l="1"/>
  <c r="R24" i="31"/>
  <c r="G7" i="78" l="1"/>
  <c r="I7" i="78" s="1"/>
  <c r="R27" i="31"/>
  <c r="R25" i="31"/>
  <c r="S24" i="31"/>
  <c r="R26" i="31"/>
  <c r="R28" i="31"/>
  <c r="C35" i="9"/>
  <c r="C34" i="9" s="1"/>
  <c r="I118" i="9"/>
  <c r="H118" i="9" l="1"/>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B21" i="31" s="1"/>
  <c r="D15" i="74"/>
  <c r="G15" i="74" s="1"/>
  <c r="K7" i="78"/>
  <c r="H119" i="9"/>
  <c r="H5" i="52" s="1"/>
  <c r="C104" i="9"/>
  <c r="D14" i="74"/>
  <c r="H4" i="52"/>
  <c r="H101" i="9"/>
  <c r="R22" i="31" l="1"/>
  <c r="F15" i="74"/>
  <c r="E15" i="74"/>
  <c r="D45" i="9"/>
  <c r="M48" i="9"/>
  <c r="H107" i="9"/>
  <c r="D5" i="53"/>
  <c r="E14" i="74"/>
  <c r="F14" i="74"/>
  <c r="B5" i="74"/>
  <c r="C5" i="74" l="1"/>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68" i="9" l="1"/>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D6" i="74" l="1"/>
  <c r="C6" i="74"/>
  <c r="C96" i="9"/>
  <c r="E96" i="9" s="1"/>
  <c r="E97" i="9" s="1"/>
  <c r="C80" i="9"/>
  <c r="E80" i="9" s="1"/>
  <c r="E81" i="9" s="1"/>
  <c r="F4" i="52"/>
  <c r="B51" i="72" s="1"/>
  <c r="D119" i="9"/>
  <c r="D5" i="52" s="1"/>
  <c r="B49" i="72" s="1"/>
  <c r="D4" i="52"/>
  <c r="B47" i="72" s="1"/>
  <c r="C81" i="9" l="1"/>
  <c r="C97" i="9"/>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<sst xmlns="http://schemas.openxmlformats.org/spreadsheetml/2006/main" count="7539" uniqueCount="3176">
  <si>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</si>
  <si>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</si>
  <si>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</si>
  <si>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</si>
  <si>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</si>
  <si>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</si>
  <si>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</si>
  <si>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</si>
  <si>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</si>
  <si>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</si>
  <si>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</si>
  <si>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</si>
  <si>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</si>
  <si>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</si>
  <si>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</si>
  <si>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</si>
  <si>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</si>
  <si>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</si>
  <si>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</si>
  <si>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</si>
  <si>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</si>
  <si>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</si>
  <si>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</si>
  <si>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</si>
  <si>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</si>
  <si>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</si>
  <si>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</si>
  <si>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</si>
  <si>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</si>
  <si>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</si>
  <si>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</si>
  <si>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</si>
  <si>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</si>
  <si>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</si>
  <si>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</si>
  <si>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</si>
  <si>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</si>
  <si>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</si>
  <si>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</si>
  <si>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</si>
  <si>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</si>
  <si>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</si>
  <si>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</si>
  <si>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</si>
  <si>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</si>
  <si>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</si>
  <si>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</si>
  <si>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</si>
  <si>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</si>
  <si>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</si>
  <si>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</si>
  <si>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</si>
  <si>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</si>
  <si>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</si>
  <si>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</si>
  <si>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</si>
  <si>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</si>
  <si>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</si>
  <si>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</si>
  <si>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</si>
  <si>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</si>
  <si>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</si>
  <si>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</si>
  <si>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</si>
  <si>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</si>
  <si>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</si>
  <si>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</si>
  <si>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</si>
  <si>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</si>
  <si>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</si>
  <si>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</si>
  <si>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</si>
  <si>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</si>
  <si>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</si>
  <si>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</si>
  <si>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</si>
  <si>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</si>
  <si>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</si>
  <si>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</si>
  <si>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</si>
  <si>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</si>
  <si>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</si>
  <si>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</si>
  <si>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</si>
  <si>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</si>
  <si>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</si>
  <si>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</si>
  <si>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</si>
  <si>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</si>
  <si>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</si>
  <si>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</si>
  <si>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</si>
  <si>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</si>
  <si>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</si>
  <si>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</si>
  <si>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</si>
  <si>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</si>
  <si>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</si>
  <si>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</si>
  <si>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</si>
  <si>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</si>
  <si>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</si>
  <si>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</si>
  <si>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</si>
  <si>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</si>
  <si>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</si>
  <si>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</si>
  <si>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</si>
  <si>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</si>
  <si>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</si>
  <si>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</si>
  <si>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</si>
  <si>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</si>
  <si>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</si>
  <si>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</si>
  <si>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</si>
  <si>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</si>
  <si>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</si>
  <si>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</si>
  <si>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</si>
  <si>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</si>
  <si>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</si>
  <si>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</si>
  <si>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</si>
  <si>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</si>
  <si>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</si>
  <si>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</si>
  <si>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</si>
  <si>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</si>
  <si>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</si>
  <si>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</si>
  <si>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</si>
  <si>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</si>
  <si>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</si>
  <si>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</si>
  <si>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</si>
  <si>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</si>
  <si>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</si>
  <si>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</si>
  <si>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</si>
  <si>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</si>
  <si>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</si>
  <si>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</si>
  <si>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</si>
  <si>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</si>
  <si>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</si>
  <si>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</si>
  <si>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</si>
  <si>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</si>
  <si>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</si>
  <si>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</si>
  <si>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</si>
  <si>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</si>
  <si>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</si>
  <si>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</si>
  <si>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</si>
  <si>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</si>
  <si>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</si>
  <si>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</si>
  <si>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</si>
  <si>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</si>
  <si>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</si>
  <si>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</si>
  <si>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</si>
  <si>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</si>
  <si>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</si>
  <si>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</si>
  <si>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</si>
  <si>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</si>
  <si>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</si>
  <si>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</si>
  <si>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</si>
  <si>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</si>
  <si>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</si>
  <si>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</si>
  <si>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</si>
  <si>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</si>
  <si>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</si>
  <si>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</si>
  <si>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</si>
  <si>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</si>
  <si>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</si>
  <si>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</si>
  <si>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</si>
  <si>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</si>
  <si>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</si>
  <si>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</si>
  <si>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</si>
  <si>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</si>
  <si>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</si>
  <si>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</si>
  <si>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</si>
  <si>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</si>
  <si>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</si>
  <si>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</si>
  <si>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</si>
  <si>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</si>
  <si>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</si>
  <si>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</si>
  <si>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</si>
  <si>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</si>
  <si>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</si>
  <si>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</si>
  <si>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</si>
  <si>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</si>
  <si>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</si>
  <si>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</si>
  <si>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</si>
  <si>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</si>
  <si>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</si>
  <si>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</si>
  <si>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</si>
  <si>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</si>
  <si>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</si>
  <si>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</si>
  <si>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</si>
  <si>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</si>
  <si>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</si>
  <si>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</si>
  <si>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</si>
  <si>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</si>
  <si>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</si>
  <si>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</si>
  <si>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</si>
  <si>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</si>
  <si>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</si>
  <si>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</si>
  <si>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</si>
  <si>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</si>
  <si>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</si>
  <si>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</si>
  <si>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</si>
  <si>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</si>
  <si>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</si>
  <si>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</si>
  <si>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</si>
  <si>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</si>
  <si>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</si>
  <si>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</si>
  <si>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</si>
  <si>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</si>
  <si>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</si>
  <si>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</si>
  <si>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</si>
  <si>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</si>
  <si>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</si>
  <si>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</si>
  <si>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</si>
  <si>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</si>
  <si>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</si>
  <si>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</si>
  <si>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</si>
  <si>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</si>
  <si>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</si>
  <si>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</si>
  <si>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</si>
  <si>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</si>
  <si>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</si>
  <si>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</si>
  <si>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</si>
  <si>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</si>
  <si>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</si>
  <si>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</si>
  <si>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</si>
  <si>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</si>
  <si>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</si>
  <si>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</si>
  <si>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</si>
  <si>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</si>
  <si>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</si>
  <si>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</si>
  <si>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</si>
  <si>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</si>
  <si>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</si>
  <si>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</si>
  <si>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</si>
  <si>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</si>
  <si>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</si>
  <si>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</si>
  <si>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</si>
  <si>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</si>
  <si>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</si>
  <si>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</si>
  <si>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</si>
  <si>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</si>
  <si>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</si>
  <si>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</si>
  <si>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</si>
  <si>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</si>
  <si>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</si>
  <si>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</si>
  <si>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</si>
  <si>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</si>
  <si>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</si>
  <si>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</si>
  <si>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</si>
  <si>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</si>
  <si>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</si>
  <si>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</si>
  <si>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</si>
  <si>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</si>
  <si>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</si>
  <si>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</si>
  <si>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</si>
  <si>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</si>
  <si>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</si>
  <si>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</si>
  <si>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</si>
  <si>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</si>
  <si>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</si>
  <si>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</si>
  <si>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</si>
  <si>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</si>
  <si>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</si>
  <si>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</si>
  <si>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</si>
  <si>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</si>
  <si>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</si>
  <si>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</si>
  <si>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</si>
  <si>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</si>
  <si>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</si>
  <si>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</si>
  <si>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</si>
  <si>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</si>
  <si>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</si>
  <si>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</si>
  <si>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</si>
  <si>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</si>
  <si>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</si>
  <si>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</si>
  <si>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</si>
  <si>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</si>
  <si>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</si>
  <si>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</si>
  <si>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</si>
  <si>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</si>
  <si>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</si>
  <si>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</si>
  <si>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</si>
  <si>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</si>
  <si>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</si>
  <si>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</si>
  <si>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</si>
  <si>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</si>
  <si>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</si>
  <si>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</si>
  <si>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</si>
  <si>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</si>
  <si>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</si>
  <si>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</si>
  <si>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</si>
  <si>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</si>
  <si>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</si>
  <si>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</si>
  <si>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</si>
  <si>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</si>
  <si>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</si>
  <si>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</si>
  <si>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</si>
  <si>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</si>
  <si>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</si>
  <si>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</si>
  <si>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</si>
  <si>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</si>
  <si>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</si>
  <si>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</si>
  <si>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</si>
  <si>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</si>
  <si>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</si>
  <si>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</si>
  <si>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</si>
  <si>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</si>
  <si>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</si>
  <si>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</si>
  <si>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</si>
  <si>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</si>
  <si>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</si>
  <si>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</si>
  <si>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</si>
  <si>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</si>
  <si>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</si>
  <si>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</si>
  <si>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</si>
  <si>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</si>
  <si>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</si>
  <si>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</si>
  <si>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</si>
  <si>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</si>
  <si>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</si>
  <si>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</si>
  <si>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</si>
  <si>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</si>
  <si>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</si>
  <si>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</si>
  <si>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</si>
  <si>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</si>
  <si>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</si>
  <si>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</si>
  <si>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</si>
  <si>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</si>
  <si>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</si>
  <si>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</si>
  <si>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</si>
  <si>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</si>
  <si>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</si>
  <si>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</si>
  <si>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</si>
  <si>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</si>
  <si>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</si>
  <si>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</si>
  <si>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</si>
  <si>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</si>
  <si>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</si>
  <si>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</si>
  <si>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</si>
  <si>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</si>
  <si>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</si>
  <si>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</si>
  <si>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</si>
  <si>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</si>
  <si>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</si>
  <si>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</si>
  <si>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</si>
  <si>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</si>
  <si>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</si>
  <si>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</si>
  <si>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</si>
  <si>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</si>
  <si>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</si>
  <si>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</si>
  <si>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</si>
  <si>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</si>
  <si>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</si>
  <si>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</si>
  <si>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</si>
  <si>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</si>
  <si>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</si>
  <si>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</si>
  <si>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</si>
  <si>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</si>
  <si>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</si>
  <si>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</si>
  <si>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</si>
  <si>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</si>
  <si>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</si>
  <si>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</si>
  <si>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</si>
  <si>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</si>
  <si>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</si>
  <si>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</si>
  <si>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</si>
  <si>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</si>
  <si>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</si>
  <si>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</si>
  <si>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</si>
  <si>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</si>
  <si>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</si>
  <si>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</si>
  <si>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</si>
  <si>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</si>
  <si>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</si>
  <si>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</si>
  <si>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</si>
  <si>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</si>
  <si>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</si>
  <si>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</si>
  <si>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</si>
  <si>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</si>
  <si>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</si>
  <si>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</si>
  <si>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</si>
  <si>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</si>
  <si>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</si>
  <si>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</si>
  <si>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</si>
  <si>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</si>
  <si>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</si>
  <si>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</si>
  <si>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</si>
  <si>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</si>
  <si>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</si>
  <si>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</si>
  <si>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</si>
  <si>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</si>
  <si>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</si>
  <si>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</si>
  <si>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</si>
  <si>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</si>
  <si>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</si>
  <si>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</si>
  <si>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</si>
  <si>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</si>
  <si>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</si>
  <si>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</si>
  <si>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</si>
  <si>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</si>
  <si>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</si>
  <si>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</si>
  <si>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</si>
  <si>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</si>
  <si>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</si>
  <si>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</si>
  <si>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</si>
  <si>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</si>
  <si>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</si>
  <si>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</si>
  <si>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</si>
  <si>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</si>
  <si>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</si>
  <si>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</si>
  <si>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</si>
  <si>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</si>
  <si>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</si>
  <si>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</si>
  <si>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</si>
  <si>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</si>
  <si>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</si>
  <si>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</si>
  <si>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</si>
  <si>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</si>
  <si>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</si>
  <si>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</si>
  <si>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</si>
  <si>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</si>
  <si>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</si>
  <si>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</si>
  <si>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</si>
  <si>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</si>
  <si>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</si>
  <si>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</si>
  <si>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</si>
  <si>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</si>
  <si>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</si>
  <si>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</si>
  <si>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</si>
  <si>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</si>
  <si>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</si>
  <si>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</si>
  <si>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</si>
  <si>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</si>
  <si>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</si>
  <si>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</si>
  <si>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</si>
  <si>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</si>
  <si>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</si>
  <si>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</si>
  <si>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</si>
  <si>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</si>
  <si>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</si>
  <si>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</si>
  <si>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</si>
  <si>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</si>
  <si>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</si>
  <si>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</si>
  <si>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</si>
  <si>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</si>
  <si>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</si>
  <si>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</si>
  <si>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</si>
  <si>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</si>
  <si>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</si>
  <si>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</si>
  <si>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</si>
  <si>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</si>
  <si>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</si>
  <si>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</si>
  <si>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</si>
  <si>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</si>
  <si>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</si>
  <si>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</si>
  <si>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</si>
  <si>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</si>
  <si>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</si>
  <si>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</si>
  <si>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</si>
  <si>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</si>
  <si>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</si>
  <si>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</si>
  <si>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</si>
  <si>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</si>
  <si>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</si>
  <si>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</si>
  <si>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</si>
  <si>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</si>
  <si>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</si>
  <si>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</si>
  <si>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</si>
  <si>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</si>
  <si>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</si>
  <si>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</si>
  <si>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</si>
  <si>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</si>
  <si>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</si>
  <si>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</si>
  <si>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</si>
  <si>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</si>
  <si>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</si>
  <si>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</si>
  <si>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</si>
  <si>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</si>
  <si>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</si>
  <si>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</si>
  <si>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</si>
  <si>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</si>
  <si>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</si>
  <si>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</si>
  <si>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</si>
  <si>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</si>
  <si>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</si>
  <si>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</si>
  <si>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</si>
  <si>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</si>
  <si>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</si>
  <si>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</si>
  <si>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</si>
  <si>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</si>
  <si>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</si>
  <si>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</si>
  <si>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</si>
  <si>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</si>
  <si>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</si>
  <si>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</si>
  <si>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</si>
  <si>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</si>
  <si>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</si>
  <si>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</si>
  <si>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</si>
  <si>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</si>
  <si>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</si>
  <si>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</si>
  <si>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</si>
  <si>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</si>
  <si>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</si>
  <si>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</si>
  <si>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</si>
  <si>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</si>
  <si>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</si>
  <si>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</si>
  <si>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</si>
  <si>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</si>
  <si>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</si>
  <si>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</si>
  <si>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</si>
  <si>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</si>
  <si>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</si>
  <si>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</si>
  <si>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</si>
  <si>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</si>
  <si>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</si>
  <si>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</si>
  <si>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</si>
  <si>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</si>
  <si>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</si>
  <si>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</si>
  <si>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</si>
  <si>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</si>
  <si>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</si>
  <si>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</si>
  <si>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</si>
  <si>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</si>
  <si>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</si>
  <si>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</si>
  <si>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</si>
  <si>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</si>
  <si>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</si>
  <si>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</si>
  <si>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</si>
  <si>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</si>
  <si>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</si>
  <si>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</si>
  <si>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</si>
  <si>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</si>
  <si>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</si>
  <si>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</si>
  <si>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</si>
  <si>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</si>
  <si>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</si>
  <si>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</si>
  <si>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</si>
  <si>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</si>
  <si>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</si>
  <si>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</si>
  <si>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</si>
  <si>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</si>
  <si>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</si>
  <si>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</si>
  <si>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</si>
  <si>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</si>
  <si>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</si>
  <si>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</si>
  <si>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</si>
  <si>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</si>
  <si>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</si>
  <si>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</si>
  <si>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</si>
  <si>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</si>
  <si>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</si>
  <si>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</si>
  <si>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</si>
  <si>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</si>
  <si>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</si>
  <si>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</si>
  <si>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</si>
  <si>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</si>
  <si>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</si>
  <si>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</si>
  <si>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</si>
  <si>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</si>
  <si>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</si>
  <si>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</si>
  <si>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</si>
  <si>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</si>
  <si>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</si>
  <si>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</si>
  <si>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</si>
  <si>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</si>
  <si>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</si>
  <si>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</si>
  <si>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</si>
  <si>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</si>
  <si>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</si>
  <si>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</si>
  <si>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</si>
  <si>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</si>
  <si>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</si>
  <si>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</si>
  <si>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</si>
  <si>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</si>
  <si>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</si>
  <si>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</si>
  <si>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</si>
  <si>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</si>
  <si>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</si>
  <si>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</si>
  <si>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</si>
  <si>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</si>
  <si>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</si>
  <si>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</si>
  <si>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</si>
  <si>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</si>
  <si>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</si>
  <si>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</si>
  <si>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</si>
  <si>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</si>
  <si>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</si>
  <si>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</si>
  <si>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</si>
  <si>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</si>
  <si>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</si>
  <si>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</si>
  <si>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</si>
  <si>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</si>
  <si>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</si>
  <si>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</si>
  <si>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</si>
  <si>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</si>
  <si>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</si>
  <si>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</si>
  <si>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</si>
  <si>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</si>
  <si>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</si>
  <si>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</si>
  <si>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</si>
  <si>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</si>
  <si>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</si>
  <si>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</si>
  <si>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</si>
  <si>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</si>
  <si>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</si>
  <si>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</si>
  <si>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</si>
  <si>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</si>
  <si>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</si>
  <si>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</si>
  <si>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</si>
  <si>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</si>
  <si>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</si>
  <si>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</si>
  <si>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</si>
  <si>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</si>
  <si>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</si>
  <si>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</si>
  <si>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</si>
  <si>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</si>
  <si>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</si>
  <si>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</si>
  <si>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</si>
  <si>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</si>
  <si>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</si>
  <si>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</si>
  <si>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</si>
  <si>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</si>
  <si>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</si>
  <si>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</si>
  <si>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</si>
  <si>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</si>
  <si>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</si>
  <si>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</si>
  <si>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</si>
  <si>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</si>
  <si>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</si>
  <si>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</si>
  <si>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</si>
  <si>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</si>
  <si>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</si>
  <si>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</si>
  <si>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</si>
  <si>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</si>
  <si>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</si>
  <si>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</si>
  <si>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</si>
  <si>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</si>
  <si>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</si>
  <si>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</si>
  <si>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</si>
  <si>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</si>
  <si>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</si>
  <si>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</si>
  <si>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</si>
  <si>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</si>
  <si>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</si>
  <si>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</si>
  <si>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</si>
  <si>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</si>
  <si>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</si>
  <si>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</si>
  <si>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</si>
  <si>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</si>
  <si>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</si>
  <si>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</si>
  <si>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</si>
  <si>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</si>
  <si>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</si>
  <si>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</si>
  <si>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</si>
  <si>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</si>
  <si>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</si>
  <si>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</si>
  <si>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</si>
  <si>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</si>
  <si>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</si>
  <si>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</si>
  <si>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</si>
  <si>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</si>
  <si>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</si>
  <si>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</si>
  <si>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</si>
  <si>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</si>
  <si>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</si>
  <si>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</si>
  <si>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</si>
  <si>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</si>
  <si>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</si>
  <si>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</si>
  <si>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</si>
  <si>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</si>
  <si>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</si>
  <si>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</si>
  <si>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</si>
  <si>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</si>
  <si>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</si>
  <si>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</si>
  <si>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</si>
  <si>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</si>
  <si>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</si>
  <si>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</si>
  <si>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</si>
  <si>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</si>
  <si>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</si>
  <si>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</si>
  <si>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</si>
  <si>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</si>
  <si>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</si>
  <si>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</si>
  <si>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</si>
  <si>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</si>
  <si>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</si>
  <si>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</si>
  <si>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</si>
  <si>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</si>
  <si>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</si>
  <si>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</si>
  <si>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</si>
  <si>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</si>
  <si>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</si>
  <si>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</si>
  <si>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</si>
  <si>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</si>
  <si>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</si>
  <si>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</si>
  <si>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</si>
  <si>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</si>
  <si>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</si>
  <si>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</si>
  <si>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</si>
  <si>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</si>
  <si>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</si>
  <si>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</si>
  <si>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</si>
  <si>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</si>
  <si>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</si>
  <si>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</si>
  <si>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</si>
  <si>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</si>
  <si>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</si>
  <si>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</si>
  <si>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</si>
  <si>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</si>
  <si>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</si>
  <si>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</si>
  <si>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</si>
  <si>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</si>
  <si>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</si>
  <si>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</si>
  <si>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</si>
  <si>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</si>
  <si>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</si>
  <si>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</si>
  <si>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</si>
  <si>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</si>
  <si>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</si>
  <si>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</si>
  <si>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</si>
  <si>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</si>
  <si>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</si>
  <si>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</si>
  <si>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</si>
  <si>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</si>
  <si>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</si>
  <si>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</si>
  <si>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</si>
  <si>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</si>
  <si>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</si>
  <si>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</si>
  <si>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</si>
  <si>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</si>
  <si>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</si>
  <si>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</si>
  <si>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</si>
  <si>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</si>
  <si>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</si>
  <si>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</si>
  <si>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</si>
  <si>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</si>
  <si>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</si>
  <si>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</si>
  <si>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</si>
  <si>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</si>
  <si>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</si>
  <si>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</si>
  <si>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</si>
  <si>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</si>
  <si>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</si>
  <si>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</si>
  <si>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</si>
  <si>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</si>
  <si>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</si>
  <si>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</si>
  <si>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</si>
  <si>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</si>
  <si>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</si>
  <si>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</si>
  <si>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</si>
  <si>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</si>
  <si>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</si>
  <si>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</si>
  <si>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</si>
  <si>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</si>
  <si>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</si>
  <si>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</si>
  <si>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</si>
  <si>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</si>
  <si>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</si>
  <si>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</si>
  <si>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</si>
  <si>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</si>
  <si>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</si>
  <si>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</si>
  <si>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</si>
  <si>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</si>
  <si>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</si>
  <si>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</si>
  <si>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</si>
  <si>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</si>
  <si>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</si>
  <si>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</si>
  <si>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</si>
  <si>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</si>
  <si>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</si>
  <si>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</si>
  <si>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</si>
  <si>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</si>
  <si>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</si>
  <si>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</si>
  <si>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</si>
  <si>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</si>
  <si>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</si>
  <si>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</si>
  <si>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</si>
  <si>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</si>
  <si>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</si>
  <si>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</si>
  <si>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</si>
  <si>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</si>
  <si>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</si>
  <si>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</si>
  <si>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</si>
  <si>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</si>
  <si>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</si>
  <si>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</si>
  <si>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</si>
  <si>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</si>
  <si>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</si>
  <si>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</si>
  <si>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</si>
  <si>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</si>
  <si>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</si>
  <si>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</si>
  <si>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</si>
  <si>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</si>
  <si>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</si>
  <si>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</si>
  <si>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</si>
  <si>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</si>
  <si>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</si>
  <si>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</si>
  <si>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</si>
  <si>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</si>
  <si>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</si>
  <si>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</si>
  <si>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</si>
  <si>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</si>
  <si>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</si>
  <si>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</si>
  <si>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</si>
  <si>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</si>
  <si>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</si>
  <si>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</si>
  <si>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</si>
  <si>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</si>
  <si>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</si>
  <si>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</si>
  <si>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</si>
  <si>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</si>
  <si>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</si>
  <si>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</si>
  <si>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</si>
  <si>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</si>
  <si>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</si>
  <si>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</si>
  <si>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</si>
  <si>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</si>
  <si>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</si>
  <si>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</si>
  <si>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</si>
  <si>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</si>
  <si>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</si>
  <si>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</si>
  <si>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</si>
  <si>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</si>
  <si>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</si>
  <si>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</si>
  <si>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</si>
  <si>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</si>
  <si>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</si>
  <si>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</si>
  <si>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</si>
  <si>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</si>
  <si>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</si>
  <si>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</si>
  <si>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</si>
  <si>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</si>
  <si>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</si>
  <si>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</si>
  <si>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</si>
  <si>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</si>
  <si>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</si>
  <si>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</si>
  <si>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</si>
  <si>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</si>
  <si>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</si>
  <si>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</si>
  <si>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</si>
  <si>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</si>
  <si>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</si>
  <si>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</si>
  <si>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</si>
  <si>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</si>
  <si>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</si>
  <si>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</si>
  <si>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</si>
  <si>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</si>
  <si>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</si>
  <si>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</si>
  <si>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</si>
  <si>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</si>
  <si>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</si>
  <si>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</si>
  <si>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</si>
  <si>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</si>
  <si>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</si>
  <si>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</si>
  <si>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</si>
  <si>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</si>
  <si>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</si>
  <si>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</si>
  <si>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</si>
  <si>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</si>
  <si>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</si>
  <si>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</si>
  <si>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</si>
  <si>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</si>
  <si>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</si>
  <si>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</si>
  <si>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</si>
  <si>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</si>
  <si>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</si>
  <si>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</si>
  <si>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</si>
  <si>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</si>
  <si>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</si>
  <si>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</si>
  <si>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</si>
  <si>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</si>
  <si>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</si>
  <si>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</si>
  <si>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</si>
  <si>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</si>
  <si>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</si>
  <si>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</si>
  <si>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</si>
  <si>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</si>
  <si>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</si>
  <si>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</si>
  <si>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</si>
  <si>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</si>
  <si>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</si>
  <si>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</si>
  <si>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</si>
  <si>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</si>
  <si>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</si>
  <si>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</si>
  <si>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</si>
  <si>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</si>
  <si>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</si>
  <si>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</si>
  <si>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</si>
  <si>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</si>
  <si>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</si>
  <si>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</si>
  <si>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</si>
  <si>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</si>
  <si>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</si>
  <si>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</si>
  <si>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</si>
  <si>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</si>
  <si>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</si>
  <si>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</si>
  <si>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</si>
  <si>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</si>
  <si>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</si>
  <si>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</si>
  <si>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</si>
  <si>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</si>
  <si>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</si>
  <si>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</si>
  <si>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</si>
  <si>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</si>
  <si>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</si>
  <si>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</si>
  <si>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</si>
  <si>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</si>
  <si>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</si>
  <si>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</si>
  <si>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</si>
  <si>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</si>
  <si>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</si>
  <si>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</si>
  <si>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</si>
  <si>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</si>
  <si>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</si>
  <si>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</si>
  <si>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</si>
  <si>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</si>
  <si>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</si>
  <si>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</si>
  <si>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</si>
  <si>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</si>
  <si>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</si>
  <si>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</si>
  <si>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</si>
  <si>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</si>
  <si>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</si>
  <si>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</si>
  <si>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</si>
  <si>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</si>
  <si>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</si>
  <si>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</si>
  <si>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</si>
  <si>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</si>
  <si>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</si>
  <si>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</si>
  <si>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</si>
  <si>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</si>
  <si>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</si>
  <si>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</si>
  <si>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</si>
  <si>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</si>
  <si>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</si>
  <si>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</si>
  <si>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</si>
  <si>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</si>
  <si>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</si>
  <si>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</si>
  <si>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</si>
  <si>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</si>
  <si>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</si>
  <si>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</si>
  <si>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</si>
  <si>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</si>
  <si>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</si>
  <si>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</si>
  <si>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</si>
  <si>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</si>
  <si>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</si>
  <si>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</si>
  <si>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</si>
  <si>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</si>
  <si>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</si>
  <si>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</si>
  <si>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</si>
  <si>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</si>
  <si>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</si>
  <si>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</si>
  <si>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</si>
  <si>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</si>
  <si>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</si>
  <si>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</si>
  <si>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</si>
  <si>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</si>
  <si>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</si>
  <si>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</si>
  <si>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</si>
  <si>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</si>
  <si>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</si>
  <si>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</si>
  <si>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</si>
  <si>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</si>
  <si>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</si>
  <si>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</si>
  <si>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</si>
  <si>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</si>
  <si>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</si>
  <si>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</si>
  <si>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</si>
  <si>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</si>
  <si>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</si>
  <si>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</si>
  <si>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</si>
  <si>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</si>
  <si>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</si>
  <si>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</si>
  <si>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</si>
  <si>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</si>
  <si>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</si>
  <si>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</si>
  <si>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</si>
  <si>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</si>
  <si>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</si>
  <si>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</si>
  <si>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</si>
  <si>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</si>
  <si>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</si>
  <si>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</si>
  <si>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</si>
  <si>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</si>
  <si>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</si>
  <si>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</si>
  <si>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</si>
  <si>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</si>
  <si>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</si>
  <si>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</si>
  <si>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</si>
  <si>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</si>
  <si>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</si>
  <si>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</si>
  <si>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</si>
  <si>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</si>
  <si>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</si>
  <si>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</si>
  <si>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</si>
  <si>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</si>
  <si>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</si>
  <si>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</si>
  <si>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</si>
  <si>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</si>
  <si>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</si>
  <si>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</si>
  <si>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</si>
  <si>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</si>
  <si>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</si>
  <si>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</si>
  <si>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</si>
  <si>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</si>
  <si>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</si>
  <si>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</si>
  <si>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</si>
  <si>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</si>
  <si>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</si>
  <si>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</si>
  <si>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</si>
  <si>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</si>
  <si>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</si>
  <si>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</si>
  <si>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</si>
  <si>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</si>
  <si>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</si>
  <si>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</si>
  <si>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</si>
  <si>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</si>
  <si>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</si>
  <si>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</si>
  <si>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</si>
  <si>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</si>
  <si>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</si>
  <si>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</si>
  <si>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</si>
  <si>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</si>
  <si>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</si>
  <si>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</si>
  <si>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</si>
  <si>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</si>
  <si>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</si>
  <si>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</si>
  <si>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</si>
  <si>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</si>
  <si>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</si>
  <si>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</si>
  <si>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</si>
  <si>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</si>
  <si>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</si>
  <si>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</si>
  <si>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</si>
  <si>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</si>
  <si>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</si>
  <si>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</si>
  <si>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</si>
  <si>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</si>
  <si>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</si>
  <si>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</si>
  <si>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</si>
  <si>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</si>
  <si>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</si>
  <si>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</si>
  <si>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</si>
  <si>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</si>
  <si>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</si>
  <si>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</si>
  <si>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</si>
  <si>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</si>
  <si>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</si>
  <si>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</si>
  <si>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</si>
  <si>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</si>
  <si>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</si>
  <si>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</si>
  <si>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</si>
  <si>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</si>
  <si>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</si>
  <si>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</si>
  <si>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</si>
  <si>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</si>
  <si>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</si>
  <si>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</si>
  <si>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</si>
  <si>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</si>
  <si>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</si>
  <si>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</si>
  <si>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</si>
  <si>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</si>
  <si>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</si>
  <si>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</si>
  <si>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</si>
  <si>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</si>
  <si>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</si>
  <si>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</si>
  <si>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</si>
  <si>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</si>
  <si>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</si>
  <si>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</si>
  <si>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</si>
  <si>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</si>
  <si>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</si>
  <si>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</si>
  <si>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</si>
  <si>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</si>
  <si>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</si>
  <si>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</si>
  <si>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</si>
  <si>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</si>
  <si>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</si>
  <si>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</si>
  <si>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</si>
  <si>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</si>
  <si>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</si>
  <si>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</si>
  <si>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</si>
  <si>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</si>
  <si>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</si>
  <si>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</si>
  <si>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</si>
  <si>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</si>
  <si>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</si>
  <si>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</si>
  <si>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</si>
  <si>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</si>
  <si>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</si>
  <si>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</si>
  <si>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</si>
  <si>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</si>
  <si>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</si>
  <si>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</si>
  <si>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</si>
  <si>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</si>
  <si>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</si>
  <si>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</si>
  <si>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</si>
  <si>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</si>
  <si>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</si>
  <si>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</si>
  <si>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</si>
  <si>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</si>
  <si>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</si>
  <si>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</si>
  <si>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</si>
  <si>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</si>
  <si>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</si>
  <si>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</si>
  <si>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</si>
  <si>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</si>
  <si>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</si>
  <si>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</si>
  <si>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</si>
  <si>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</si>
  <si>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</si>
  <si>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</si>
  <si>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</si>
  <si>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</si>
  <si>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</si>
  <si>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</si>
  <si>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</si>
  <si>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</si>
  <si>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</si>
  <si>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</si>
  <si>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</si>
  <si>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</si>
  <si>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</si>
  <si>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</si>
  <si>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</si>
  <si>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</si>
  <si>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</si>
  <si>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</si>
  <si>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</si>
  <si>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</si>
  <si>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</si>
  <si>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</si>
  <si>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</si>
  <si>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</si>
  <si>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</si>
  <si>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</si>
  <si>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</si>
  <si>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</si>
  <si>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</si>
  <si>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</si>
  <si>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</si>
  <si>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</si>
  <si>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</si>
  <si>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</si>
  <si>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</si>
  <si>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</si>
  <si>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</si>
  <si>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</si>
  <si>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</si>
  <si>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</si>
  <si>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</si>
  <si>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</si>
  <si>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</si>
  <si>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</si>
  <si>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</si>
  <si>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</si>
  <si>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</si>
  <si>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</si>
  <si>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</si>
  <si>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</si>
  <si>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</si>
  <si>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</si>
  <si>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</si>
  <si>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</si>
  <si>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</si>
  <si>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</si>
  <si>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</si>
  <si>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</si>
  <si>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</si>
  <si>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</si>
  <si>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</si>
  <si>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</si>
  <si>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</si>
  <si>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</si>
  <si>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</si>
  <si>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</si>
  <si>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</si>
  <si>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</si>
  <si>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</si>
  <si>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</si>
  <si>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</si>
  <si>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</si>
  <si>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</si>
  <si>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</si>
  <si>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</si>
  <si>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</si>
  <si>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</si>
  <si>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</si>
  <si>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</si>
  <si>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</si>
  <si>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</si>
  <si>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</si>
  <si>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</si>
  <si>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</si>
  <si>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</si>
  <si>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</si>
  <si>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</si>
  <si>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</si>
  <si>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</si>
  <si>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</si>
  <si>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</si>
  <si>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</si>
  <si>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</si>
  <si>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</si>
  <si>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</si>
  <si>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</si>
  <si>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</si>
  <si>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</si>
  <si>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</si>
  <si>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</si>
  <si>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</si>
  <si>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</si>
  <si>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</si>
  <si>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</si>
  <si>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</si>
  <si>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</si>
  <si>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</si>
  <si>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</si>
  <si>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</si>
  <si>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</si>
  <si>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</si>
  <si>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</si>
  <si>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</si>
  <si>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</si>
  <si>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</si>
  <si>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</si>
  <si>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</si>
  <si>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</si>
  <si>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</si>
  <si>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</si>
  <si>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</si>
  <si>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</si>
  <si>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</si>
  <si>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</si>
  <si>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</si>
  <si>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</si>
  <si>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</si>
  <si>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</si>
  <si>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</si>
  <si>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</si>
  <si>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</si>
  <si>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</si>
  <si>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</si>
  <si>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</si>
  <si>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</si>
  <si>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</si>
  <si>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</si>
  <si>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</si>
  <si>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</si>
  <si>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</si>
  <si>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</si>
  <si>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</si>
  <si>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</si>
  <si>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</si>
  <si>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</si>
  <si>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</si>
  <si>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</si>
  <si>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</si>
  <si>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</si>
  <si>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</si>
  <si>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</si>
  <si>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</si>
  <si>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</si>
  <si>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</si>
  <si>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</si>
  <si>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</si>
  <si>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</si>
  <si>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</si>
  <si>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</si>
  <si>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</si>
  <si>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</si>
  <si>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</si>
  <si>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</si>
  <si>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</si>
  <si>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</si>
  <si>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</si>
  <si>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</si>
  <si>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</si>
  <si>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</si>
  <si>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</si>
  <si>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</si>
  <si>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</si>
  <si>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</si>
  <si>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</si>
  <si>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</si>
  <si>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</si>
  <si>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</si>
  <si>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</si>
  <si>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</si>
  <si>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</si>
  <si>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</si>
  <si>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</si>
  <si>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</si>
  <si>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</si>
  <si>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</si>
  <si>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</si>
  <si>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</si>
  <si>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</si>
  <si>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</si>
  <si>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</si>
  <si>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</si>
  <si>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</si>
  <si>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</si>
  <si>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</si>
  <si>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</si>
  <si>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</si>
  <si>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</si>
  <si>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</si>
  <si>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</si>
  <si>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</si>
  <si>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</si>
  <si>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</si>
  <si>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</si>
  <si>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</si>
  <si>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</si>
  <si>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</si>
  <si>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</si>
  <si>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</si>
  <si>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</si>
  <si>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</si>
  <si>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</si>
  <si>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</si>
  <si>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</si>
  <si>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</si>
  <si>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</si>
  <si>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</si>
  <si>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</si>
  <si>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</si>
  <si>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</si>
  <si>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</si>
  <si>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</si>
  <si>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</si>
  <si>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</si>
  <si>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</si>
  <si>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</si>
  <si>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</si>
  <si>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</si>
  <si>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</si>
  <si>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</si>
  <si>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</si>
  <si>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</si>
  <si>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</si>
  <si>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</si>
  <si>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</si>
  <si>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</si>
  <si>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</si>
  <si>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</si>
  <si>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</si>
  <si>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</si>
  <si>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</si>
  <si>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</si>
  <si>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</si>
  <si>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</si>
  <si>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</si>
  <si>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</si>
  <si>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</si>
  <si>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</si>
  <si>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</si>
  <si>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</si>
  <si>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</si>
  <si>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</si>
  <si>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</si>
  <si>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</si>
  <si>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</si>
  <si>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</si>
  <si>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</si>
  <si>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</si>
  <si>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</si>
  <si>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</si>
  <si>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</si>
  <si>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</si>
  <si>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</si>
  <si>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</si>
  <si>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</si>
  <si>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</si>
  <si>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</si>
  <si>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</si>
  <si>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</si>
  <si>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</si>
  <si>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</si>
  <si>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</si>
  <si>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</si>
  <si>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</si>
  <si>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</si>
  <si>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</si>
  <si>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</si>
  <si>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</si>
  <si>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</si>
  <si>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</si>
  <si>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</si>
  <si>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</si>
  <si>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</si>
  <si>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</si>
  <si>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</si>
  <si>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</si>
  <si>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</si>
  <si>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</si>
  <si>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</si>
  <si>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</si>
  <si>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</si>
  <si>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</si>
  <si>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</si>
  <si>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</si>
  <si>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</si>
  <si>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</si>
  <si>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</si>
  <si>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</si>
  <si>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</si>
  <si>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</si>
  <si>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</si>
  <si>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</si>
  <si>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</si>
  <si>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</si>
  <si>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</si>
  <si>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</si>
  <si>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</si>
  <si>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</si>
  <si>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</si>
  <si>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</si>
  <si>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</si>
  <si>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</si>
  <si>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</si>
  <si>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</si>
  <si>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</si>
  <si>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</si>
  <si>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</si>
  <si>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</si>
  <si>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</si>
  <si>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</si>
  <si>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</si>
  <si>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</si>
  <si>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</si>
  <si>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</si>
  <si>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</si>
  <si>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</si>
  <si>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</si>
  <si>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</si>
  <si>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</si>
  <si>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</si>
  <si>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</si>
  <si>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</si>
  <si>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</si>
  <si>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</si>
  <si>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</si>
  <si>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</si>
  <si>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</si>
  <si>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</si>
  <si>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</si>
  <si>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</si>
  <si>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</si>
  <si>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</si>
  <si>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</si>
  <si>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</si>
  <si>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</si>
  <si>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</si>
  <si>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</si>
  <si>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</si>
  <si>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</si>
  <si>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</si>
  <si>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</si>
  <si>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</si>
  <si>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</si>
  <si>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</si>
  <si>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</si>
  <si>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</si>
  <si>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</si>
  <si>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</si>
  <si>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</si>
  <si>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</si>
  <si>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</si>
  <si>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</si>
  <si>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</si>
  <si>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</si>
  <si>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</si>
  <si>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</si>
  <si>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</si>
  <si>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</si>
  <si>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</si>
  <si>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</si>
  <si>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</si>
  <si>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</si>
  <si>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</si>
  <si>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</si>
  <si>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</si>
  <si>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</si>
  <si>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</si>
  <si>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</si>
  <si>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</si>
  <si>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</si>
  <si>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</si>
  <si>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</si>
  <si>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</si>
  <si>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</si>
  <si>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</si>
  <si>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</si>
  <si>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</si>
  <si>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</si>
  <si>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</si>
  <si>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</si>
  <si>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</si>
  <si>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</si>
  <si>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</si>
  <si>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</si>
  <si>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</si>
  <si>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</si>
  <si>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</si>
  <si>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</si>
  <si>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</si>
  <si>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</si>
  <si>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</si>
  <si>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</si>
  <si>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</si>
  <si>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</si>
  <si>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</si>
  <si>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</si>
  <si>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</si>
  <si>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</si>
  <si>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</si>
  <si>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</si>
  <si>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</si>
  <si>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</si>
  <si>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</si>
  <si>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</si>
  <si>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</si>
  <si>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</si>
  <si>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</si>
  <si>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</si>
  <si>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</si>
  <si>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</si>
  <si>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</si>
  <si>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</si>
  <si>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</si>
  <si>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</si>
  <si>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</si>
  <si>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</si>
  <si>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</si>
  <si>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</si>
  <si>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</si>
  <si>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</si>
  <si>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</si>
  <si>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</si>
  <si>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</si>
  <si>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</si>
  <si>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</si>
  <si>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</si>
  <si>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</si>
  <si>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</si>
  <si>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</si>
  <si>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</si>
  <si>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</si>
  <si>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</si>
  <si>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</si>
  <si>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</si>
  <si>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</si>
  <si>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</si>
  <si>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</si>
  <si>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</si>
  <si>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</si>
  <si>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</si>
  <si>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</si>
  <si>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</si>
  <si>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</si>
  <si>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</si>
  <si>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</si>
  <si>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</si>
  <si>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</si>
  <si>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</si>
  <si>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</si>
  <si>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</si>
  <si>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</si>
  <si>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</si>
  <si>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</si>
  <si>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</si>
  <si>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</si>
  <si>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</si>
  <si>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</si>
  <si>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</si>
  <si>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</si>
  <si>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</si>
  <si>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</si>
  <si>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</si>
  <si>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</si>
  <si>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</si>
  <si>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</si>
  <si>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</si>
  <si>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</si>
  <si>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</si>
  <si>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</si>
  <si>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</si>
  <si>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</si>
  <si>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</si>
  <si>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</si>
  <si>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</si>
  <si>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</si>
  <si>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</si>
  <si>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</si>
  <si>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</si>
  <si>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</si>
  <si>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</si>
  <si>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</si>
  <si>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</si>
  <si>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</si>
  <si>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</si>
  <si>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</si>
  <si>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</si>
  <si>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</si>
  <si>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</si>
  <si>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</si>
  <si>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</si>
  <si>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</si>
  <si>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</si>
  <si>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</si>
  <si>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</si>
  <si>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</si>
  <si>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</si>
  <si>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</si>
  <si>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</si>
  <si>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</si>
  <si>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</si>
  <si>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</si>
  <si>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</si>
  <si>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</si>
  <si>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</si>
  <si>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</si>
  <si>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</si>
  <si>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</si>
  <si>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</si>
  <si>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</si>
  <si>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</si>
  <si>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</si>
  <si>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</si>
  <si>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</si>
  <si>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</si>
  <si>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</si>
  <si>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</si>
  <si>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</si>
  <si>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</si>
  <si>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</si>
  <si>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</si>
  <si>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</si>
  <si>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</si>
  <si>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</si>
  <si>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</si>
  <si>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</si>
  <si>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</si>
  <si>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</si>
  <si>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</si>
  <si>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</si>
  <si>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</si>
  <si>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</si>
  <si>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</si>
  <si>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</si>
  <si>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</si>
  <si>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</si>
  <si>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</si>
  <si>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</si>
  <si>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</si>
  <si>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</si>
  <si>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</si>
  <si>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</si>
  <si>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</si>
  <si>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</si>
  <si>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</si>
  <si>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</si>
  <si>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</si>
  <si>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</si>
  <si>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</si>
  <si>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</si>
  <si>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</si>
  <si>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</si>
  <si>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</si>
  <si>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</si>
  <si>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</si>
  <si>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</si>
  <si>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</si>
  <si>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</si>
  <si>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</si>
  <si>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</si>
  <si>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</si>
  <si>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</si>
  <si>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</si>
  <si>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</si>
  <si>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</si>
  <si>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</si>
  <si>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</si>
  <si>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</si>
  <si>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</si>
  <si>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</si>
  <si>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</si>
  <si>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</si>
  <si>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</si>
  <si>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</si>
  <si>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</si>
  <si>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</si>
  <si>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</si>
  <si>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</si>
  <si>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</si>
  <si>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</si>
  <si>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</si>
  <si>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</si>
  <si>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</si>
  <si>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</si>
  <si>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</si>
  <si>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</si>
  <si>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</si>
  <si>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</si>
  <si>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</si>
  <si>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</si>
  <si>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</si>
  <si>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</si>
  <si>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</si>
  <si>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</si>
  <si>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</si>
  <si>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</si>
  <si>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</si>
  <si>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</si>
  <si>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</si>
  <si>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</si>
  <si>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</si>
  <si>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</si>
  <si>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</si>
  <si>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</si>
  <si>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</si>
  <si>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</si>
  <si>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</si>
  <si>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</si>
  <si>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</si>
  <si>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</si>
  <si>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</si>
  <si>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</si>
  <si>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</si>
  <si>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</si>
  <si>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</si>
  <si>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</si>
  <si>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</si>
  <si>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</si>
  <si>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</si>
  <si>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</si>
  <si>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</si>
  <si>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</si>
  <si>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</si>
  <si>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</si>
  <si>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</si>
  <si>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</si>
  <si>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</si>
  <si>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</si>
  <si>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</si>
  <si>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</si>
  <si>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</si>
  <si>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</si>
  <si>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</si>
  <si>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</si>
  <si>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</si>
  <si>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</si>
  <si>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</si>
  <si>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</si>
  <si>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</si>
  <si>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</si>
  <si>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</si>
  <si>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</si>
  <si>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</si>
  <si>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</si>
  <si>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</si>
  <si>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</si>
  <si>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</si>
  <si>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</si>
  <si>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</si>
  <si>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</si>
  <si>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</si>
  <si>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</si>
  <si>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</si>
  <si>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</si>
  <si>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</si>
  <si>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</si>
  <si>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</si>
  <si>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</si>
  <si>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</si>
  <si>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</si>
  <si>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</si>
  <si>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</si>
  <si>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</si>
  <si>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</si>
  <si>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</si>
  <si>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</si>
  <si>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</si>
  <si>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</si>
  <si>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</si>
  <si>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</si>
  <si>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</si>
  <si>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</si>
  <si>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</si>
  <si>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</si>
  <si>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</si>
  <si>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</si>
  <si>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</si>
  <si>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</si>
  <si>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</si>
  <si>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</si>
  <si>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</si>
  <si>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</si>
  <si>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</si>
  <si>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</si>
  <si>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</si>
  <si>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</si>
  <si>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</si>
  <si>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</si>
  <si>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</si>
  <si>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</si>
  <si>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</si>
  <si>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</si>
  <si>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</si>
  <si>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</si>
  <si>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</si>
  <si>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</si>
  <si>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</si>
  <si>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</si>
  <si>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</si>
  <si>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</si>
  <si>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</si>
  <si>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</si>
  <si>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</si>
  <si>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</si>
  <si>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</si>
  <si>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</si>
  <si>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</si>
  <si>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</si>
  <si>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</si>
  <si>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</si>
  <si>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</si>
  <si>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</si>
  <si>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</si>
  <si>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</si>
  <si>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</si>
  <si>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</si>
  <si>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</si>
  <si>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</si>
  <si>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</si>
  <si>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</si>
  <si>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</si>
  <si>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</si>
  <si>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</si>
  <si>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</si>
  <si>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</si>
  <si>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</si>
  <si>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</si>
  <si>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</si>
  <si>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</si>
  <si>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</si>
  <si>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</si>
  <si>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</si>
  <si>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</si>
  <si>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</si>
  <si>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</si>
  <si>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</si>
  <si>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</si>
  <si>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</si>
  <si>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</si>
  <si>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</si>
  <si>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</si>
  <si>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</si>
  <si>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</si>
  <si>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</si>
  <si>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</si>
  <si>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</si>
  <si>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</si>
  <si>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</si>
  <si>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</si>
  <si>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</si>
  <si>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</si>
  <si>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</si>
  <si>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</si>
  <si>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</si>
  <si>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</si>
  <si>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</si>
  <si>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</si>
  <si>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</si>
  <si>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</si>
  <si>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</si>
  <si>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</si>
  <si>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</si>
  <si>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</si>
  <si>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</si>
  <si>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</si>
  <si>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</si>
  <si>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</si>
  <si>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</si>
  <si>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</si>
  <si>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</si>
  <si>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</si>
  <si>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</si>
  <si>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</si>
  <si>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</si>
  <si>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</si>
  <si>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</si>
  <si>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</si>
  <si>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</si>
  <si>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</si>
  <si>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</si>
  <si>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</si>
  <si>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</si>
  <si>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</si>
  <si>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</si>
  <si>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</si>
  <si>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</si>
  <si>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</si>
  <si>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</si>
  <si>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</si>
  <si>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</si>
  <si>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</si>
  <si>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</si>
  <si>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</si>
  <si>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</si>
  <si>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</si>
  <si>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</si>
  <si>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</si>
  <si>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</si>
  <si>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</si>
  <si>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</si>
  <si>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</si>
  <si>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</si>
  <si>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</si>
  <si>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</si>
  <si>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</si>
  <si>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</si>
  <si>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</si>
  <si>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</si>
  <si>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</si>
  <si>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</si>
  <si>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</si>
  <si>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</si>
  <si>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</si>
  <si>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</si>
  <si>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</si>
  <si>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</si>
  <si>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</si>
  <si>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</si>
  <si>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</si>
  <si>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</si>
  <si>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</si>
  <si>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</si>
  <si>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</si>
  <si>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</si>
  <si>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</si>
  <si>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</si>
  <si>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</si>
  <si>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</si>
  <si>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</si>
  <si>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</si>
  <si>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</si>
  <si>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</si>
  <si>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</si>
  <si>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</si>
  <si>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</si>
  <si>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</si>
  <si>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</si>
  <si>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</si>
  <si>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</si>
  <si>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</si>
  <si>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</si>
  <si>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</si>
  <si>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</si>
  <si>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</si>
  <si>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</si>
  <si>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</si>
  <si>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</si>
  <si>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</si>
  <si>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</si>
  <si>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</si>
  <si>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</si>
  <si>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</si>
  <si>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</si>
  <si>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</si>
  <si>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</si>
  <si>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</si>
  <si>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</si>
  <si>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</si>
  <si>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</si>
  <si>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</si>
  <si>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</si>
  <si>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</si>
  <si>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</si>
  <si>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</si>
  <si>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</si>
  <si>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</si>
  <si>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</si>
  <si>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</si>
  <si>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</si>
  <si>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</si>
  <si>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</si>
  <si>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</si>
  <si>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</si>
  <si>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</si>
  <si>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</si>
  <si>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</si>
  <si>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</si>
  <si>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</si>
  <si>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</si>
  <si>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</si>
  <si>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</si>
  <si>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</si>
  <si>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</si>
  <si>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</si>
  <si>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</si>
  <si>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</si>
  <si>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</si>
  <si>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</si>
  <si>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</si>
  <si>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</si>
  <si>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</si>
  <si>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</si>
  <si>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</si>
  <si>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</si>
  <si>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</si>
  <si>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</si>
  <si>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</si>
  <si>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</si>
  <si>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</si>
  <si>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</si>
  <si>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</si>
  <si>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</si>
  <si>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</si>
  <si>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</si>
  <si>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</si>
  <si>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</si>
  <si>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</si>
  <si>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</si>
  <si>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</si>
  <si>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</si>
  <si>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</si>
  <si>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</si>
  <si>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</si>
  <si>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</si>
  <si>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</si>
  <si>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</si>
  <si>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</si>
  <si>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</si>
  <si>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</si>
  <si>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</si>
  <si>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</si>
  <si>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</si>
  <si>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</si>
  <si>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</si>
  <si>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</si>
  <si>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</si>
  <si>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</si>
  <si>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</si>
  <si>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</si>
  <si>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</si>
  <si>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</si>
  <si>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</si>
  <si>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</si>
  <si>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</si>
  <si>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</si>
  <si>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</si>
  <si>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</si>
  <si>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</si>
  <si>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</si>
  <si>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</si>
  <si>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</si>
  <si>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</si>
  <si>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</si>
  <si>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</si>
  <si>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</si>
  <si>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</si>
  <si>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</si>
  <si>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</si>
  <si>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</si>
  <si>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</si>
  <si>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</si>
  <si>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</si>
  <si>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</si>
  <si>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</si>
  <si>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</si>
  <si>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</si>
  <si>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</si>
  <si>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</si>
  <si>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</si>
  <si>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</si>
  <si>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</si>
  <si>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</si>
  <si>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</si>
  <si>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</si>
  <si>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</si>
  <si>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</si>
  <si>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</si>
  <si>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</si>
  <si>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</si>
  <si>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</si>
  <si>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</si>
  <si>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</si>
  <si>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</si>
  <si>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</si>
  <si>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</si>
  <si>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</si>
  <si>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</si>
  <si>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</si>
  <si>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</si>
  <si>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</si>
  <si>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</si>
  <si>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</si>
  <si>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</si>
  <si>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</si>
  <si>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</si>
  <si>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</si>
  <si>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</si>
  <si>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</si>
  <si>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</si>
  <si>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</si>
  <si>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</si>
  <si>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</si>
  <si>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</si>
  <si>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</si>
  <si>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</si>
  <si>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</si>
  <si>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</si>
  <si>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</si>
  <si>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</si>
  <si>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</si>
  <si>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</si>
  <si>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</si>
  <si>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</si>
  <si>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</si>
  <si>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</si>
  <si>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</si>
  <si>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</si>
  <si>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</si>
  <si>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</si>
  <si>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</si>
  <si>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</si>
  <si>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</si>
  <si>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</si>
  <si>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</si>
  <si>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</si>
  <si>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</si>
  <si>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</si>
  <si>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</si>
  <si>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</si>
  <si>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</si>
  <si>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</si>
  <si>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</si>
  <si>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</si>
  <si>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</si>
  <si>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</si>
  <si>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</si>
  <si>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</si>
  <si>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</si>
  <si>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</si>
  <si>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</si>
  <si>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</si>
  <si>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</si>
  <si>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</si>
  <si>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</si>
  <si>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</si>
  <si>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</si>
  <si>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</si>
  <si>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</si>
  <si>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</si>
  <si>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</si>
  <si>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</si>
  <si>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</si>
  <si>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</si>
  <si>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</si>
  <si>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</si>
  <si>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</si>
  <si>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</si>
  <si>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</si>
  <si>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</si>
  <si>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</si>
  <si>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</si>
  <si>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</si>
  <si>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</si>
  <si>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</si>
  <si>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</si>
  <si>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</si>
  <si>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</si>
  <si>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</si>
  <si>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</si>
  <si>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</si>
  <si>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</si>
  <si>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</si>
  <si>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</si>
  <si>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</si>
  <si>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</si>
  <si>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</si>
  <si>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</si>
  <si>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</si>
  <si>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</si>
  <si>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</si>
  <si>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</si>
  <si>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</si>
  <si>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</si>
  <si>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</si>
  <si>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</si>
  <si>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</si>
  <si>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</si>
  <si>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</si>
  <si>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</si>
  <si>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</si>
  <si>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</si>
  <si>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</si>
  <si>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</si>
  <si>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</si>
  <si>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</si>
  <si>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</si>
  <si>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</si>
  <si>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</si>
  <si>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</si>
  <si>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</si>
  <si>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</si>
  <si>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</si>
  <si>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</si>
  <si>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</si>
  <si>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</si>
  <si>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</si>
  <si>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</si>
  <si>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</si>
  <si>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</si>
  <si>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</si>
  <si>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</si>
  <si>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</si>
  <si>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</si>
  <si>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</si>
  <si>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</si>
  <si>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</si>
  <si>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</si>
  <si>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</si>
  <si>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</si>
  <si>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</si>
  <si>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</si>
  <si>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</si>
  <si>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</si>
  <si>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</si>
  <si>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</si>
  <si>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</si>
  <si>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</si>
  <si>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</si>
  <si>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</si>
  <si>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</si>
  <si>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</si>
  <si>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</si>
  <si>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</si>
  <si>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</si>
  <si>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</si>
  <si>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</si>
  <si>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</si>
  <si>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</si>
  <si>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</si>
  <si>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</si>
  <si>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</si>
  <si>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</si>
  <si>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</si>
  <si>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</si>
  <si>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</si>
  <si>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</si>
  <si>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</si>
  <si>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</si>
  <si>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</si>
  <si>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</si>
  <si>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</si>
  <si>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</si>
  <si>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</si>
  <si>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</si>
  <si>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</si>
  <si>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</si>
  <si>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</si>
  <si>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</si>
  <si>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</si>
  <si>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</si>
  <si>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</si>
  <si>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</si>
  <si>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</si>
  <si>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</si>
  <si>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</si>
  <si>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</si>
  <si>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</si>
  <si>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</si>
  <si>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</si>
  <si>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</si>
  <si>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</si>
  <si>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</si>
  <si>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</si>
  <si>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</si>
  <si>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</si>
  <si>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</si>
  <si>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</si>
  <si>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</si>
  <si>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</si>
  <si>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</si>
  <si>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</si>
  <si>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</si>
  <si>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</si>
  <si>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</si>
  <si>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</si>
  <si>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</si>
  <si>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</si>
  <si>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</si>
  <si>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</si>
  <si>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</si>
  <si>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</si>
  <si>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</si>
  <si>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</si>
  <si>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</si>
  <si>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</si>
  <si>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</si>
  <si>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</si>
  <si>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</si>
  <si>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</si>
  <si>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</si>
  <si>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</si>
  <si>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</si>
  <si>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</si>
  <si>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</si>
  <si>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</si>
  <si>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</si>
  <si>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</si>
  <si>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</si>
  <si>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</si>
  <si>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</si>
  <si>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</si>
  <si>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</si>
  <si>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</si>
  <si>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</si>
  <si>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</si>
  <si>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</si>
  <si>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</si>
  <si>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</si>
  <si>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</si>
  <si>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</si>
  <si>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</si>
  <si>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</si>
  <si>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</si>
  <si>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</si>
  <si>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</si>
  <si>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</si>
  <si>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</si>
  <si>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</si>
  <si>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</si>
  <si>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</si>
  <si>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</si>
  <si>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</si>
  <si>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</si>
  <si>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</si>
  <si>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</si>
  <si>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</si>
  <si>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</si>
  <si>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</si>
  <si>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</si>
  <si>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</si>
  <si>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</si>
  <si>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</si>
  <si>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</si>
  <si>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</si>
  <si>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</si>
  <si>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</si>
  <si>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</si>
  <si>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</si>
  <si>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</si>
  <si>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</si>
  <si>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</si>
  <si>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</si>
  <si>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</si>
  <si>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</si>
  <si>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</si>
  <si>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</si>
  <si>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</si>
  <si>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</si>
  <si>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</si>
  <si>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</si>
  <si>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</si>
  <si>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</si>
  <si>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</si>
  <si>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</si>
  <si>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</si>
  <si>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</si>
  <si>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</si>
  <si>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</si>
  <si>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</si>
  <si>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</si>
  <si>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</si>
  <si>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</si>
  <si>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</si>
  <si>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</si>
  <si>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</si>
  <si>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</si>
  <si>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</si>
  <si>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</si>
  <si>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</si>
  <si>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</si>
  <si>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</si>
  <si>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</si>
  <si>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</si>
  <si>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</si>
  <si>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</si>
  <si>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</si>
  <si>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</si>
  <si>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</si>
  <si>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</si>
  <si>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</si>
  <si>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</si>
  <si>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</si>
  <si>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</si>
  <si>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</si>
  <si>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</si>
  <si>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</si>
  <si>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</si>
  <si>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</si>
  <si>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</si>
  <si>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</si>
  <si>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</si>
  <si>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</si>
  <si>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</si>
  <si>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</si>
  <si>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</si>
  <si>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</si>
  <si>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</si>
  <si>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</si>
  <si>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</si>
  <si>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</si>
  <si>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</si>
  <si>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</si>
  <si>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</si>
  <si>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</si>
  <si>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</si>
  <si>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</si>
  <si>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</si>
  <si>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</si>
  <si>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</si>
  <si>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</si>
  <si>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</si>
  <si>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</si>
  <si>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</si>
  <si>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</si>
  <si>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</si>
  <si>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</si>
  <si>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</si>
  <si>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</si>
  <si>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</si>
  <si>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</si>
  <si>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</si>
  <si>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</si>
  <si>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</si>
  <si>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</si>
  <si>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</si>
  <si>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</si>
  <si>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</si>
  <si>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</si>
  <si>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</si>
  <si>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</si>
  <si>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</si>
  <si>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</si>
  <si>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</si>
  <si>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</si>
  <si>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</si>
  <si>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</si>
  <si>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</si>
  <si>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</si>
  <si>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</si>
  <si>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</si>
  <si>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</si>
  <si>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</si>
  <si>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</si>
  <si>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</si>
  <si>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</si>
  <si>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</si>
  <si>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</si>
  <si>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</si>
  <si>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</si>
  <si>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</si>
  <si>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</si>
  <si>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</si>
  <si>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</si>
  <si>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</si>
  <si>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</si>
  <si>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</si>
  <si>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</si>
  <si>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</si>
  <si>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</si>
  <si>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</si>
  <si>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</si>
  <si>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</si>
  <si>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</si>
  <si>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</si>
  <si>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</si>
  <si>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</si>
  <si>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</si>
  <si>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</si>
  <si>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</si>
  <si>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</si>
  <si>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</si>
  <si>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</si>
  <si>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</si>
  <si>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</si>
  <si>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</si>
  <si>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</si>
  <si>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</si>
  <si>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</si>
  <si>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</si>
  <si>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</si>
  <si>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</si>
  <si>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</si>
  <si>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</si>
  <si>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</si>
  <si>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</si>
  <si>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</si>
  <si>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</si>
  <si>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</si>
  <si>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</si>
  <si>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</si>
  <si>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</si>
  <si>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</si>
  <si>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</si>
  <si>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</si>
  <si>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</si>
  <si>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</si>
  <si>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</si>
  <si>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</si>
  <si>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</si>
  <si>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</si>
  <si>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</si>
  <si>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</si>
  <si>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</si>
  <si>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</si>
  <si>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</si>
  <si>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</si>
  <si>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</si>
  <si>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</si>
  <si>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</si>
  <si>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</si>
  <si>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</si>
  <si>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</si>
  <si>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</si>
  <si>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</si>
  <si>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</si>
  <si>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</si>
  <si>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</si>
  <si>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</si>
  <si>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</si>
  <si>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</si>
  <si>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</si>
  <si>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</si>
  <si>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</si>
  <si>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</si>
  <si>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</si>
  <si>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</si>
  <si>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</si>
  <si>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</si>
  <si>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</si>
  <si>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</si>
  <si>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</si>
  <si>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</si>
  <si>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</si>
  <si>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</si>
  <si>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</si>
  <si>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</si>
  <si>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</si>
  <si>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</si>
  <si>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</si>
  <si>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</si>
  <si>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</si>
  <si>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</si>
  <si>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</si>
  <si>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</si>
  <si>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</si>
  <si>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</si>
  <si>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</si>
  <si>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</si>
  <si>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</si>
  <si>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</si>
  <si>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</si>
  <si>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</si>
  <si>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</si>
  <si>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</si>
  <si>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</si>
  <si>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</si>
  <si>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</si>
  <si>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</si>
  <si>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</si>
  <si>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</si>
  <si>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</si>
  <si>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</si>
  <si>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</si>
  <si>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</si>
  <si>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</si>
  <si>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</si>
  <si>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</si>
  <si>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</si>
  <si>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</si>
  <si>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</si>
  <si>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</si>
  <si>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</si>
  <si>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</si>
  <si>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</si>
  <si>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</si>
  <si>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</si>
  <si>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</si>
  <si>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</si>
  <si>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</si>
  <si>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</si>
  <si>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</si>
  <si>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</si>
  <si>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</si>
  <si>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</si>
  <si>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</si>
  <si>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</si>
  <si>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</si>
  <si>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</si>
  <si>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</si>
  <si>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</si>
  <si>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</si>
  <si>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</si>
  <si>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</si>
  <si>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</si>
  <si>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</si>
  <si>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</si>
  <si>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</si>
  <si>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</si>
  <si>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</si>
  <si>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</si>
  <si>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</si>
  <si>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</si>
  <si>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</si>
  <si>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</si>
  <si>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</si>
  <si>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</si>
  <si>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</si>
  <si>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</si>
  <si>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</si>
  <si>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</si>
  <si>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</si>
  <si>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</si>
  <si>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</si>
  <si>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</si>
  <si>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</si>
  <si>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</si>
  <si>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</si>
  <si>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</si>
  <si>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</si>
  <si>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</si>
  <si>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</si>
  <si>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</si>
  <si>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</si>
  <si>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</si>
  <si>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</si>
  <si>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</si>
  <si>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</si>
  <si>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</si>
  <si>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</si>
  <si>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</si>
  <si>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</si>
  <si>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</si>
  <si>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</si>
  <si>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</si>
  <si>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</si>
  <si>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</si>
  <si>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</si>
  <si>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</si>
  <si>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</si>
  <si>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</si>
  <si>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</si>
  <si>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</si>
  <si>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</si>
  <si>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</si>
  <si>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</si>
  <si>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</si>
  <si>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</si>
  <si>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</si>
  <si>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</si>
  <si>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</si>
  <si>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</si>
  <si>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</si>
  <si>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</si>
  <si>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</si>
  <si>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</si>
  <si>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</si>
  <si>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</si>
  <si>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</si>
  <si>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</si>
  <si>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</si>
  <si>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</si>
  <si>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</si>
  <si>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</si>
  <si>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</si>
  <si>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</si>
  <si>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</si>
  <si>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</si>
  <si>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</si>
  <si>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</si>
  <si>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</si>
  <si>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</si>
  <si>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</si>
  <si>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</si>
  <si>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</si>
  <si>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</si>
  <si>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</si>
  <si>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</si>
  <si>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</si>
  <si>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</si>
  <si>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</si>
  <si>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</si>
  <si>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</si>
  <si>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</si>
  <si>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</si>
  <si>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</si>
  <si>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</si>
  <si>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</si>
  <si>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</si>
  <si>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</si>
  <si>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</si>
  <si>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</si>
  <si>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</si>
  <si>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</si>
  <si>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</si>
  <si>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</si>
  <si>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</si>
  <si>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</si>
  <si>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</si>
  <si>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</si>
  <si>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</si>
  <si>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</si>
  <si>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</si>
  <si>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</si>
  <si>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</si>
  <si>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</si>
  <si>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</si>
  <si>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</si>
  <si>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</si>
  <si>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</si>
  <si>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</si>
  <si>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</si>
  <si>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</si>
  <si>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</si>
  <si>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</si>
  <si>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</si>
  <si>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</si>
  <si>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</si>
  <si>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</si>
  <si>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</si>
  <si>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</si>
  <si>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</si>
  <si>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</si>
  <si>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</si>
  <si>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</si>
  <si>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</si>
  <si>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</si>
  <si>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</si>
  <si>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</si>
  <si>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</si>
  <si>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</si>
  <si>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</si>
  <si>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</si>
  <si>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</si>
  <si>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</si>
  <si>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</si>
  <si>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</si>
  <si>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</si>
  <si>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</si>
  <si>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</si>
  <si>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</si>
  <si>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</si>
  <si>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</si>
  <si>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</si>
  <si>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</si>
  <si>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</si>
  <si>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</si>
  <si>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</si>
  <si>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</si>
  <si>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</si>
  <si>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</si>
  <si>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</si>
  <si>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</si>
  <si>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</si>
  <si>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</si>
  <si>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</si>
  <si>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</si>
  <si>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</si>
  <si>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</si>
  <si>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</si>
  <si>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</si>
  <si>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</si>
  <si>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</si>
  <si>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</si>
  <si>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</si>
  <si>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</si>
  <si>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</si>
  <si>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</si>
  <si>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</si>
  <si>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</si>
  <si>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</si>
  <si>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</si>
  <si>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</si>
  <si>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</si>
  <si>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</si>
  <si>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</si>
  <si>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</si>
  <si>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</si>
  <si>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</si>
  <si>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</si>
  <si>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</si>
  <si>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</si>
  <si>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</si>
  <si>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</si>
  <si>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</si>
  <si>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</si>
  <si>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</si>
  <si>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</si>
  <si>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</si>
  <si>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</si>
  <si>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</si>
  <si>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毛坯</t>
  </si>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</sst>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69</xdr:row>
      <xdr:rowOff>57150</xdr:rowOff>
    </xdr:from>
    <xdr:to>
      <xdr:col>12</xdr:col>
      <xdr:colOff>123825</xdr:colOff>
      <xdr:row>103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87200"/>
          <a:ext cx="8353425" cy="5915025"/>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估价对象为北京市房地产，为所有。根据《国有土地使用证》[]，估价对象（分摊）出让国有建设用地使用权面积为0平方米，建筑面积为1266.65平方米。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估价对象为北京市房地产,属开发建设的办公项目，该项目尚在开发建设中。根据《国有土地使用证》[]，估价对象（分摊）出让国有建设用地使用权面积为0平方米，规划建筑面积为1266.65平方米。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435</v>
      </c>
    </row>
    <row r="21" spans="1:2" s="1365" customFormat="1">
      <c r="A21" s="1363" t="s">
        <v>1202</v>
      </c>
      <c r="B21" s="1364">
        <f ca="1">'预评函-2'!D7</f>
        <v>34610</v>
      </c>
    </row>
    <row r="22" spans="1:2" s="1365" customFormat="1">
      <c r="A22" s="1363" t="s">
        <v>1203</v>
      </c>
      <c r="B22" s="1364" t="str">
        <f ca="1">'预评函-2'!D6</f>
        <v>肆佰叁拾伍万元整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435</v>
      </c>
    </row>
    <row r="31" spans="1:2" s="1365" customFormat="1">
      <c r="A31" s="1363" t="s">
        <v>1241</v>
      </c>
      <c r="B31" s="1364">
        <f ca="1">'预评函-2'!D15</f>
        <v>3434</v>
      </c>
    </row>
    <row r="32" spans="1:2" s="1365" customFormat="1">
      <c r="A32" s="1363" t="s">
        <v>1208</v>
      </c>
      <c r="B32" s="1364" t="str">
        <f ca="1">'预评函-2'!D14</f>
        <v>肆佰叁拾伍万元整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1266.6499999999999</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1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1741" t="s">
        <v>832</v>
      </c>
      <c r="C54" s="1738" t="s">
        <v>1248</v>
      </c>
    </row>
    <row r="55" spans="1:4">
      <c r="A55" s="3112"/>
      <c r="B55" s="1741" t="s">
        <v>833</v>
      </c>
      <c r="C55" s="1738" t="s">
        <v>1249</v>
      </c>
    </row>
    <row r="56" spans="1:4">
      <c r="A56" s="3112"/>
      <c r="B56" s="1741" t="s">
        <v>834</v>
      </c>
      <c r="C56" s="1738" t="s">
        <v>1253</v>
      </c>
    </row>
    <row r="57" spans="1:4">
      <c r="A57" s="311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7" sqref="C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13" t="str">
        <f>IF(B10="北京市","北京市",C10)&amp;F10&amp;IF(结果表!G1="在建","出让国有建设用地使用权及在建建筑物",IF(结果表!G1="土地","出让国有建设用地使用权",))&amp;B9&amp;"预评估"</f>
        <v>北京市房地产市场价值预评估</v>
      </c>
      <c r="C1" s="3114"/>
      <c r="D1" s="3114"/>
      <c r="E1" s="3114"/>
      <c r="F1" s="3114"/>
      <c r="G1" s="3114"/>
      <c r="H1" s="3114"/>
      <c r="I1" s="3115"/>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16" t="s">
        <v>2922</v>
      </c>
      <c r="E8" s="2614"/>
      <c r="F8" s="2615"/>
      <c r="G8" s="2889"/>
      <c r="H8" s="2889"/>
      <c r="I8" s="2889"/>
      <c r="J8" s="2664"/>
      <c r="K8" s="2839"/>
      <c r="L8" s="2838"/>
      <c r="M8" s="2838"/>
      <c r="N8" s="2664"/>
      <c r="O8" s="2675"/>
      <c r="P8" s="2664"/>
      <c r="Q8" s="2664"/>
      <c r="R8" s="2664"/>
    </row>
    <row r="9" spans="1:28" ht="13.5" thickBot="1">
      <c r="A9" s="2616" t="s">
        <v>2923</v>
      </c>
      <c r="B9" s="2617" t="s">
        <v>3066</v>
      </c>
      <c r="C9" s="2618"/>
      <c r="D9" s="3117"/>
      <c r="E9" s="2617"/>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v>56703</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34.229999999999997</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23"/>
      <c r="C16" s="3124"/>
      <c r="D16" s="3125"/>
      <c r="E16" s="2638" t="s">
        <v>2939</v>
      </c>
      <c r="F16" s="3126"/>
      <c r="G16" s="3127"/>
      <c r="H16" s="3127"/>
      <c r="I16" s="3128"/>
      <c r="J16" s="2664"/>
      <c r="K16" s="2843"/>
      <c r="L16" s="2676"/>
      <c r="M16" s="2676"/>
      <c r="N16" s="2734"/>
      <c r="O16" s="2676"/>
      <c r="P16" s="2734"/>
      <c r="Q16" s="2664"/>
      <c r="R16" s="2664"/>
    </row>
    <row r="17" spans="1:28">
      <c r="A17" s="319" t="s">
        <v>2940</v>
      </c>
      <c r="B17" s="308" t="s">
        <v>2941</v>
      </c>
      <c r="C17" s="11">
        <f>'数据-汇总表'!E3</f>
        <v>1266.6499999999999</v>
      </c>
      <c r="D17" s="2546" t="s">
        <v>2942</v>
      </c>
      <c r="E17" s="3129" t="s">
        <v>2943</v>
      </c>
      <c r="F17" s="3130"/>
      <c r="G17" s="3130"/>
      <c r="H17" s="3130"/>
      <c r="I17" s="3131"/>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32" t="s">
        <v>2947</v>
      </c>
      <c r="F18" s="3133"/>
      <c r="G18" s="3133"/>
      <c r="H18" s="3133"/>
      <c r="I18" s="3134"/>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19" t="s">
        <v>2951</v>
      </c>
      <c r="C20" s="3120"/>
      <c r="D20" s="3121" t="s">
        <v>2952</v>
      </c>
      <c r="E20" s="3122"/>
      <c r="F20" s="2873" t="s">
        <v>1742</v>
      </c>
      <c r="G20" s="2890"/>
      <c r="H20" s="2890"/>
      <c r="I20" s="2890"/>
      <c r="J20" s="2664"/>
      <c r="K20" s="311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1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1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6"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6"/>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6"/>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7"/>
      <c r="B30" s="308" t="s">
        <v>2963</v>
      </c>
      <c r="C30" s="3138"/>
      <c r="D30" s="3139"/>
      <c r="E30" s="2890"/>
      <c r="F30" s="2890"/>
      <c r="G30" s="2890"/>
      <c r="H30" s="2890"/>
      <c r="I30" s="2890"/>
      <c r="J30" s="2664"/>
      <c r="K30" s="2841"/>
      <c r="L30" s="2838"/>
      <c r="M30" s="2838"/>
      <c r="N30" s="2664"/>
      <c r="O30" s="2675"/>
      <c r="P30" s="2664"/>
      <c r="Q30" s="2664"/>
      <c r="R30" s="2664"/>
      <c r="S30" s="2664"/>
      <c r="T30" s="2664"/>
      <c r="U30" s="2664"/>
      <c r="V30" s="2664"/>
    </row>
    <row r="31" spans="1:28">
      <c r="A31" s="3140"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41"/>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41"/>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35" t="s">
        <v>2973</v>
      </c>
      <c r="T34" s="2653" t="str">
        <f>NUMBERSTRING(7-K34,1)&amp;"通"</f>
        <v>七通</v>
      </c>
      <c r="U34" s="2664"/>
      <c r="V34" s="2664"/>
    </row>
    <row r="35" spans="1:30">
      <c r="A35" s="2654"/>
      <c r="B35" s="3142" t="s">
        <v>2974</v>
      </c>
      <c r="C35" s="3142"/>
      <c r="D35" s="3142"/>
      <c r="E35" s="3142"/>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35"/>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4"/>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t="s">
        <v>3070</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t="s">
        <v>3070</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t="s">
        <v>3070</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t="s">
        <v>3070</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t="s">
        <v>3070</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t="s">
        <v>3070</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t="s">
        <v>3070</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3" t="s">
        <v>0</v>
      </c>
      <c r="B1" s="3143" t="s">
        <v>4</v>
      </c>
      <c r="C1" s="3143" t="s">
        <v>5</v>
      </c>
      <c r="D1" s="3144" t="s">
        <v>53</v>
      </c>
      <c r="E1" s="3144" t="s">
        <v>54</v>
      </c>
      <c r="F1" s="3144"/>
      <c r="G1" s="3144"/>
      <c r="H1" s="3144"/>
      <c r="I1" s="3144"/>
      <c r="J1" s="3144"/>
      <c r="K1" s="3144"/>
      <c r="L1" s="3144"/>
      <c r="M1" s="3144"/>
    </row>
    <row r="2" spans="1:13" ht="27" customHeight="1">
      <c r="A2" s="3143"/>
      <c r="B2" s="3143"/>
      <c r="C2" s="3143"/>
      <c r="D2" s="3144"/>
      <c r="E2" s="3144" t="s">
        <v>37</v>
      </c>
      <c r="F2" s="3144" t="s">
        <v>38</v>
      </c>
      <c r="G2" s="3144"/>
      <c r="H2" s="3144"/>
      <c r="I2" s="3144"/>
      <c r="J2" s="3144" t="s">
        <v>39</v>
      </c>
      <c r="K2" s="3144"/>
      <c r="L2" s="3144"/>
      <c r="M2" s="3144"/>
    </row>
    <row r="3" spans="1:13" ht="28.5">
      <c r="A3" s="3143"/>
      <c r="B3" s="3143"/>
      <c r="C3" s="3143"/>
      <c r="D3" s="3144"/>
      <c r="E3" s="31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4" t="s">
        <v>55</v>
      </c>
      <c r="B9" s="3144"/>
      <c r="C9" s="31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4" t="s">
        <v>1817</v>
      </c>
      <c r="B2" s="3154"/>
      <c r="C2" s="3154"/>
      <c r="D2" s="904" t="s">
        <v>1793</v>
      </c>
      <c r="E2" s="1826" t="s">
        <v>1794</v>
      </c>
      <c r="F2" s="2885"/>
      <c r="G2" s="2876"/>
      <c r="H2" s="2877"/>
      <c r="I2" s="2549" t="s">
        <v>1818</v>
      </c>
      <c r="J2" s="2885"/>
      <c r="K2" s="2885"/>
      <c r="L2" s="2885"/>
      <c r="M2" s="2885"/>
      <c r="N2" s="2887"/>
      <c r="O2" s="2885"/>
      <c r="P2" s="2885"/>
    </row>
    <row r="3" spans="1:16" ht="15.75" thickBot="1">
      <c r="A3" s="3155" t="s">
        <v>1791</v>
      </c>
      <c r="B3" s="3155"/>
      <c r="C3" s="3155"/>
      <c r="D3" s="46">
        <f>'数据-基础表'!AY6</f>
        <v>0</v>
      </c>
      <c r="E3" s="46">
        <f>'数据-基础表'!AZ5</f>
        <v>1266.6499999999999</v>
      </c>
      <c r="F3" s="2885"/>
      <c r="G3" s="1307"/>
      <c r="H3" s="1157" t="s">
        <v>1792</v>
      </c>
      <c r="I3" s="964" t="e">
        <f>ROUND('数据-基础表'!B3/'数据-基础表'!A3,2)</f>
        <v>#DIV/0!</v>
      </c>
      <c r="J3" s="2885"/>
      <c r="K3" s="2885"/>
      <c r="L3" s="2885"/>
      <c r="M3" s="2885"/>
      <c r="N3" s="2887"/>
      <c r="O3" s="2885"/>
      <c r="P3" s="2885"/>
    </row>
    <row r="4" spans="1:16" ht="15">
      <c r="A4" s="3156"/>
      <c r="B4" s="3157"/>
      <c r="C4" s="3158"/>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59" t="s">
        <v>1796</v>
      </c>
      <c r="C5" s="3159"/>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59" t="s">
        <v>1797</v>
      </c>
      <c r="C6" s="3159"/>
      <c r="D6" s="48">
        <f>ROUND($D$3*E6/$E$3,2)</f>
        <v>0</v>
      </c>
      <c r="E6" s="49">
        <f>E3-E5</f>
        <v>1266.6499999999999</v>
      </c>
      <c r="F6" s="2885"/>
      <c r="G6" s="2879" t="s">
        <v>1798</v>
      </c>
      <c r="H6" s="1308" t="s">
        <v>1799</v>
      </c>
      <c r="I6" s="2880" t="e">
        <f>ROUND(F31/D31,2)</f>
        <v>#DIV/0!</v>
      </c>
      <c r="J6" s="2885"/>
      <c r="K6" s="2885"/>
      <c r="L6" s="2885"/>
      <c r="M6" s="2885"/>
      <c r="N6" s="2885"/>
      <c r="O6" s="2885"/>
      <c r="P6" s="2885"/>
    </row>
    <row r="7" spans="1:16" ht="15.75" thickBot="1">
      <c r="A7" s="3151"/>
      <c r="B7" s="3152"/>
      <c r="C7" s="3153"/>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1266.6499999999999</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1266.6499999999999</v>
      </c>
      <c r="F16" s="2885"/>
      <c r="G16" s="2886"/>
      <c r="H16" s="1835" t="s">
        <v>1821</v>
      </c>
      <c r="I16" s="1836"/>
      <c r="J16" s="1301"/>
      <c r="K16" s="3148" t="s">
        <v>1821</v>
      </c>
      <c r="L16" s="3149"/>
      <c r="M16" s="3149"/>
      <c r="N16" s="3149"/>
      <c r="O16" s="3149"/>
      <c r="P16" s="3150"/>
    </row>
    <row r="17" spans="1:19" ht="15">
      <c r="A17" s="1837" t="s">
        <v>1822</v>
      </c>
      <c r="B17" s="1838" t="s">
        <v>1823</v>
      </c>
      <c r="C17" s="1839" t="s">
        <v>1824</v>
      </c>
      <c r="D17" s="1840" t="s">
        <v>1812</v>
      </c>
      <c r="E17" s="1841" t="s">
        <v>1813</v>
      </c>
      <c r="F17" s="1842"/>
      <c r="G17" s="1843"/>
      <c r="H17" s="1844" t="s">
        <v>1825</v>
      </c>
      <c r="I17" s="1845" t="s">
        <v>1810</v>
      </c>
      <c r="J17" s="1301"/>
      <c r="K17" s="3145" t="s">
        <v>1826</v>
      </c>
      <c r="L17" s="3146"/>
      <c r="M17" s="3147"/>
      <c r="N17" s="3145" t="s">
        <v>1827</v>
      </c>
      <c r="O17" s="3146"/>
      <c r="P17" s="314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1140.9099999999999</v>
      </c>
      <c r="F20" s="3025">
        <f>'数据-基础表'!B3-'数据-汇总表'!F19</f>
        <v>1140.9099999999999</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1140.9099999999999</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1266.6499999999999</v>
      </c>
      <c r="F27" s="1302">
        <f>IF(SUM(F19:F26)=E8,SUM(F19:F26),"地上面积有误")</f>
        <v>1266.6499999999999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1266.6499999999999</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1266.6499999999999</v>
      </c>
      <c r="F31" s="686">
        <f>F27+F30</f>
        <v>1266.6499999999999</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E55" sqref="E55"/>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56703</v>
      </c>
      <c r="F6" s="68">
        <f>SUMIF(项目基本情况!D$12:I$12,C6,项目基本情况!D$15:I$15)</f>
        <v>34.229999999999997</v>
      </c>
      <c r="G6" s="69">
        <f>IF(ISERROR(ROUND(POWER(1+H6,D6-F6)*(POWER(1+H6,F6)-1)/(POWER(1+H6,D6)-1),3)),0,ROUND(POWER(1+H6,D6-F6)*(POWER(1+H6,F6)-1)/(POWER(1+H6,D6)-1),3))</f>
        <v>0.88900000000000001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34.229999999999997</v>
      </c>
      <c r="AF6" s="1534"/>
      <c r="AG6" s="143">
        <f>IF(AF6="",0,AE6-AF6)</f>
        <v>0</v>
      </c>
      <c r="AH6" s="79">
        <v>125.74</v>
      </c>
      <c r="AI6" s="81">
        <v>365</v>
      </c>
      <c r="AJ6" s="82"/>
      <c r="AK6" s="83">
        <v>0.02</v>
      </c>
      <c r="AL6" s="84">
        <v>2E-3</v>
      </c>
      <c r="AM6" s="85">
        <v>0.02</v>
      </c>
      <c r="AN6" s="1903" t="s">
        <v>3127</v>
      </c>
      <c r="AO6" s="55">
        <f ca="1">SUMIF(INDIRECT("'"&amp;AN6&amp;"'"&amp;"!A:A"),"总价",INDIRECT("'"&amp;AN6&amp;"'"&amp;"!B:B"))</f>
        <v>465</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56703</v>
      </c>
      <c r="F7" s="68">
        <f>SUMIF(项目基本情况!D$12:I$12,C7,项目基本情况!D$15:I$15)</f>
        <v>34.229999999999997</v>
      </c>
      <c r="G7" s="69">
        <f t="shared" ref="G7:G11" si="2">IF(ISERROR(ROUND(POWER(1+H7,D7-F7)*(POWER(1+H7,F7)-1)/(POWER(1+H7,D7)-1),3)),0,ROUND(POWER(1+H7,D7-F7)*(POWER(1+H7,F7)-1)/(POWER(1+H7,D7)-1),3))</f>
        <v>0.88900000000000001</v>
      </c>
      <c r="H7" s="741">
        <v>0.05</v>
      </c>
      <c r="I7" s="741">
        <v>5.5E-2</v>
      </c>
      <c r="J7" s="70">
        <v>8.5000000000000006E-2</v>
      </c>
      <c r="K7" s="1161">
        <f>SUMIF('数据-汇总表'!C$19:C$33,A7,'数据-汇总表'!E$19:E$33)</f>
        <v>1140.9099999999999</v>
      </c>
      <c r="L7" s="742">
        <v>2800</v>
      </c>
      <c r="M7" s="71">
        <f t="shared" si="0"/>
        <v>319</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5.7</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0.88900000000000001</v>
      </c>
      <c r="H16" s="95">
        <f>ROUND(SUMPRODUCT(H6:H13,K6:K13)/SUMPRODUCT((H6:H13&gt;0)*(K6:K13)),3)</f>
        <v>0.05</v>
      </c>
      <c r="I16" s="96"/>
      <c r="J16" s="96"/>
      <c r="K16" s="97">
        <f>SUM(K6:K15)</f>
        <v>1266.6499999999999</v>
      </c>
      <c r="L16" s="98">
        <f>ROUND(M16*10000/SUM(K6:K14),0)</f>
        <v>2795</v>
      </c>
      <c r="M16" s="98">
        <f>SUM(M6:M14)</f>
        <v>354</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1.5</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60" t="s">
        <v>3031</v>
      </c>
      <c r="B1" s="3161"/>
      <c r="C1" s="3161"/>
      <c r="D1" s="3161"/>
      <c r="E1" s="3161"/>
      <c r="F1" s="3161"/>
      <c r="G1" s="316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21" sqref="H2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34610</v>
      </c>
      <c r="H7" s="3061">
        <v>125.74</v>
      </c>
      <c r="I7" s="3061">
        <f ca="1">G7*H7</f>
        <v>4351861.3999999994</v>
      </c>
      <c r="K7" s="3061">
        <f ca="1">SUM(I7:I11)</f>
        <v>20748814.68</v>
      </c>
      <c r="L7" s="3061"/>
    </row>
    <row r="8" spans="6:12">
      <c r="F8" s="3061">
        <v>102</v>
      </c>
      <c r="G8" s="3061">
        <f ca="1">典型户型修正!R25</f>
        <v>34610</v>
      </c>
      <c r="H8" s="3061">
        <v>138.44999999999999</v>
      </c>
      <c r="I8" s="3061">
        <f t="shared" ref="I8:I11" ca="1" si="0">G8*H8</f>
        <v>4791754.5</v>
      </c>
    </row>
    <row r="9" spans="6:12">
      <c r="F9" s="3061">
        <v>103</v>
      </c>
      <c r="G9" s="3061">
        <f ca="1">典型户型修正!R26</f>
        <v>34610</v>
      </c>
      <c r="H9" s="3061">
        <v>137.61000000000001</v>
      </c>
      <c r="I9" s="3061">
        <f t="shared" ca="1" si="0"/>
        <v>4762682.1000000006</v>
      </c>
    </row>
    <row r="10" spans="6:12">
      <c r="F10" s="3061">
        <v>104</v>
      </c>
      <c r="G10" s="3061">
        <f ca="1">典型户型修正!R27</f>
        <v>34610</v>
      </c>
      <c r="H10" s="3061">
        <v>121.22</v>
      </c>
      <c r="I10" s="3061">
        <f t="shared" ca="1" si="0"/>
        <v>4195424.2</v>
      </c>
    </row>
    <row r="11" spans="6:12">
      <c r="F11" s="3061">
        <v>105</v>
      </c>
      <c r="G11" s="3061">
        <f ca="1">典型户型修正!R28</f>
        <v>36704</v>
      </c>
      <c r="H11" s="3061">
        <v>72.12</v>
      </c>
      <c r="I11" s="3061">
        <f t="shared" ca="1" si="0"/>
        <v>2647092.48</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P10" sqref="P10"/>
    </sheetView>
  </sheetViews>
  <sheetFormatPr defaultRowHeight="13.5"/>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9" sqref="I1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2075</v>
      </c>
      <c r="C5" s="2737">
        <f ca="1">ROUND(B5*10000/$B$1,0)</f>
        <v>34866</v>
      </c>
      <c r="D5" s="2737" t="e">
        <f ca="1">ROUND(B5*10000/$B$2,0)</f>
        <v>#DIV/0!</v>
      </c>
      <c r="E5" s="2914"/>
      <c r="F5" s="2915"/>
      <c r="G5" s="2915"/>
      <c r="H5" s="2916"/>
      <c r="I5" s="2916"/>
      <c r="J5" s="2916"/>
      <c r="K5" s="2916"/>
    </row>
    <row r="6" spans="1:11" ht="16.5">
      <c r="A6" s="2737" t="s">
        <v>1322</v>
      </c>
      <c r="B6" s="2737">
        <f ca="1">SUM(G14:G23)</f>
        <v>2075</v>
      </c>
      <c r="C6" s="2737">
        <f ca="1">ROUND(B6*10000/$B$1,0)</f>
        <v>34866</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435</v>
      </c>
      <c r="E14" s="2743">
        <f ca="1">ROUND(D14*10000/B14,0)</f>
        <v>34595</v>
      </c>
      <c r="F14" s="2743" t="e">
        <f ca="1">ROUND(D14*10000/C14,0)</f>
        <v>#DIV/0!</v>
      </c>
      <c r="G14" s="2743">
        <f ca="1">结果表!D122</f>
        <v>435</v>
      </c>
      <c r="H14" s="2743" t="str">
        <f>结果表!D124</f>
        <v>——</v>
      </c>
      <c r="I14" s="2743" t="str">
        <f>结果表!D126</f>
        <v>——</v>
      </c>
      <c r="J14" s="2915"/>
      <c r="K14" s="2916"/>
    </row>
    <row r="15" spans="1:11" ht="16.5">
      <c r="A15" s="2742" t="s">
        <v>1315</v>
      </c>
      <c r="B15" s="2744">
        <f>典型户型修正!B25</f>
        <v>138.44999999999999</v>
      </c>
      <c r="C15" s="2744"/>
      <c r="D15" s="2744">
        <f ca="1">典型户型修正!S25</f>
        <v>479</v>
      </c>
      <c r="E15" s="2743">
        <f t="shared" ref="E15:E23" ca="1" si="0">ROUND(D15*10000/B15,0)</f>
        <v>34597</v>
      </c>
      <c r="F15" s="2743" t="e">
        <f t="shared" ref="F15:F23" ca="1" si="1">ROUND(D15*10000/C15,0)</f>
        <v>#DIV/0!</v>
      </c>
      <c r="G15" s="1502">
        <f ca="1">D15</f>
        <v>479</v>
      </c>
      <c r="H15" s="1502"/>
      <c r="I15" s="2744"/>
      <c r="J15" s="2915"/>
      <c r="K15" s="2916"/>
    </row>
    <row r="16" spans="1:11" ht="16.5">
      <c r="A16" s="2742" t="s">
        <v>1314</v>
      </c>
      <c r="B16" s="2744">
        <f>典型户型修正!B26</f>
        <v>137.61000000000001</v>
      </c>
      <c r="C16" s="2744"/>
      <c r="D16" s="2744">
        <f ca="1">典型户型修正!S26</f>
        <v>476</v>
      </c>
      <c r="E16" s="2743">
        <f t="shared" ca="1" si="0"/>
        <v>34591</v>
      </c>
      <c r="F16" s="2743" t="e">
        <f t="shared" ca="1" si="1"/>
        <v>#DIV/0!</v>
      </c>
      <c r="G16" s="1502">
        <f t="shared" ref="G16:G18" ca="1" si="2">D16</f>
        <v>476</v>
      </c>
      <c r="H16" s="1502"/>
      <c r="I16" s="2744"/>
      <c r="J16" s="2916"/>
      <c r="K16" s="2916"/>
    </row>
    <row r="17" spans="1:11" ht="16.5">
      <c r="A17" s="2742" t="s">
        <v>1313</v>
      </c>
      <c r="B17" s="2744">
        <f>典型户型修正!B27</f>
        <v>121.22</v>
      </c>
      <c r="C17" s="2744"/>
      <c r="D17" s="2744">
        <f ca="1">典型户型修正!S27</f>
        <v>420</v>
      </c>
      <c r="E17" s="2743">
        <f t="shared" ca="1" si="0"/>
        <v>34648</v>
      </c>
      <c r="F17" s="2743" t="e">
        <f t="shared" ca="1" si="1"/>
        <v>#DIV/0!</v>
      </c>
      <c r="G17" s="1502">
        <f t="shared" ca="1" si="2"/>
        <v>420</v>
      </c>
      <c r="H17" s="1502"/>
      <c r="I17" s="2744"/>
      <c r="J17" s="2916"/>
      <c r="K17" s="2916"/>
    </row>
    <row r="18" spans="1:11" ht="16.5">
      <c r="A18" s="2742" t="s">
        <v>1312</v>
      </c>
      <c r="B18" s="2744">
        <f>典型户型修正!B28</f>
        <v>72.12</v>
      </c>
      <c r="C18" s="2744"/>
      <c r="D18" s="2744">
        <f ca="1">典型户型修正!S28</f>
        <v>265</v>
      </c>
      <c r="E18" s="2743">
        <f t="shared" ca="1" si="0"/>
        <v>36744</v>
      </c>
      <c r="F18" s="2743" t="e">
        <f t="shared" ca="1" si="1"/>
        <v>#DIV/0!</v>
      </c>
      <c r="G18" s="1502">
        <f t="shared" ca="1" si="2"/>
        <v>265</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0" t="str">
        <f>项目基本情况!B1</f>
        <v>北京市房地产市场价值预评估</v>
      </c>
      <c r="C37" s="3070"/>
      <c r="D37" s="3070"/>
      <c r="E37" s="3070"/>
      <c r="F37" s="3070"/>
      <c r="G37" s="3070"/>
      <c r="H37" s="3070"/>
      <c r="I37" s="3070"/>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30" sqref="I30"/>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32" t="str">
        <f>项目基本情况!S2</f>
        <v>北京市房地产</v>
      </c>
      <c r="B2" s="3233"/>
      <c r="C2" s="3233"/>
      <c r="D2" s="3233"/>
      <c r="E2" s="3233"/>
      <c r="F2" s="3233"/>
      <c r="G2" s="3233"/>
      <c r="H2" s="3233"/>
      <c r="I2" s="3234"/>
    </row>
    <row r="3" spans="1:12" ht="12.75">
      <c r="A3" s="3236" t="s">
        <v>1951</v>
      </c>
      <c r="B3" s="3237"/>
      <c r="C3" s="3237"/>
      <c r="D3" s="3237"/>
      <c r="E3" s="3237"/>
      <c r="F3" s="3237"/>
      <c r="G3" s="3237"/>
      <c r="H3" s="3237"/>
      <c r="I3" s="3237"/>
    </row>
    <row r="4" spans="1:12" ht="14.25">
      <c r="A4" s="1942" t="s">
        <v>1952</v>
      </c>
      <c r="B4" s="1943" t="s">
        <v>1953</v>
      </c>
      <c r="C4" s="1944" t="s">
        <v>3091</v>
      </c>
      <c r="D4" s="1944" t="s">
        <v>3127</v>
      </c>
      <c r="E4" s="3241" t="s">
        <v>1954</v>
      </c>
      <c r="F4" s="3242"/>
      <c r="G4" s="3242"/>
      <c r="H4" s="3242"/>
      <c r="I4" s="324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1955</v>
      </c>
      <c r="B5" s="3235">
        <v>25</v>
      </c>
      <c r="C5" s="3238"/>
      <c r="D5" s="3226"/>
      <c r="E5" s="136" t="s">
        <v>1956</v>
      </c>
      <c r="F5" s="1945"/>
      <c r="G5" s="1945"/>
      <c r="H5" s="1945"/>
      <c r="I5" s="1559"/>
    </row>
    <row r="6" spans="1:12" ht="12.75">
      <c r="A6" s="3177"/>
      <c r="B6" s="3235"/>
      <c r="C6" s="3240"/>
      <c r="D6" s="3226"/>
      <c r="E6" s="136" t="s">
        <v>1957</v>
      </c>
      <c r="F6" s="1945"/>
      <c r="G6" s="1945"/>
      <c r="H6" s="1945"/>
      <c r="I6" s="1559"/>
    </row>
    <row r="7" spans="1:12" ht="12.75">
      <c r="A7" s="3177"/>
      <c r="B7" s="3235"/>
      <c r="C7" s="3239"/>
      <c r="D7" s="3226"/>
      <c r="E7" s="136" t="s">
        <v>1958</v>
      </c>
      <c r="F7" s="1945"/>
      <c r="G7" s="1945"/>
      <c r="H7" s="1945"/>
      <c r="I7" s="1559"/>
    </row>
    <row r="8" spans="1:12" ht="12.75">
      <c r="A8" s="3177" t="s">
        <v>1959</v>
      </c>
      <c r="B8" s="3235">
        <v>15</v>
      </c>
      <c r="C8" s="3238"/>
      <c r="D8" s="3226"/>
      <c r="E8" s="136" t="s">
        <v>1960</v>
      </c>
      <c r="F8" s="1945"/>
      <c r="G8" s="1945"/>
      <c r="H8" s="1945"/>
      <c r="I8" s="1559"/>
    </row>
    <row r="9" spans="1:12" ht="12.75">
      <c r="A9" s="3177"/>
      <c r="B9" s="3235"/>
      <c r="C9" s="3239"/>
      <c r="D9" s="3226"/>
      <c r="E9" s="136" t="s">
        <v>1961</v>
      </c>
      <c r="F9" s="1945"/>
      <c r="G9" s="1945"/>
      <c r="H9" s="1945"/>
      <c r="I9" s="1559"/>
    </row>
    <row r="10" spans="1:12" ht="12.75">
      <c r="A10" s="3177" t="s">
        <v>1962</v>
      </c>
      <c r="B10" s="3235">
        <v>15</v>
      </c>
      <c r="C10" s="3238"/>
      <c r="D10" s="3226"/>
      <c r="E10" s="136" t="s">
        <v>1963</v>
      </c>
      <c r="F10" s="1945"/>
      <c r="G10" s="1945"/>
      <c r="H10" s="1945"/>
      <c r="I10" s="1559"/>
    </row>
    <row r="11" spans="1:12" ht="12.75">
      <c r="A11" s="3177"/>
      <c r="B11" s="3235"/>
      <c r="C11" s="3239"/>
      <c r="D11" s="3226"/>
      <c r="E11" s="136" t="s">
        <v>1964</v>
      </c>
      <c r="F11" s="1945"/>
      <c r="G11" s="1945"/>
      <c r="H11" s="1945"/>
      <c r="I11" s="1559"/>
    </row>
    <row r="12" spans="1:12" ht="12.75">
      <c r="A12" s="3177" t="s">
        <v>1965</v>
      </c>
      <c r="B12" s="3235">
        <v>15</v>
      </c>
      <c r="C12" s="3238"/>
      <c r="D12" s="3226"/>
      <c r="E12" s="136" t="s">
        <v>1966</v>
      </c>
      <c r="F12" s="1945"/>
      <c r="G12" s="1945"/>
      <c r="H12" s="1945"/>
      <c r="I12" s="1559"/>
    </row>
    <row r="13" spans="1:12" ht="12.75">
      <c r="A13" s="3177"/>
      <c r="B13" s="3235"/>
      <c r="C13" s="3239"/>
      <c r="D13" s="3226"/>
      <c r="E13" s="136" t="s">
        <v>1967</v>
      </c>
      <c r="F13" s="1945"/>
      <c r="G13" s="1945"/>
      <c r="H13" s="1945"/>
      <c r="I13" s="1559"/>
    </row>
    <row r="14" spans="1:12" ht="12.75">
      <c r="A14" s="3177" t="s">
        <v>1968</v>
      </c>
      <c r="B14" s="3235">
        <v>30</v>
      </c>
      <c r="C14" s="3238">
        <v>5</v>
      </c>
      <c r="D14" s="3226">
        <v>5</v>
      </c>
      <c r="E14" s="136" t="s">
        <v>1969</v>
      </c>
      <c r="F14" s="1945"/>
      <c r="G14" s="1945"/>
      <c r="H14" s="1945"/>
      <c r="I14" s="1559"/>
    </row>
    <row r="15" spans="1:12" ht="12.75">
      <c r="A15" s="3177"/>
      <c r="B15" s="3235"/>
      <c r="C15" s="3240"/>
      <c r="D15" s="3226"/>
      <c r="E15" s="136" t="s">
        <v>1970</v>
      </c>
      <c r="F15" s="1945"/>
      <c r="G15" s="1945"/>
      <c r="H15" s="1945"/>
      <c r="I15" s="1559"/>
    </row>
    <row r="16" spans="1:12" ht="12.75">
      <c r="A16" s="3177"/>
      <c r="B16" s="3235"/>
      <c r="C16" s="3239"/>
      <c r="D16" s="3226"/>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7" t="s">
        <v>2872</v>
      </c>
      <c r="F18" s="3258"/>
      <c r="G18" s="3258"/>
      <c r="H18" s="3258"/>
      <c r="I18" s="3258"/>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405</v>
      </c>
      <c r="D19" s="140">
        <f ca="1">SUMIF(INDIRECT("'"&amp;D4&amp;"'"&amp;"!A:A"),结果表!B19,INDIRECT("'"&amp;D4&amp;"'"&amp;"!B:B"))</f>
        <v>465</v>
      </c>
      <c r="E19" s="1949" t="s">
        <v>1979</v>
      </c>
      <c r="F19" s="1950" t="s">
        <v>1978</v>
      </c>
      <c r="G19" s="141">
        <f ca="1">ROUND(C19*$C$18+D19*$D$18,0)</f>
        <v>435</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32242</v>
      </c>
      <c r="D20" s="143">
        <f ca="1">SUMIF(INDIRECT("'"&amp;D4&amp;"'"&amp;"!A:A"),结果表!B20,INDIRECT("'"&amp;D4&amp;"'"&amp;"!B:B"))</f>
        <v>36978</v>
      </c>
      <c r="E20" s="1952"/>
      <c r="F20" s="1157" t="s">
        <v>1982</v>
      </c>
      <c r="G20" s="144">
        <f ca="1">ROUND(C20*$C$18+D20*$D$18,0)</f>
        <v>34610</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0.14814814814814814</v>
      </c>
      <c r="E22" s="134"/>
      <c r="F22" s="134"/>
      <c r="G22" s="134"/>
      <c r="H22" s="134"/>
      <c r="I22" s="134"/>
    </row>
    <row r="23" spans="1:36" ht="13.5" thickBot="1">
      <c r="A23" s="1935"/>
      <c r="B23" s="1935"/>
      <c r="C23" s="1935"/>
      <c r="D23" s="1935"/>
      <c r="E23" s="134"/>
      <c r="F23" s="134"/>
      <c r="G23" s="134"/>
      <c r="H23" s="134"/>
      <c r="I23" s="134"/>
    </row>
    <row r="24" spans="1:36" ht="14.25">
      <c r="A24" s="3250" t="s">
        <v>1986</v>
      </c>
      <c r="B24" s="1950" t="s">
        <v>1978</v>
      </c>
      <c r="C24" s="141">
        <f>IF(B30=0,0,D30)</f>
        <v>0</v>
      </c>
      <c r="D24" s="1957"/>
      <c r="E24" s="134"/>
      <c r="F24" s="134"/>
      <c r="G24" s="134"/>
      <c r="H24" s="134"/>
      <c r="I24" s="134"/>
    </row>
    <row r="25" spans="1:36" ht="14.25">
      <c r="A25" s="3251"/>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34610</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27" t="s">
        <v>1999</v>
      </c>
      <c r="B36" s="1975" t="s">
        <v>2000</v>
      </c>
      <c r="C36" s="150"/>
      <c r="D36" s="1976"/>
      <c r="E36" s="1977"/>
      <c r="F36" s="1978"/>
      <c r="G36" s="134"/>
      <c r="H36" s="134"/>
      <c r="I36" s="134"/>
    </row>
    <row r="37" spans="1:15" ht="15.75" thickBot="1">
      <c r="A37" s="3228"/>
      <c r="B37" s="1862" t="s">
        <v>2001</v>
      </c>
      <c r="C37" s="152"/>
      <c r="D37" s="1301"/>
      <c r="E37" s="1301"/>
      <c r="F37" s="1978"/>
      <c r="G37" s="134"/>
      <c r="H37" s="134"/>
      <c r="I37" s="134"/>
    </row>
    <row r="38" spans="1:15" ht="15.75" thickBot="1">
      <c r="A38" s="3229"/>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7" t="s">
        <v>2013</v>
      </c>
      <c r="B45" s="3248"/>
      <c r="C45" s="3249"/>
      <c r="D45" s="160">
        <f ca="1">ROUND(H101*F45,0)</f>
        <v>435</v>
      </c>
      <c r="E45" s="161" t="s">
        <v>2014</v>
      </c>
      <c r="F45" s="162">
        <v>1</v>
      </c>
      <c r="G45" s="163" t="s">
        <v>2015</v>
      </c>
      <c r="H45" s="134"/>
      <c r="I45" s="134"/>
      <c r="J45" s="3164" t="s">
        <v>2016</v>
      </c>
      <c r="K45" s="3164"/>
      <c r="L45" s="3164"/>
      <c r="M45" s="3164"/>
      <c r="N45" s="3164"/>
      <c r="O45" s="3164"/>
    </row>
    <row r="46" spans="1:15" ht="14.25" customHeight="1">
      <c r="A46" s="3244" t="s">
        <v>2017</v>
      </c>
      <c r="B46" s="3245"/>
      <c r="C46" s="3245"/>
      <c r="D46" s="3245"/>
      <c r="E46" s="3245"/>
      <c r="F46" s="3245"/>
      <c r="G46" s="3246"/>
      <c r="H46" s="1994"/>
      <c r="I46" s="164"/>
      <c r="J46" s="2748">
        <v>1</v>
      </c>
      <c r="K46" s="3165" t="s">
        <v>2018</v>
      </c>
      <c r="L46" s="3165"/>
      <c r="M46" s="3166"/>
      <c r="N46" s="3166"/>
      <c r="O46" s="3166"/>
    </row>
    <row r="47" spans="1:15" ht="12" customHeight="1">
      <c r="A47" s="165" t="s">
        <v>2019</v>
      </c>
      <c r="B47" s="166"/>
      <c r="C47" s="167"/>
      <c r="D47" s="1247" t="s">
        <v>2020</v>
      </c>
      <c r="E47" s="308" t="s">
        <v>2021</v>
      </c>
      <c r="F47" s="168" t="s">
        <v>2022</v>
      </c>
      <c r="G47" s="2771" t="s">
        <v>2023</v>
      </c>
      <c r="H47" s="2772"/>
      <c r="I47" s="164"/>
      <c r="J47" s="2748">
        <v>2</v>
      </c>
      <c r="K47" s="3165" t="s">
        <v>2024</v>
      </c>
      <c r="L47" s="3165"/>
      <c r="M47" s="3167">
        <f>'数据-取费表'!B2</f>
        <v>44209</v>
      </c>
      <c r="N47" s="3167"/>
      <c r="O47" s="3167"/>
    </row>
    <row r="48" spans="1:15" ht="25.5">
      <c r="A48" s="3230" t="s">
        <v>2025</v>
      </c>
      <c r="B48" s="3231"/>
      <c r="C48" s="3231"/>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165" t="s">
        <v>2027</v>
      </c>
      <c r="L48" s="3165"/>
      <c r="M48" s="3168">
        <f ca="1">H101</f>
        <v>435</v>
      </c>
      <c r="N48" s="3168"/>
      <c r="O48" s="3168"/>
    </row>
    <row r="49" spans="1:35" ht="25.5" customHeight="1">
      <c r="A49" s="2557" t="s">
        <v>2028</v>
      </c>
      <c r="B49" s="3213" t="s">
        <v>2029</v>
      </c>
      <c r="C49" s="3213"/>
      <c r="D49" s="1777">
        <v>0</v>
      </c>
      <c r="E49" s="330" t="s">
        <v>2030</v>
      </c>
      <c r="F49" s="2649" t="s">
        <v>34</v>
      </c>
      <c r="G49" s="3196"/>
      <c r="H49" s="2529" t="s">
        <v>2875</v>
      </c>
      <c r="I49" s="2530"/>
      <c r="J49" s="2748">
        <v>4</v>
      </c>
      <c r="K49" s="3165" t="str">
        <f>IF(项目基本情况!E8="房地产抵押价值","房地产抵押价值","抵押担保权已注销时的房地产抵押价值")</f>
        <v>抵押担保权已注销时的房地产抵押价值</v>
      </c>
      <c r="L49" s="3165"/>
      <c r="M49" s="3168" t="str">
        <f>IF(项目基本情况!E8="房地产抵押价值",H107,H109)</f>
        <v>——</v>
      </c>
      <c r="N49" s="3168"/>
      <c r="O49" s="3168"/>
    </row>
    <row r="50" spans="1:35" ht="25.5" customHeight="1">
      <c r="A50" s="2776"/>
      <c r="B50" s="3213" t="s">
        <v>2031</v>
      </c>
      <c r="C50" s="3213"/>
      <c r="D50" s="2777"/>
      <c r="E50" s="338"/>
      <c r="F50" s="2649"/>
      <c r="G50" s="3197"/>
      <c r="H50" s="2531" t="s">
        <v>2876</v>
      </c>
      <c r="I50" s="2530"/>
      <c r="J50" s="3164" t="s">
        <v>2032</v>
      </c>
      <c r="K50" s="3164"/>
      <c r="L50" s="3164"/>
      <c r="M50" s="3164"/>
      <c r="N50" s="3164"/>
      <c r="O50" s="3164"/>
    </row>
    <row r="51" spans="1:35" ht="20.45" customHeight="1">
      <c r="A51" s="2778"/>
      <c r="B51" s="3213" t="s">
        <v>2033</v>
      </c>
      <c r="C51" s="3213"/>
      <c r="D51" s="1247"/>
      <c r="E51" s="333"/>
      <c r="F51" s="2649"/>
      <c r="G51" s="3198"/>
      <c r="H51" s="2531" t="s">
        <v>2877</v>
      </c>
      <c r="I51" s="2530"/>
      <c r="J51" s="2749" t="s">
        <v>2034</v>
      </c>
      <c r="K51" s="3165" t="s">
        <v>2035</v>
      </c>
      <c r="L51" s="3165"/>
      <c r="M51" s="2749" t="s">
        <v>2036</v>
      </c>
      <c r="N51" s="2749" t="s">
        <v>2037</v>
      </c>
      <c r="O51" s="2749" t="s">
        <v>2038</v>
      </c>
    </row>
    <row r="52" spans="1:35" ht="24" customHeight="1">
      <c r="A52" s="2559" t="s">
        <v>2039</v>
      </c>
      <c r="B52" s="3213" t="s">
        <v>2040</v>
      </c>
      <c r="C52" s="3213"/>
      <c r="D52" s="1247">
        <f ca="1">ROUND(D45*'数据-取费表'!B41/(1+'数据-取费表'!C42),0)</f>
        <v>23</v>
      </c>
      <c r="E52" s="2558" t="s">
        <v>2041</v>
      </c>
      <c r="F52" s="2779">
        <f>'数据-取费表'!B41</f>
        <v>5.5000000000000007E-2</v>
      </c>
      <c r="G52" s="2780"/>
      <c r="H52" s="2769"/>
      <c r="I52" s="1995"/>
      <c r="J52" s="2748">
        <v>1</v>
      </c>
      <c r="K52" s="3190" t="s">
        <v>2042</v>
      </c>
      <c r="L52" s="3190"/>
      <c r="M52" s="2750">
        <f ca="1">D48</f>
        <v>23</v>
      </c>
      <c r="N52" s="2748" t="str">
        <f>E48</f>
        <v>(销售额-原购置价)×税（费）率</v>
      </c>
      <c r="O52" s="2751">
        <f>F48</f>
        <v>5.5000000000000007E-2</v>
      </c>
    </row>
    <row r="53" spans="1:35" ht="12" customHeight="1">
      <c r="A53" s="2559" t="s">
        <v>2043</v>
      </c>
      <c r="B53" s="3214" t="s">
        <v>3036</v>
      </c>
      <c r="C53" s="3215"/>
      <c r="D53" s="1247">
        <f ca="1">ROUND(D45*'数据-取费表'!B41/(1+'数据-取费表'!C42),0)</f>
        <v>23</v>
      </c>
      <c r="E53" s="2558" t="s">
        <v>2041</v>
      </c>
      <c r="F53" s="2779">
        <f>'数据-取费表'!B41</f>
        <v>5.5000000000000007E-2</v>
      </c>
      <c r="G53" s="2780"/>
      <c r="H53" s="2769"/>
      <c r="I53" s="1995"/>
      <c r="J53" s="2748">
        <v>2</v>
      </c>
      <c r="K53" s="3190" t="s">
        <v>2044</v>
      </c>
      <c r="L53" s="3190"/>
      <c r="M53" s="2750">
        <f t="shared" ref="M53:O54" ca="1" si="0">D55</f>
        <v>0</v>
      </c>
      <c r="N53" s="2748" t="str">
        <f t="shared" si="0"/>
        <v>销售额×税（费）率</v>
      </c>
      <c r="O53" s="2751" t="str">
        <f t="shared" si="0"/>
        <v>免征</v>
      </c>
    </row>
    <row r="54" spans="1:35" ht="12" customHeight="1">
      <c r="A54" s="2559" t="s">
        <v>2045</v>
      </c>
      <c r="B54" s="3214" t="s">
        <v>3037</v>
      </c>
      <c r="C54" s="3215"/>
      <c r="D54" s="1247">
        <f ca="1">C68</f>
        <v>23</v>
      </c>
      <c r="E54" s="333" t="s">
        <v>2046</v>
      </c>
      <c r="F54" s="2779">
        <f>'数据-取费表'!B41</f>
        <v>5.5000000000000007E-2</v>
      </c>
      <c r="G54" s="2780"/>
      <c r="H54" s="2781"/>
      <c r="I54" s="1995"/>
      <c r="J54" s="2748">
        <v>3</v>
      </c>
      <c r="K54" s="3190" t="s">
        <v>2047</v>
      </c>
      <c r="L54" s="3190"/>
      <c r="M54" s="2750">
        <f t="shared" ca="1" si="0"/>
        <v>247</v>
      </c>
      <c r="N54" s="2748" t="str">
        <f t="shared" si="0"/>
        <v>增值额×税（费）率</v>
      </c>
      <c r="O54" s="2752" t="str">
        <f t="shared" si="0"/>
        <v>免征</v>
      </c>
    </row>
    <row r="55" spans="1:35" ht="24" customHeight="1">
      <c r="A55" s="3253" t="s">
        <v>2048</v>
      </c>
      <c r="B55" s="3231"/>
      <c r="C55" s="3231"/>
      <c r="D55" s="2548">
        <f ca="1">IF(H55="个人住宅",0,ROUND(D45*I55,0))</f>
        <v>0</v>
      </c>
      <c r="E55" s="2558" t="s">
        <v>2049</v>
      </c>
      <c r="F55" s="2779" t="str">
        <f>IF(H55="正常",I55,"免征")</f>
        <v>免征</v>
      </c>
      <c r="G55" s="2780"/>
      <c r="H55" s="2775"/>
      <c r="I55" s="170">
        <f>'数据-取费表'!B49</f>
        <v>5.0000000000000001E-4</v>
      </c>
      <c r="J55" s="2748">
        <f>IF(H59="非个人房产","",4)</f>
        <v>4</v>
      </c>
      <c r="K55" s="3190" t="str">
        <f>IF(H59="非个人房产","——","个人所得税")</f>
        <v>个人所得税</v>
      </c>
      <c r="L55" s="3190"/>
      <c r="M55" s="2753">
        <f ca="1">D59</f>
        <v>4</v>
      </c>
      <c r="N55" s="2229" t="str">
        <f>E59</f>
        <v>差额计税</v>
      </c>
      <c r="O55" s="2754">
        <f>F59</f>
        <v>0.01</v>
      </c>
    </row>
    <row r="56" spans="1:35" ht="24.75">
      <c r="A56" s="3253" t="s">
        <v>2050</v>
      </c>
      <c r="B56" s="3231"/>
      <c r="C56" s="3231"/>
      <c r="D56" s="2548">
        <f ca="1">IF(H56="个人住宅",D57,D58)</f>
        <v>247</v>
      </c>
      <c r="E56" s="2558" t="s">
        <v>2051</v>
      </c>
      <c r="F56" s="2779" t="str">
        <f>IF(H56="正常",F58,"免征")</f>
        <v>免征</v>
      </c>
      <c r="G56" s="2782" t="s">
        <v>2052</v>
      </c>
      <c r="H56" s="2783"/>
      <c r="I56" s="1996"/>
      <c r="J56" s="2748" t="str">
        <f>IF(项目基本情况!K6="上海银行",IF(J55="",4,J55+1),"")</f>
        <v/>
      </c>
      <c r="K56" s="3171" t="str">
        <f>IF(项目基本情况!K6="上海银行","其他处置费用","")</f>
        <v/>
      </c>
      <c r="L56" s="3172"/>
      <c r="M56" s="2750" t="str">
        <f>IF(项目基本情况!K6="上海银行",M69,"")</f>
        <v/>
      </c>
      <c r="N56" s="3171" t="str">
        <f>IF(项目基本情况!K6="上海银行","包含处置中涉及的律师、诉讼、拍卖、评估等费用","")</f>
        <v/>
      </c>
      <c r="O56" s="3174"/>
    </row>
    <row r="57" spans="1:35" ht="12.75">
      <c r="A57" s="2559" t="s">
        <v>2028</v>
      </c>
      <c r="B57" s="3214" t="s">
        <v>2053</v>
      </c>
      <c r="C57" s="3215"/>
      <c r="D57" s="1777">
        <v>0</v>
      </c>
      <c r="E57" s="330" t="s">
        <v>2030</v>
      </c>
      <c r="F57" s="308"/>
      <c r="G57" s="2780"/>
      <c r="H57" s="2784"/>
      <c r="I57" s="1996"/>
      <c r="J57" s="3190">
        <f>IF(AND(J55="",J56=""),4,IF(项目基本情况!K6="上海银行",结果表!J56+1,结果表!J55+1))</f>
        <v>5</v>
      </c>
      <c r="K57" s="3190" t="s">
        <v>2054</v>
      </c>
      <c r="L57" s="2755" t="s">
        <v>2055</v>
      </c>
      <c r="M57" s="2756"/>
      <c r="N57" s="2757">
        <f ca="1">SUMIF(M52:M56,"&lt;9e307")</f>
        <v>274</v>
      </c>
      <c r="O57" s="2758"/>
      <c r="P57" s="2918" t="e">
        <f ca="1">N57/M49</f>
        <v>#VALUE!</v>
      </c>
    </row>
    <row r="58" spans="1:35" ht="24.75">
      <c r="A58" s="2559" t="s">
        <v>2039</v>
      </c>
      <c r="B58" s="3214" t="s">
        <v>2056</v>
      </c>
      <c r="C58" s="3213"/>
      <c r="D58" s="2548">
        <f ca="1">IF(H58="转让取得",C81,C97)</f>
        <v>247</v>
      </c>
      <c r="E58" s="2558" t="s">
        <v>2051</v>
      </c>
      <c r="F58" s="308" t="s">
        <v>34</v>
      </c>
      <c r="G58" s="2780"/>
      <c r="H58" s="2783"/>
      <c r="I58" s="1996"/>
      <c r="J58" s="3190"/>
      <c r="K58" s="3190"/>
      <c r="L58" s="2755" t="s">
        <v>2057</v>
      </c>
      <c r="M58" s="2759"/>
      <c r="N58" s="2760" t="str">
        <f ca="1">NUMBERSTRING(INT(N57*10000),2)&amp;"元整"</f>
        <v>贰佰柒拾肆万元整</v>
      </c>
      <c r="O58" s="2761"/>
    </row>
    <row r="59" spans="1:35" ht="24.75" thickBot="1">
      <c r="A59" s="3194" t="s">
        <v>2058</v>
      </c>
      <c r="B59" s="3195"/>
      <c r="C59" s="3195"/>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3"/>
      <c r="I59" s="2532" t="s">
        <v>2878</v>
      </c>
      <c r="J59" s="3192">
        <f>J57+1</f>
        <v>6</v>
      </c>
      <c r="K59" s="3190" t="s">
        <v>2059</v>
      </c>
      <c r="L59" s="2748" t="s">
        <v>2055</v>
      </c>
      <c r="M59" s="2762"/>
      <c r="N59" s="2763" t="e">
        <f ca="1">M49-N57</f>
        <v>#VALUE!</v>
      </c>
      <c r="O59" s="2764"/>
    </row>
    <row r="60" spans="1:35" ht="12" customHeight="1">
      <c r="A60" s="1997"/>
      <c r="B60" s="1935"/>
      <c r="C60" s="1935"/>
      <c r="D60" s="1935"/>
      <c r="E60" s="1765"/>
      <c r="F60" s="1996"/>
      <c r="G60" s="1996"/>
      <c r="H60" s="1998"/>
      <c r="I60" s="134"/>
      <c r="J60" s="3193"/>
      <c r="K60" s="3190"/>
      <c r="L60" s="2755" t="s">
        <v>2057</v>
      </c>
      <c r="M60" s="2759"/>
      <c r="N60" s="2760" t="e">
        <f ca="1">NUMBERSTRING(INT(N59*10000),2)&amp;"元整"</f>
        <v>#VALUE!</v>
      </c>
      <c r="O60" s="2761"/>
    </row>
    <row r="61" spans="1:35" ht="13.5" thickBot="1">
      <c r="A61" s="3252" t="s">
        <v>2060</v>
      </c>
      <c r="B61" s="3252"/>
      <c r="C61" s="3252"/>
      <c r="D61" s="3252"/>
      <c r="E61" s="3252"/>
      <c r="F61" s="1996"/>
      <c r="G61" s="1996"/>
      <c r="H61" s="1998"/>
      <c r="I61" s="134"/>
      <c r="J61" s="2748">
        <f>J59+1</f>
        <v>7</v>
      </c>
      <c r="K61" s="3190" t="s">
        <v>2061</v>
      </c>
      <c r="L61" s="3190"/>
      <c r="M61" s="2765"/>
      <c r="N61" s="2766" t="e">
        <f ca="1">ROUND(N59*10000/'数据-汇总表'!E3,0)</f>
        <v>#VALUE!</v>
      </c>
      <c r="O61" s="2767"/>
    </row>
    <row r="62" spans="1:35" ht="12.75">
      <c r="A62" s="3209" t="s">
        <v>2062</v>
      </c>
      <c r="B62" s="3210"/>
      <c r="C62" s="2210"/>
      <c r="D62" s="2210" t="s">
        <v>2063</v>
      </c>
      <c r="E62" s="171" t="s">
        <v>2064</v>
      </c>
      <c r="F62" s="1996"/>
      <c r="G62" s="1996"/>
      <c r="H62" s="1998"/>
      <c r="I62" s="134"/>
    </row>
    <row r="63" spans="1:35" ht="12.75">
      <c r="A63" s="178" t="s">
        <v>775</v>
      </c>
      <c r="B63" s="172" t="s">
        <v>2065</v>
      </c>
      <c r="C63" s="2789">
        <f ca="1">ROUND((C64+C65)/(1+'数据-取费表'!C42),0)</f>
        <v>414</v>
      </c>
      <c r="D63" s="172"/>
      <c r="E63" s="173"/>
      <c r="F63" s="1996"/>
      <c r="G63" s="1996"/>
      <c r="H63" s="1998"/>
      <c r="I63" s="134"/>
      <c r="J63" s="3173" t="s">
        <v>2066</v>
      </c>
      <c r="K63" s="1503" t="s">
        <v>2067</v>
      </c>
      <c r="L63" s="1503" t="e">
        <f>IF(M49&gt;10000,M49*0.5%,IF(AND(M49&gt;1000,M49&lt;=10000),M49*1%,IF(AND(M49&gt;100,M49&lt;=1000),M49*3%,IF(AND(M49&gt;10,M49&lt;=100),M49*5%,M49*8%))))</f>
        <v>#VALUE!</v>
      </c>
      <c r="M63" s="308" t="e">
        <f>ROUND(L63,1)</f>
        <v>#VALUE!</v>
      </c>
      <c r="N63" s="2768"/>
      <c r="Z63" s="1940"/>
      <c r="AI63" s="1941"/>
    </row>
    <row r="64" spans="1:35" ht="14.25" customHeight="1">
      <c r="A64" s="174" t="s">
        <v>770</v>
      </c>
      <c r="B64" s="175" t="s">
        <v>2068</v>
      </c>
      <c r="C64" s="2790">
        <f ca="1">D45</f>
        <v>435</v>
      </c>
      <c r="D64" s="175" t="s">
        <v>32</v>
      </c>
      <c r="E64" s="177"/>
      <c r="F64" s="1996"/>
      <c r="G64" s="1996"/>
      <c r="H64" s="1998"/>
      <c r="I64" s="134"/>
      <c r="J64" s="3173"/>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2070</v>
      </c>
      <c r="Z64" s="1940"/>
      <c r="AI64" s="1941"/>
    </row>
    <row r="65" spans="1:35" ht="14.25" customHeight="1">
      <c r="A65" s="174" t="s">
        <v>771</v>
      </c>
      <c r="B65" s="175" t="s">
        <v>2071</v>
      </c>
      <c r="C65" s="2791"/>
      <c r="D65" s="175"/>
      <c r="E65" s="177"/>
      <c r="F65" s="1996"/>
      <c r="G65" s="1996"/>
      <c r="H65" s="1998"/>
      <c r="I65" s="134"/>
      <c r="J65" s="3173"/>
      <c r="K65" s="1503" t="s">
        <v>2072</v>
      </c>
      <c r="L65" s="1503" t="e">
        <f>IF(M49&gt;1000,M49*0.1%,IF(AND(M49&gt;500,M49&lt;=1000),M49*0.5%,IF(AND(M49&gt;50,M49&lt;=500),M49*1%,IF(AND(M49&gt;1,M49&lt;=50),M49*1.5%))))</f>
        <v>#VALUE!</v>
      </c>
      <c r="M65" s="308" t="e">
        <f t="shared" si="1"/>
        <v>#VALUE!</v>
      </c>
      <c r="N65" s="2769" t="s">
        <v>2070</v>
      </c>
      <c r="Z65" s="1940"/>
      <c r="AI65" s="1941"/>
    </row>
    <row r="66" spans="1:35" ht="14.25" customHeight="1">
      <c r="A66" s="178" t="s">
        <v>772</v>
      </c>
      <c r="B66" s="179" t="s">
        <v>2073</v>
      </c>
      <c r="C66" s="2792"/>
      <c r="D66" s="179" t="s">
        <v>32</v>
      </c>
      <c r="E66" s="1511" t="s">
        <v>1337</v>
      </c>
      <c r="F66" s="1996"/>
      <c r="G66" s="1996"/>
      <c r="H66" s="1998"/>
      <c r="I66" s="134"/>
      <c r="J66" s="3173"/>
      <c r="K66" s="1503" t="s">
        <v>2074</v>
      </c>
      <c r="L66" s="1503" t="e">
        <f>M49*0.5%</f>
        <v>#VALUE!</v>
      </c>
      <c r="M66" s="308" t="e">
        <f>IF(L66&gt;0.5,0.5,ROUND(L66,0))</f>
        <v>#VALUE!</v>
      </c>
      <c r="N66" s="2769" t="s">
        <v>2075</v>
      </c>
      <c r="Z66" s="1940"/>
      <c r="AI66" s="1941"/>
    </row>
    <row r="67" spans="1:35" ht="14.25" customHeight="1">
      <c r="A67" s="178" t="s">
        <v>773</v>
      </c>
      <c r="B67" s="179" t="s">
        <v>2076</v>
      </c>
      <c r="C67" s="2793">
        <f ca="1">C63-C66</f>
        <v>414</v>
      </c>
      <c r="D67" s="175" t="s">
        <v>32</v>
      </c>
      <c r="E67" s="177"/>
      <c r="F67" s="1996"/>
      <c r="G67" s="1996"/>
      <c r="H67" s="1998"/>
      <c r="I67" s="134"/>
      <c r="J67" s="3173"/>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173"/>
      <c r="K68" s="1503" t="s">
        <v>2079</v>
      </c>
      <c r="L68" s="1503" t="e">
        <f>IF(M49&gt;10000,M49*0.5%,IF(AND(M49&gt;5000,M49&lt;=10000),M49*1%,IF(AND(M49&gt;1000,M49&lt;=5000),M49*2%,IF(AND(M49&gt;200,M49&lt;=1000),M49*3%,M49*5%))))</f>
        <v>#VALUE!</v>
      </c>
      <c r="M68" s="308" t="e">
        <f>ROUND(L68,1)</f>
        <v>#VALUE!</v>
      </c>
      <c r="N68" s="2768"/>
      <c r="Z68" s="1940"/>
      <c r="AI68" s="1941"/>
    </row>
    <row r="69" spans="1:35" s="1960" customFormat="1" ht="16.5" customHeight="1">
      <c r="A69" s="1999"/>
      <c r="B69" s="2000"/>
      <c r="C69" s="2001"/>
      <c r="D69" s="2002"/>
      <c r="E69" s="2003"/>
      <c r="F69" s="1765"/>
      <c r="G69" s="1765"/>
      <c r="H69" s="1764"/>
      <c r="I69" s="1935"/>
      <c r="J69" s="3173"/>
      <c r="K69" s="1503" t="s">
        <v>2080</v>
      </c>
      <c r="L69" s="1503"/>
      <c r="M69" s="308" t="e">
        <f>ROUND(SUM(M63:M68),0)</f>
        <v>#VALUE!</v>
      </c>
      <c r="N69" s="2770"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7" t="s">
        <v>2081</v>
      </c>
      <c r="B70" s="3218"/>
      <c r="C70" s="3218"/>
      <c r="D70" s="3218"/>
      <c r="E70" s="3218"/>
      <c r="F70" s="3218"/>
      <c r="G70" s="3218"/>
      <c r="H70" s="3218"/>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09" t="s">
        <v>2062</v>
      </c>
      <c r="B71" s="3210"/>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414</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14" t="s">
        <v>2089</v>
      </c>
      <c r="F76" s="3213"/>
      <c r="G76" s="3213"/>
      <c r="H76" s="3216"/>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06" t="s">
        <v>2093</v>
      </c>
      <c r="F78" s="3207"/>
      <c r="G78" s="3207"/>
      <c r="H78" s="3208"/>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412</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206</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7" t="s">
        <v>2097</v>
      </c>
      <c r="B83" s="3218"/>
      <c r="C83" s="3218"/>
      <c r="D83" s="3218"/>
      <c r="E83" s="3218"/>
      <c r="F83" s="3218"/>
      <c r="G83" s="3218"/>
      <c r="H83" s="3218"/>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09" t="s">
        <v>2062</v>
      </c>
      <c r="B84" s="3210"/>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414</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175" t="s">
        <v>2870</v>
      </c>
      <c r="H90" s="3176"/>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06" t="s">
        <v>2106</v>
      </c>
      <c r="F91" s="3207"/>
      <c r="G91" s="3207"/>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06" t="s">
        <v>2109</v>
      </c>
      <c r="F92" s="3207"/>
      <c r="G92" s="3207"/>
      <c r="H92" s="3208"/>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06" t="s">
        <v>2093</v>
      </c>
      <c r="F93" s="3207"/>
      <c r="G93" s="3207"/>
      <c r="H93" s="3208"/>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54" t="s">
        <v>2113</v>
      </c>
      <c r="F94" s="3255"/>
      <c r="G94" s="3255"/>
      <c r="H94" s="325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412</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206</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6" t="s">
        <v>2115</v>
      </c>
      <c r="B100" s="3157"/>
      <c r="C100" s="3157"/>
      <c r="D100" s="3191"/>
      <c r="E100" s="3157" t="s">
        <v>2116</v>
      </c>
      <c r="F100" s="3157"/>
      <c r="G100" s="3157"/>
      <c r="H100" s="3191"/>
      <c r="I100" s="134"/>
    </row>
    <row r="101" spans="1:35" ht="18.75" customHeight="1">
      <c r="A101" s="3199" t="s">
        <v>2117</v>
      </c>
      <c r="B101" s="3200"/>
      <c r="C101" s="2810" t="str">
        <f>C4</f>
        <v>比较法-商业</v>
      </c>
      <c r="D101" s="2811" t="str">
        <f>D4</f>
        <v>收益法 (元)</v>
      </c>
      <c r="E101" s="3169" t="s">
        <v>2118</v>
      </c>
      <c r="F101" s="3170"/>
      <c r="G101" s="2015" t="s">
        <v>2119</v>
      </c>
      <c r="H101" s="2820">
        <f ca="1">H118</f>
        <v>435</v>
      </c>
      <c r="I101" s="134"/>
    </row>
    <row r="102" spans="1:35" ht="18.75" customHeight="1">
      <c r="A102" s="3201" t="s">
        <v>2120</v>
      </c>
      <c r="B102" s="2809" t="s">
        <v>2119</v>
      </c>
      <c r="C102" s="2810">
        <f ca="1">C19</f>
        <v>405</v>
      </c>
      <c r="D102" s="2811">
        <f ca="1">D19</f>
        <v>465</v>
      </c>
      <c r="E102" s="3169"/>
      <c r="F102" s="3170"/>
      <c r="G102" s="2015" t="s">
        <v>2121</v>
      </c>
      <c r="H102" s="2780">
        <f ca="1">I118</f>
        <v>34610</v>
      </c>
      <c r="I102" s="134"/>
    </row>
    <row r="103" spans="1:35" ht="42.75" customHeight="1">
      <c r="A103" s="3201"/>
      <c r="B103" s="2809" t="s">
        <v>2121</v>
      </c>
      <c r="C103" s="2812">
        <f ca="1">C20</f>
        <v>32242</v>
      </c>
      <c r="D103" s="2813">
        <f ca="1">D20</f>
        <v>36978</v>
      </c>
      <c r="E103" s="3162" t="s">
        <v>2122</v>
      </c>
      <c r="F103" s="3163"/>
      <c r="G103" s="2016" t="s">
        <v>2123</v>
      </c>
      <c r="H103" s="2820">
        <f>IF(D36="正常操作",H104+H105+H106,H105+H106)</f>
        <v>0</v>
      </c>
      <c r="I103" s="134"/>
    </row>
    <row r="104" spans="1:35" ht="18.75" customHeight="1">
      <c r="A104" s="3201" t="s">
        <v>2124</v>
      </c>
      <c r="B104" s="2814" t="s">
        <v>2119</v>
      </c>
      <c r="C104" s="2815">
        <f ca="1">H118</f>
        <v>435</v>
      </c>
      <c r="D104" s="2816"/>
      <c r="E104" s="1862" t="s">
        <v>2125</v>
      </c>
      <c r="F104" s="1853"/>
      <c r="G104" s="2016" t="s">
        <v>2123</v>
      </c>
      <c r="H104" s="2821">
        <f>IF(D36="同一抵押权人同一抵押物续贷",C36&amp;"（续贷，未扣减，详见特别提示）",C36)</f>
        <v>0</v>
      </c>
      <c r="I104" s="134"/>
    </row>
    <row r="105" spans="1:35" ht="18.75" customHeight="1" thickBot="1">
      <c r="A105" s="3211"/>
      <c r="B105" s="2817" t="s">
        <v>2121</v>
      </c>
      <c r="C105" s="2818">
        <f ca="1">I118</f>
        <v>34610</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2" t="str">
        <f>IF(项目基本情况!E8="已注销","——","3.房地产抵押价值")</f>
        <v>3.房地产抵押价值</v>
      </c>
      <c r="F107" s="3170"/>
      <c r="G107" s="2015" t="s">
        <v>2119</v>
      </c>
      <c r="H107" s="2820">
        <f ca="1">IF(E107="——","——",H101-H103)</f>
        <v>435</v>
      </c>
      <c r="I107" s="134"/>
    </row>
    <row r="108" spans="1:35" ht="18.75" customHeight="1">
      <c r="A108" s="134"/>
      <c r="B108" s="134"/>
      <c r="C108" s="134"/>
      <c r="D108" s="134"/>
      <c r="E108" s="3202"/>
      <c r="F108" s="3170"/>
      <c r="G108" s="2015" t="s">
        <v>2121</v>
      </c>
      <c r="H108" s="2780">
        <f ca="1">ROUND(H107*10000/'数据-汇总表'!E3,0)</f>
        <v>3434</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170"/>
      <c r="G109" s="2015" t="s">
        <v>2119</v>
      </c>
      <c r="H109" s="2823" t="str">
        <f>IF(E109="——","——",H101-H105-H106)</f>
        <v>——</v>
      </c>
      <c r="I109" s="134"/>
    </row>
    <row r="110" spans="1:35" ht="18.75" customHeight="1">
      <c r="A110" s="134"/>
      <c r="B110" s="134"/>
      <c r="C110" s="134"/>
      <c r="D110" s="134"/>
      <c r="E110" s="3202"/>
      <c r="F110" s="3170"/>
      <c r="G110" s="2015" t="s">
        <v>2121</v>
      </c>
      <c r="H110" s="2780" t="str">
        <f>IF(H109="——","——",ROUND(H109*10000/'数据-汇总表'!E3,0))</f>
        <v>——</v>
      </c>
      <c r="I110" s="134"/>
    </row>
    <row r="111" spans="1:35" ht="18.75" customHeight="1">
      <c r="A111" s="134"/>
      <c r="B111" s="134"/>
      <c r="C111" s="134"/>
      <c r="D111" s="134"/>
      <c r="E111" s="3203" t="str">
        <f>IF(项目基本情况!E9="抵押净值",IF(OR(项目基本情况!E8="已注销",项目基本情况!E8="房地产抵押价值"),"4.抵押净值","5.抵押净值"),"——")</f>
        <v>——</v>
      </c>
      <c r="F111" s="3189"/>
      <c r="G111" s="2015" t="s">
        <v>2119</v>
      </c>
      <c r="H111" s="2820" t="str">
        <f>IF(E111="——","——",N59)</f>
        <v>——</v>
      </c>
      <c r="I111" s="134"/>
    </row>
    <row r="112" spans="1:35" ht="18.75" customHeight="1" thickBot="1">
      <c r="A112" s="134"/>
      <c r="B112" s="134"/>
      <c r="C112" s="134"/>
      <c r="D112" s="134"/>
      <c r="E112" s="3204"/>
      <c r="F112" s="3205"/>
      <c r="G112" s="2018" t="s">
        <v>2121</v>
      </c>
      <c r="H112" s="2824" t="str">
        <f>IF(E111="——","——",N61)</f>
        <v>——</v>
      </c>
      <c r="I112" s="134"/>
    </row>
    <row r="113" spans="1:27" ht="18.75" customHeight="1">
      <c r="A113" s="134"/>
      <c r="B113" s="134"/>
      <c r="C113" s="134"/>
      <c r="D113" s="134"/>
      <c r="E113" s="3212" t="s">
        <v>2127</v>
      </c>
      <c r="F113" s="3212"/>
      <c r="G113" s="3212"/>
      <c r="H113" s="3212"/>
      <c r="I113" s="134"/>
    </row>
    <row r="114" spans="1:27" ht="3.75" customHeight="1">
      <c r="A114" s="1935"/>
      <c r="B114" s="1935"/>
      <c r="C114" s="1935"/>
      <c r="D114" s="1935"/>
      <c r="E114" s="1997"/>
      <c r="F114" s="1997"/>
      <c r="G114" s="1997"/>
      <c r="H114" s="1997"/>
      <c r="I114" s="1935"/>
    </row>
    <row r="115" spans="1:27" ht="18.75" customHeight="1">
      <c r="A115" s="3223" t="s">
        <v>2129</v>
      </c>
      <c r="B115" s="3224"/>
      <c r="C115" s="3224"/>
      <c r="D115" s="3224"/>
      <c r="E115" s="3224"/>
      <c r="F115" s="3224"/>
      <c r="G115" s="3224"/>
      <c r="H115" s="3224"/>
      <c r="I115" s="3225"/>
    </row>
    <row r="116" spans="1:27" ht="27" customHeight="1">
      <c r="A116" s="3177" t="s">
        <v>2130</v>
      </c>
      <c r="B116" s="3181" t="s">
        <v>2131</v>
      </c>
      <c r="C116" s="3181" t="s">
        <v>2132</v>
      </c>
      <c r="D116" s="3187" t="s">
        <v>2133</v>
      </c>
      <c r="E116" s="3188"/>
      <c r="F116" s="3219" t="s">
        <v>2134</v>
      </c>
      <c r="G116" s="3219"/>
      <c r="H116" s="3177" t="s">
        <v>2135</v>
      </c>
      <c r="I116" s="3177"/>
    </row>
    <row r="117" spans="1:27" ht="18.75" customHeight="1">
      <c r="A117" s="3177"/>
      <c r="B117" s="3182"/>
      <c r="C117" s="3182"/>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435</v>
      </c>
      <c r="I118" s="2553">
        <f ca="1">ROUND(IF(D32="楼面单价",C32,H118*10000/B118),0)</f>
        <v>34610</v>
      </c>
    </row>
    <row r="119" spans="1:27" ht="18.75" customHeight="1">
      <c r="A119" s="3177" t="s">
        <v>2139</v>
      </c>
      <c r="B119" s="3177"/>
      <c r="C119" s="3177"/>
      <c r="D119" s="3183" t="e">
        <f ca="1">NUMBERSTRING(INT(D118*10000),2)&amp;"元整"</f>
        <v>#REF!</v>
      </c>
      <c r="E119" s="3184"/>
      <c r="F119" s="3183" t="e">
        <f ca="1">NUMBERSTRING(INT(F118*10000),2)&amp;"元整"</f>
        <v>#REF!</v>
      </c>
      <c r="G119" s="3184"/>
      <c r="H119" s="3183" t="str">
        <f ca="1">NUMBERSTRING(INT(H118*10000),2)&amp;"元整"</f>
        <v>肆佰叁拾伍万元整</v>
      </c>
      <c r="I119" s="3184"/>
    </row>
    <row r="120" spans="1:27" ht="18.75" customHeight="1">
      <c r="A120" s="3178" t="str">
        <f>IF(项目基本情况!B9="房地产市场价值","",MID(E103,3,LEN(E103)-2))</f>
        <v/>
      </c>
      <c r="B120" s="3179"/>
      <c r="C120" s="3180"/>
      <c r="D120" s="3178">
        <f>H103</f>
        <v>0</v>
      </c>
      <c r="E120" s="3179"/>
      <c r="F120" s="3179"/>
      <c r="G120" s="3179"/>
      <c r="H120" s="3179"/>
      <c r="I120" s="318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20" t="s">
        <v>2139</v>
      </c>
      <c r="B121" s="3221"/>
      <c r="C121" s="3222"/>
      <c r="D121" s="3183" t="str">
        <f>IF(D120=0,"零元整",NUMBERSTRING(INT(D120*10000),2)&amp;"元整")</f>
        <v>零元整</v>
      </c>
      <c r="E121" s="3185"/>
      <c r="F121" s="3185"/>
      <c r="G121" s="3185"/>
      <c r="H121" s="3185"/>
      <c r="I121" s="3184"/>
      <c r="AA121" s="734"/>
    </row>
    <row r="122" spans="1:27" ht="18.75" customHeight="1">
      <c r="A122" s="3189" t="str">
        <f>IF(项目基本情况!B9="房地产市场价值","",MID(E107,3,LEN(E107)-2))</f>
        <v/>
      </c>
      <c r="B122" s="3189"/>
      <c r="C122" s="3189"/>
      <c r="D122" s="3178">
        <f ca="1">H107</f>
        <v>435</v>
      </c>
      <c r="E122" s="3179"/>
      <c r="F122" s="3179"/>
      <c r="G122" s="3179"/>
      <c r="H122" s="3179"/>
      <c r="I122" s="3180"/>
      <c r="AA122" s="734"/>
    </row>
    <row r="123" spans="1:27" ht="18.75" customHeight="1">
      <c r="A123" s="3177" t="s">
        <v>2139</v>
      </c>
      <c r="B123" s="3177"/>
      <c r="C123" s="3177"/>
      <c r="D123" s="3183" t="str">
        <f ca="1">NUMBERSTRING(INT(D122*10000),2)&amp;"元整"</f>
        <v>肆佰叁拾伍万元整</v>
      </c>
      <c r="E123" s="3185"/>
      <c r="F123" s="3185"/>
      <c r="G123" s="3185"/>
      <c r="H123" s="3185"/>
      <c r="I123" s="3184"/>
      <c r="AA123" s="734"/>
    </row>
    <row r="124" spans="1:27" ht="18.75" customHeight="1">
      <c r="A124" s="3189" t="str">
        <f>IF(项目基本情况!B9="房地产市场价值","",MID(E109,3,LEN(E109)-2))</f>
        <v/>
      </c>
      <c r="B124" s="3189"/>
      <c r="C124" s="3189"/>
      <c r="D124" s="3178" t="str">
        <f>H109</f>
        <v>——</v>
      </c>
      <c r="E124" s="3179"/>
      <c r="F124" s="3179"/>
      <c r="G124" s="3179"/>
      <c r="H124" s="3179"/>
      <c r="I124" s="3180"/>
      <c r="AA124" s="734"/>
    </row>
    <row r="125" spans="1:27" ht="18.75" customHeight="1">
      <c r="A125" s="3177" t="s">
        <v>2139</v>
      </c>
      <c r="B125" s="3177"/>
      <c r="C125" s="3177"/>
      <c r="D125" s="3183" t="e">
        <f>NUMBERSTRING(INT(D124*10000),2)&amp;"元整"</f>
        <v>#VALUE!</v>
      </c>
      <c r="E125" s="3185"/>
      <c r="F125" s="3185"/>
      <c r="G125" s="3185"/>
      <c r="H125" s="3185"/>
      <c r="I125" s="3184"/>
      <c r="AA125" s="734"/>
    </row>
    <row r="126" spans="1:27" ht="18.75" customHeight="1">
      <c r="A126" s="3189" t="str">
        <f>IF(项目基本情况!B9="房地产市场价值","",MID(E111,3,LEN(E111)-2))</f>
        <v/>
      </c>
      <c r="B126" s="3189"/>
      <c r="C126" s="3189"/>
      <c r="D126" s="3178" t="str">
        <f>H111</f>
        <v>——</v>
      </c>
      <c r="E126" s="3179"/>
      <c r="F126" s="3179"/>
      <c r="G126" s="3179"/>
      <c r="H126" s="3179"/>
      <c r="I126" s="3180"/>
      <c r="AA126" s="734"/>
    </row>
    <row r="127" spans="1:27" ht="18.75" customHeight="1">
      <c r="A127" s="3177" t="s">
        <v>2139</v>
      </c>
      <c r="B127" s="3177"/>
      <c r="C127" s="3177"/>
      <c r="D127" s="3183" t="e">
        <f>NUMBERSTRING(INT(D126*10000),2)&amp;"元整"</f>
        <v>#VALUE!</v>
      </c>
      <c r="E127" s="3185"/>
      <c r="F127" s="3185"/>
      <c r="G127" s="3185"/>
      <c r="H127" s="3185"/>
      <c r="I127" s="3184"/>
      <c r="AA127" s="734"/>
    </row>
    <row r="128" spans="1:27" ht="21.75" customHeight="1">
      <c r="A128" s="3186" t="s">
        <v>2140</v>
      </c>
      <c r="B128" s="3186"/>
      <c r="C128" s="3186"/>
      <c r="D128" s="3186"/>
      <c r="E128" s="3186"/>
      <c r="F128" s="3186"/>
      <c r="G128" s="3186"/>
      <c r="H128" s="3186"/>
      <c r="I128" s="318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474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3742</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25</v>
      </c>
      <c r="D10" s="954">
        <f ca="1">IF(B1="",'数据-汇总表'!E6,IF(INDIRECT("'数据-取费表'!c"&amp;$G$1)="住宅",INDIRECT("'数据-取费表'!s"&amp;$G$1),INDIRECT("'数据-取费表'!k"&amp;$G$1)+INDIRECT("'数据-取费表'!s"&amp;$G$1)))</f>
        <v>1266.6499999999999</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25</v>
      </c>
      <c r="D19" s="958">
        <f ca="1">D9+D10</f>
        <v>1266.6499999999999</v>
      </c>
      <c r="E19" s="217">
        <f>'数据-取费表'!B31</f>
        <v>200</v>
      </c>
      <c r="F19" s="237"/>
      <c r="G19" s="2044"/>
    </row>
    <row r="20" spans="1:7" s="220" customFormat="1" ht="13.5" customHeight="1">
      <c r="A20" s="261" t="s">
        <v>2180</v>
      </c>
      <c r="B20" s="216" t="s">
        <v>2181</v>
      </c>
      <c r="C20" s="238">
        <f ca="1">ROUND((C5+C19)*F20,0)</f>
        <v>1</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2</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7</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41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354</v>
      </c>
      <c r="D34" s="223"/>
      <c r="E34" s="226"/>
      <c r="F34" s="263">
        <f ca="1">IF('数据-取费表'!B24=0,1,IF(B1="",'数据-取费表'!N16,INDIRECT("'数据-取费表'!n"&amp;$G$1)))</f>
        <v>1</v>
      </c>
      <c r="G34" s="225" t="s">
        <v>2213</v>
      </c>
    </row>
    <row r="35" spans="1:7" ht="13.5" customHeight="1">
      <c r="A35" s="888" t="s">
        <v>796</v>
      </c>
      <c r="B35" s="221" t="s">
        <v>2214</v>
      </c>
      <c r="C35" s="226">
        <f ca="1">ROUND(C34*F35,0)</f>
        <v>11</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25</v>
      </c>
      <c r="D37" s="223">
        <f ca="1">D19</f>
        <v>1266.6499999999999</v>
      </c>
      <c r="E37" s="255">
        <f>'数据-取费表'!B35</f>
        <v>200</v>
      </c>
      <c r="F37" s="265"/>
      <c r="G37" s="267" t="s">
        <v>2219</v>
      </c>
    </row>
    <row r="38" spans="1:7" ht="13.5" customHeight="1">
      <c r="A38" s="888" t="s">
        <v>799</v>
      </c>
      <c r="B38" s="221" t="s">
        <v>2220</v>
      </c>
      <c r="C38" s="226">
        <f ca="1">ROUND(C34*F38,0)</f>
        <v>5</v>
      </c>
      <c r="D38" s="226"/>
      <c r="E38" s="226"/>
      <c r="F38" s="265">
        <f>'数据-取费表'!B36</f>
        <v>1.4999999999999999E-2</v>
      </c>
      <c r="G38" s="225" t="s">
        <v>2215</v>
      </c>
    </row>
    <row r="39" spans="1:7" s="220" customFormat="1" ht="13.5" customHeight="1">
      <c r="A39" s="261" t="s">
        <v>2221</v>
      </c>
      <c r="B39" s="216" t="s">
        <v>2222</v>
      </c>
      <c r="C39" s="238">
        <f ca="1">ROUND(C33*F20,0)</f>
        <v>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14</v>
      </c>
      <c r="D42" s="244"/>
      <c r="E42" s="244"/>
      <c r="F42" s="245"/>
      <c r="G42" s="3259" t="s">
        <v>2231</v>
      </c>
    </row>
    <row r="43" spans="1:7" ht="13.5" customHeight="1">
      <c r="A43" s="888" t="s">
        <v>792</v>
      </c>
      <c r="B43" s="221" t="s">
        <v>2232</v>
      </c>
      <c r="C43" s="244">
        <f ca="1">ROUND(IF('数据-取费表'!B22&lt;=1,C39*F22*'数据-取费表'!B21/2,C39*(POWER((1+F22),'数据-取费表'!B21/2)-1)),0)</f>
        <v>0</v>
      </c>
      <c r="D43" s="244"/>
      <c r="E43" s="244"/>
      <c r="F43" s="245"/>
      <c r="G43" s="3260"/>
    </row>
    <row r="44" spans="1:7" ht="13.5" customHeight="1">
      <c r="A44" s="888" t="s">
        <v>793</v>
      </c>
      <c r="B44" s="221" t="s">
        <v>2233</v>
      </c>
      <c r="C44" s="244">
        <f ca="1">ROUND(IF('数据-取费表'!B22&lt;=1,C40*F22*'数据-取费表'!B21/2,C40*(POWER((1+F22),'数据-取费表'!B21/2)-1)),4)</f>
        <v>6.9999999999999999E-4</v>
      </c>
      <c r="D44" s="244"/>
      <c r="E44" s="244"/>
      <c r="F44" s="245"/>
      <c r="G44" s="3261"/>
    </row>
    <row r="45" spans="1:7" s="220" customFormat="1" ht="13.5" customHeight="1">
      <c r="A45" s="261" t="s">
        <v>2234</v>
      </c>
      <c r="B45" s="250" t="s">
        <v>2200</v>
      </c>
      <c r="C45" s="251">
        <f ca="1">C46</f>
        <v>101</v>
      </c>
      <c r="D45" s="241">
        <f ca="1">C47</f>
        <v>5.0000000000000001E-3</v>
      </c>
      <c r="E45" s="242" t="s">
        <v>2226</v>
      </c>
      <c r="F45" s="2538">
        <f ca="1">F27</f>
        <v>0.25</v>
      </c>
      <c r="G45" s="253" t="s">
        <v>2235</v>
      </c>
    </row>
    <row r="46" spans="1:7" s="220" customFormat="1" ht="13.5" customHeight="1">
      <c r="A46" s="888" t="s">
        <v>791</v>
      </c>
      <c r="B46" s="254" t="s">
        <v>2236</v>
      </c>
      <c r="C46" s="255">
        <f ca="1">ROUND((C33+C39)*F27,0)</f>
        <v>101</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562</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433</v>
      </c>
      <c r="D51" s="238"/>
      <c r="E51" s="238"/>
      <c r="F51" s="270"/>
      <c r="G51" s="240" t="s">
        <v>2247</v>
      </c>
    </row>
    <row r="52" spans="1:7" s="214" customFormat="1" ht="16.5" thickBot="1">
      <c r="A52" s="271" t="s">
        <v>2248</v>
      </c>
      <c r="B52" s="272"/>
      <c r="C52" s="273">
        <f ca="1">C31+C51</f>
        <v>474</v>
      </c>
      <c r="D52" s="272"/>
      <c r="E52" s="272"/>
      <c r="F52" s="272"/>
      <c r="G52" s="274"/>
    </row>
    <row r="55" spans="1:7" ht="15">
      <c r="B55" s="276" t="s">
        <v>2249</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508</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253330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253330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253330</v>
      </c>
      <c r="D10" s="954">
        <f ca="1">IF(B1="",'数据-汇总表'!E6,IF(INDIRECT("'数据-取费表'!c"&amp;$G$1)="住宅",INDIRECT("'数据-取费表'!s"&amp;$G$1),INDIRECT("'数据-取费表'!k"&amp;$G$1)+INDIRECT("'数据-取费表'!s"&amp;$G$1)))</f>
        <v>1266.6499999999999</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253330</v>
      </c>
      <c r="D19" s="958">
        <f ca="1">D9+D10</f>
        <v>1266.6499999999999</v>
      </c>
      <c r="E19" s="217">
        <f>'数据-取费表'!B31</f>
        <v>200</v>
      </c>
      <c r="F19" s="237"/>
      <c r="G19" s="2044"/>
    </row>
    <row r="20" spans="1:7" s="220" customFormat="1" ht="13.5" customHeight="1">
      <c r="A20" s="261" t="s">
        <v>2261</v>
      </c>
      <c r="B20" s="216" t="s">
        <v>2262</v>
      </c>
      <c r="C20" s="238">
        <f ca="1">ROUND((C5+C19)*F20,0)</f>
        <v>10133</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36883</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18262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18262</v>
      </c>
      <c r="D24" s="244"/>
      <c r="E24" s="244"/>
      <c r="F24" s="245"/>
      <c r="G24" s="246" t="s">
        <v>2273</v>
      </c>
    </row>
    <row r="25" spans="1:7" s="220" customFormat="1" ht="24">
      <c r="A25" s="888" t="s">
        <v>2163</v>
      </c>
      <c r="B25" s="221" t="s">
        <v>2274</v>
      </c>
      <c r="C25" s="1290">
        <f ca="1">ROUND(IF('数据-取费表'!B22&lt;=1,C20*F22*'数据-取费表'!B22/2,C20*(POWER((1+F22),'数据-取费表'!B22/2)-1)),0)</f>
        <v>359</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129198</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129198</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740725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3959548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3546620</v>
      </c>
      <c r="D34" s="223"/>
      <c r="E34" s="226"/>
      <c r="F34" s="263"/>
      <c r="G34" s="225"/>
    </row>
    <row r="35" spans="1:7" ht="13.5" customHeight="1">
      <c r="A35" s="888" t="s">
        <v>796</v>
      </c>
      <c r="B35" s="221" t="s">
        <v>2214</v>
      </c>
      <c r="C35" s="226">
        <f ca="1">ROUND(C34*F35,0)</f>
        <v>106399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253330</v>
      </c>
      <c r="D37" s="223">
        <f ca="1">D19</f>
        <v>1266.6499999999999</v>
      </c>
      <c r="E37" s="255">
        <f>'数据-取费表'!B35</f>
        <v>200</v>
      </c>
      <c r="F37" s="265"/>
      <c r="G37" s="267"/>
    </row>
    <row r="38" spans="1:7" ht="13.5" customHeight="1">
      <c r="A38" s="888" t="s">
        <v>799</v>
      </c>
      <c r="B38" s="221" t="s">
        <v>2220</v>
      </c>
      <c r="C38" s="226">
        <f ca="1">ROUND(C34*F38,0)</f>
        <v>53199</v>
      </c>
      <c r="D38" s="226"/>
      <c r="E38" s="226"/>
      <c r="F38" s="265">
        <f>'数据-取费表'!B36</f>
        <v>1.4999999999999999E-2</v>
      </c>
      <c r="G38" s="225" t="s">
        <v>2215</v>
      </c>
    </row>
    <row r="39" spans="1:7" s="220" customFormat="1" ht="13.5" customHeight="1">
      <c r="A39" s="261" t="s">
        <v>2221</v>
      </c>
      <c r="B39" s="216" t="s">
        <v>2222</v>
      </c>
      <c r="C39" s="238">
        <f ca="1">ROUND(C33*F20,0)</f>
        <v>79191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143043</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140238</v>
      </c>
      <c r="D42" s="244"/>
      <c r="E42" s="244"/>
      <c r="F42" s="245"/>
      <c r="G42" s="3259" t="s">
        <v>2278</v>
      </c>
    </row>
    <row r="43" spans="1:7" ht="13.5" customHeight="1">
      <c r="A43" s="888" t="s">
        <v>792</v>
      </c>
      <c r="B43" s="221" t="s">
        <v>2232</v>
      </c>
      <c r="C43" s="244">
        <f ca="1">ROUND(IF('数据-取费表'!B22&lt;=1,C39*F22*'数据-取费表'!B20/2,C39*(POWER((1+F22),'数据-取费表'!B20/2)-1)),0)</f>
        <v>2805</v>
      </c>
      <c r="D43" s="244"/>
      <c r="E43" s="244"/>
      <c r="F43" s="245"/>
      <c r="G43" s="3260"/>
    </row>
    <row r="44" spans="1:7" ht="13.5" customHeight="1">
      <c r="A44" s="888" t="s">
        <v>793</v>
      </c>
      <c r="B44" s="221" t="s">
        <v>2233</v>
      </c>
      <c r="C44" s="244">
        <f ca="1">ROUND(IF('数据-取费表'!B22&lt;=1,C40*F22*'数据-取费表'!B20/2,C40*(POWER((1+F22),'数据-取费表'!B20/2)-1)),4)</f>
        <v>6.9999999999999999E-4</v>
      </c>
      <c r="D44" s="244"/>
      <c r="E44" s="244"/>
      <c r="F44" s="245"/>
      <c r="G44" s="3261"/>
    </row>
    <row r="45" spans="1:7" s="220" customFormat="1" ht="13.5" customHeight="1">
      <c r="A45" s="261" t="s">
        <v>2234</v>
      </c>
      <c r="B45" s="250" t="s">
        <v>2200</v>
      </c>
      <c r="C45" s="251">
        <f ca="1">C46</f>
        <v>1009685</v>
      </c>
      <c r="D45" s="241">
        <f ca="1">C47</f>
        <v>5.0000000000000001E-3</v>
      </c>
      <c r="E45" s="242" t="s">
        <v>2226</v>
      </c>
      <c r="F45" s="2538">
        <f ca="1">F27</f>
        <v>0.25</v>
      </c>
      <c r="G45" s="253" t="s">
        <v>2235</v>
      </c>
    </row>
    <row r="46" spans="1:7" s="220" customFormat="1" ht="13.5" customHeight="1">
      <c r="A46" s="888" t="s">
        <v>791</v>
      </c>
      <c r="B46" s="254" t="s">
        <v>2236</v>
      </c>
      <c r="C46" s="255">
        <f ca="1">ROUND((C33+C39)*F27,0)</f>
        <v>1009685</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5631269</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4336077</v>
      </c>
      <c r="D51" s="238"/>
      <c r="E51" s="238"/>
      <c r="F51" s="270"/>
      <c r="G51" s="240" t="s">
        <v>2247</v>
      </c>
    </row>
    <row r="52" spans="1:7" s="214" customFormat="1" ht="16.5" thickBot="1">
      <c r="A52" s="271" t="s">
        <v>2248</v>
      </c>
      <c r="B52" s="272"/>
      <c r="C52" s="273">
        <f ca="1">C31+C51</f>
        <v>5076802</v>
      </c>
      <c r="D52" s="272"/>
      <c r="E52" s="272"/>
      <c r="F52" s="272"/>
      <c r="G52" s="274"/>
    </row>
    <row r="55" spans="1:7" ht="15">
      <c r="B55" s="276" t="s">
        <v>2249</v>
      </c>
      <c r="C55" s="277"/>
    </row>
    <row r="56" spans="1:7">
      <c r="B56" s="279" t="s">
        <v>1478</v>
      </c>
      <c r="C56" s="281">
        <f ca="1">1-C57</f>
        <v>0.14600000000000002</v>
      </c>
    </row>
    <row r="57" spans="1:7">
      <c r="B57" s="279" t="s">
        <v>1479</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-28</v>
      </c>
      <c r="C2" s="282" t="s">
        <v>2282</v>
      </c>
      <c r="D2" s="282"/>
      <c r="E2" s="3036"/>
      <c r="F2" s="3036"/>
      <c r="G2" s="3036"/>
      <c r="H2" s="3036"/>
      <c r="I2" s="3036"/>
      <c r="J2" s="3036"/>
      <c r="K2" s="3036"/>
    </row>
    <row r="3" spans="1:33" ht="18" customHeight="1" thickBot="1">
      <c r="A3" s="209" t="s">
        <v>2151</v>
      </c>
      <c r="B3" s="210">
        <f ca="1">ROUND(B2*10000/IF(C1="",'数据-汇总表'!E3,INDIRECT("'数据-取费表'!K"&amp;$K$1)),0)</f>
        <v>-221</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1266.6499999999999</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1266.6499999999999</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22.490000000000002</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25</v>
      </c>
      <c r="D20" s="955">
        <f ca="1">IF(C1="",'数据-汇总表'!E6,IF(INDIRECT("'数据-取费表'!c"&amp;$K$1)="住宅",INDIRECT("'数据-取费表'!s"&amp;$K$1),INDIRECT("'数据-取费表'!k"&amp;$K$1)+INDIRECT("'数据-取费表'!s"&amp;$K$1)))</f>
        <v>1266.6499999999999</v>
      </c>
      <c r="E20" s="24">
        <f>'数据-取费表'!B28</f>
        <v>200</v>
      </c>
      <c r="F20" s="913"/>
      <c r="G20" s="15"/>
      <c r="H20" s="918"/>
      <c r="I20" s="918"/>
      <c r="J20" s="918"/>
      <c r="K20" s="919"/>
    </row>
    <row r="21" spans="1:33" s="912" customFormat="1" ht="13.5" customHeight="1">
      <c r="A21" s="898" t="s">
        <v>802</v>
      </c>
      <c r="B21" s="922" t="s">
        <v>2318</v>
      </c>
      <c r="C21" s="923">
        <f ca="1">C16+C17+C18</f>
        <v>22.490000000000002</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6</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6</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-28</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64" t="s">
        <v>1368</v>
      </c>
      <c r="C6" s="1206">
        <f ca="1">ROUND(F6*F8*F7*(1-F9)/10000,0)</f>
        <v>0</v>
      </c>
      <c r="D6" s="160" t="s">
        <v>2849</v>
      </c>
      <c r="E6" s="308" t="s">
        <v>1370</v>
      </c>
      <c r="F6" s="309">
        <f ca="1">INDIRECT("'数据-取费表'!u"&amp;$G$1)</f>
        <v>0</v>
      </c>
      <c r="G6" s="1570"/>
      <c r="H6" s="1201" t="s">
        <v>1003</v>
      </c>
      <c r="I6" s="3264" t="s">
        <v>1368</v>
      </c>
      <c r="J6" s="307">
        <f ca="1">ROUND(M6*M8*M7*(1-M9)/10000,0)</f>
        <v>0</v>
      </c>
      <c r="K6" s="160" t="s">
        <v>2848</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0</v>
      </c>
      <c r="G7" s="1570"/>
      <c r="H7" s="310"/>
      <c r="I7" s="3265"/>
      <c r="J7" s="312"/>
      <c r="K7" s="313"/>
      <c r="L7" s="308" t="s">
        <v>1371</v>
      </c>
      <c r="M7" s="309">
        <f ca="1">F7</f>
        <v>0</v>
      </c>
    </row>
    <row r="8" spans="1:37" ht="18" customHeight="1">
      <c r="A8" s="310"/>
      <c r="B8" s="3265"/>
      <c r="C8" s="312"/>
      <c r="D8" s="313"/>
      <c r="E8" s="308" t="s">
        <v>1372</v>
      </c>
      <c r="F8" s="309">
        <f ca="1">INDIRECT("'数据-取费表'!ai"&amp;$G$1)</f>
        <v>0</v>
      </c>
      <c r="G8" s="1570"/>
      <c r="H8" s="310"/>
      <c r="I8" s="3265"/>
      <c r="J8" s="312"/>
      <c r="K8" s="313"/>
      <c r="L8" s="308" t="s">
        <v>1372</v>
      </c>
      <c r="M8" s="309">
        <f ca="1">INDIRECT("'数据-取费表'!ai"&amp;$G$1)</f>
        <v>0</v>
      </c>
    </row>
    <row r="9" spans="1:37" ht="18" customHeight="1">
      <c r="A9" s="310"/>
      <c r="B9" s="3266"/>
      <c r="C9" s="312"/>
      <c r="D9" s="313"/>
      <c r="E9" s="308" t="s">
        <v>1373</v>
      </c>
      <c r="F9" s="318">
        <f ca="1">INDIRECT("'数据-取费表'!w"&amp;$G$1)</f>
        <v>0</v>
      </c>
      <c r="G9" s="1570"/>
      <c r="H9" s="310"/>
      <c r="I9" s="326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62" t="s">
        <v>1513</v>
      </c>
      <c r="L53" s="3263"/>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E13" sqref="E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34.229999999999997</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465</v>
      </c>
      <c r="C2" s="1573" t="s">
        <v>1556</v>
      </c>
      <c r="D2" s="1657">
        <f ca="1">C40+J29+L46</f>
        <v>4649610</v>
      </c>
      <c r="E2" s="1574" t="s">
        <v>1557</v>
      </c>
      <c r="F2" s="1575"/>
      <c r="G2" s="2934"/>
      <c r="H2" s="2923"/>
      <c r="I2" s="2923"/>
      <c r="J2" s="2923"/>
      <c r="K2" s="2924"/>
      <c r="L2" s="2923"/>
      <c r="M2" s="2923"/>
    </row>
    <row r="3" spans="1:37" ht="18" customHeight="1" thickBot="1">
      <c r="A3" s="1576" t="s">
        <v>1558</v>
      </c>
      <c r="B3" s="1577">
        <f ca="1">IF(ISERROR(D2/F43),0,ROUND(D2/F43,0))</f>
        <v>36978</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64" t="s">
        <v>1368</v>
      </c>
      <c r="C6" s="1206">
        <f ca="1">ROUND(F6*F8*F7*(1-F9),0)</f>
        <v>239572</v>
      </c>
      <c r="D6" s="160" t="s">
        <v>2846</v>
      </c>
      <c r="E6" s="308" t="s">
        <v>1370</v>
      </c>
      <c r="F6" s="309">
        <f ca="1">INDIRECT("'数据-取费表'!u"&amp;$G$1)</f>
        <v>5.8</v>
      </c>
      <c r="G6" s="1570"/>
      <c r="H6" s="1201" t="s">
        <v>1003</v>
      </c>
      <c r="I6" s="3264" t="s">
        <v>1368</v>
      </c>
      <c r="J6" s="307">
        <f ca="1">ROUND(M6*M8*M7*(1-M9),0)</f>
        <v>0</v>
      </c>
      <c r="K6" s="1562" t="s">
        <v>2847</v>
      </c>
      <c r="L6" s="308" t="s">
        <v>1370</v>
      </c>
      <c r="M6" s="309">
        <f ca="1">INDIRECT("'数据-取费表'!z"&amp;$G$1)</f>
        <v>0</v>
      </c>
    </row>
    <row r="7" spans="1:37" ht="18" customHeight="1">
      <c r="A7" s="1205"/>
      <c r="B7" s="3265"/>
      <c r="C7" s="1207"/>
      <c r="D7" s="313"/>
      <c r="E7" s="1208" t="s">
        <v>1371</v>
      </c>
      <c r="F7" s="309">
        <f ca="1">IF(INDIRECT("'数据-取费表'!ah"&amp;$G$1)="",INDIRECT("'数据-取费表'!k"&amp;$G$1),INDIRECT("'数据-取费表'!ah"&amp;$G$1))</f>
        <v>125.74</v>
      </c>
      <c r="G7" s="1570"/>
      <c r="H7" s="310"/>
      <c r="I7" s="3265"/>
      <c r="J7" s="312"/>
      <c r="K7" s="313"/>
      <c r="L7" s="308" t="s">
        <v>1371</v>
      </c>
      <c r="M7" s="309">
        <f ca="1">F7</f>
        <v>125.74</v>
      </c>
    </row>
    <row r="8" spans="1:37" ht="18" customHeight="1">
      <c r="A8" s="310"/>
      <c r="B8" s="3265"/>
      <c r="C8" s="312"/>
      <c r="D8" s="313"/>
      <c r="E8" s="308" t="s">
        <v>1372</v>
      </c>
      <c r="F8" s="309">
        <f ca="1">INDIRECT("'数据-取费表'!ai"&amp;$G$1)</f>
        <v>365</v>
      </c>
      <c r="G8" s="1570"/>
      <c r="H8" s="310"/>
      <c r="I8" s="3265"/>
      <c r="J8" s="312"/>
      <c r="K8" s="313"/>
      <c r="L8" s="308" t="s">
        <v>1372</v>
      </c>
      <c r="M8" s="309">
        <f ca="1">INDIRECT("'数据-取费表'!ai"&amp;$G$1)</f>
        <v>365</v>
      </c>
    </row>
    <row r="9" spans="1:37" ht="18" customHeight="1">
      <c r="A9" s="310"/>
      <c r="B9" s="3266"/>
      <c r="C9" s="312"/>
      <c r="D9" s="313"/>
      <c r="E9" s="308" t="s">
        <v>1373</v>
      </c>
      <c r="F9" s="318">
        <f ca="1">INDIRECT("'数据-取费表'!w"&amp;$G$1)</f>
        <v>0.1</v>
      </c>
      <c r="G9" s="1570"/>
      <c r="H9" s="310"/>
      <c r="I9" s="326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3175</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4637905</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34.229999999999997</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36885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-3029818</v>
      </c>
      <c r="D45" s="1659" t="s">
        <v>1569</v>
      </c>
      <c r="E45" s="1586"/>
      <c r="F45" s="1586"/>
      <c r="O45" s="1589" t="s">
        <v>1484</v>
      </c>
      <c r="P45" s="1647"/>
      <c r="Q45" s="1647"/>
      <c r="R45" s="1647"/>
    </row>
    <row r="46" spans="1:18" s="1570" customFormat="1" ht="13.5" thickBot="1">
      <c r="A46" s="1590" t="s">
        <v>1485</v>
      </c>
      <c r="C46" s="1591">
        <f ca="1">ROUND(C45/10000,0)</f>
        <v>-303</v>
      </c>
      <c r="D46" s="1592" t="str">
        <f>C2</f>
        <v>万元</v>
      </c>
      <c r="I46" s="1593" t="s">
        <v>1486</v>
      </c>
      <c r="J46" s="1594"/>
      <c r="K46" s="1595"/>
      <c r="L46" s="1596">
        <f ca="1">IF(M47="住宅",0,IF(L48&gt;J51,L60,J60))</f>
        <v>11705</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4637905</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34.229999999999997</v>
      </c>
      <c r="O48" s="1604" t="s">
        <v>1009</v>
      </c>
      <c r="P48" s="1605" t="s">
        <v>1497</v>
      </c>
      <c r="Q48" s="1606">
        <f ca="1">J60</f>
        <v>11705</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34.229999999999997</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34.229999999999997</v>
      </c>
      <c r="K53" s="3262" t="s">
        <v>1513</v>
      </c>
      <c r="L53" s="3263"/>
      <c r="O53" s="1604" t="s">
        <v>1014</v>
      </c>
      <c r="P53" s="1605" t="s">
        <v>1514</v>
      </c>
      <c r="Q53" s="1606">
        <f ca="1">Q47+Q48</f>
        <v>4649610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0.19600000000000001</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4637905</v>
      </c>
      <c r="R56" s="1606" t="s">
        <v>1494</v>
      </c>
    </row>
    <row r="57" spans="1:18" s="1570" customFormat="1" ht="24.75" thickBot="1">
      <c r="A57" s="1637"/>
      <c r="B57" s="1081" t="s">
        <v>1443</v>
      </c>
      <c r="C57" s="244">
        <f ca="1">C29</f>
        <v>559013</v>
      </c>
      <c r="D57" s="1638"/>
      <c r="E57" s="1639"/>
      <c r="F57" s="1640"/>
      <c r="I57" s="1641" t="s">
        <v>1521</v>
      </c>
      <c r="J57" s="1642">
        <f ca="1">IF(OR(M47="住宅",J51&lt;L48,J56="是"),"——",J51-L48)</f>
        <v>11.770000000000003</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11705</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4637905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4637905</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1608087</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34.229999999999997</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12789</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4637905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465</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36981</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67" t="s">
        <v>2344</v>
      </c>
      <c r="C5" s="3268"/>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465</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9" t="s">
        <v>1044</v>
      </c>
      <c r="B1" s="3270"/>
      <c r="C1" s="3271"/>
      <c r="D1" s="3272">
        <f>SUM(I10,I15,I20,I21,I23)</f>
        <v>0</v>
      </c>
      <c r="E1" s="3272"/>
      <c r="F1" s="3272"/>
      <c r="G1" s="3272"/>
      <c r="H1" s="3272"/>
      <c r="I1" s="3273"/>
    </row>
    <row r="2" spans="1:9">
      <c r="A2" s="3274" t="s">
        <v>1045</v>
      </c>
      <c r="B2" s="3275" t="s">
        <v>1046</v>
      </c>
      <c r="C2" s="3275"/>
      <c r="D2" s="1211" t="s">
        <v>1047</v>
      </c>
      <c r="E2" s="1211" t="s">
        <v>1048</v>
      </c>
      <c r="F2" s="1211" t="s">
        <v>1049</v>
      </c>
      <c r="G2" s="1211" t="s">
        <v>1050</v>
      </c>
      <c r="H2" s="1211" t="s">
        <v>1051</v>
      </c>
      <c r="I2" s="1212" t="s">
        <v>1052</v>
      </c>
    </row>
    <row r="3" spans="1:9">
      <c r="A3" s="3274"/>
      <c r="B3" s="3275" t="s">
        <v>1053</v>
      </c>
      <c r="C3" s="3275"/>
      <c r="D3" s="1213"/>
      <c r="E3" s="1211"/>
      <c r="F3" s="1214"/>
      <c r="G3" s="1214"/>
      <c r="H3" s="1215"/>
      <c r="I3" s="1216">
        <f>ROUND(D3*E3*F3*G3*H3/10000,0)</f>
        <v>0</v>
      </c>
    </row>
    <row r="4" spans="1:9">
      <c r="A4" s="3274"/>
      <c r="B4" s="3275" t="s">
        <v>1054</v>
      </c>
      <c r="C4" s="3275"/>
      <c r="D4" s="1213"/>
      <c r="E4" s="1211"/>
      <c r="F4" s="1214"/>
      <c r="G4" s="1214"/>
      <c r="H4" s="1215"/>
      <c r="I4" s="1216">
        <f t="shared" ref="I4:I9" si="0">ROUND(D4*E4*F4*G4*H4/10000,0)</f>
        <v>0</v>
      </c>
    </row>
    <row r="5" spans="1:9">
      <c r="A5" s="3274"/>
      <c r="B5" s="3275" t="s">
        <v>1055</v>
      </c>
      <c r="C5" s="3275"/>
      <c r="D5" s="1213"/>
      <c r="E5" s="1211"/>
      <c r="F5" s="1214"/>
      <c r="G5" s="1214"/>
      <c r="H5" s="1215"/>
      <c r="I5" s="1216">
        <f t="shared" si="0"/>
        <v>0</v>
      </c>
    </row>
    <row r="6" spans="1:9">
      <c r="A6" s="3274"/>
      <c r="B6" s="3275" t="s">
        <v>1056</v>
      </c>
      <c r="C6" s="3275"/>
      <c r="D6" s="1213"/>
      <c r="E6" s="1211"/>
      <c r="F6" s="1214"/>
      <c r="G6" s="1214"/>
      <c r="H6" s="1215"/>
      <c r="I6" s="1216">
        <f t="shared" si="0"/>
        <v>0</v>
      </c>
    </row>
    <row r="7" spans="1:9">
      <c r="A7" s="3274"/>
      <c r="B7" s="3275" t="s">
        <v>1057</v>
      </c>
      <c r="C7" s="3275"/>
      <c r="D7" s="1213"/>
      <c r="E7" s="1211"/>
      <c r="F7" s="1214"/>
      <c r="G7" s="1214"/>
      <c r="H7" s="1215"/>
      <c r="I7" s="1216">
        <f t="shared" si="0"/>
        <v>0</v>
      </c>
    </row>
    <row r="8" spans="1:9">
      <c r="A8" s="3274"/>
      <c r="B8" s="3275" t="s">
        <v>1058</v>
      </c>
      <c r="C8" s="3275"/>
      <c r="D8" s="1213"/>
      <c r="E8" s="1211"/>
      <c r="F8" s="1214"/>
      <c r="G8" s="1214"/>
      <c r="H8" s="1215"/>
      <c r="I8" s="1216">
        <f t="shared" si="0"/>
        <v>0</v>
      </c>
    </row>
    <row r="9" spans="1:9">
      <c r="A9" s="3274"/>
      <c r="B9" s="3275" t="s">
        <v>1059</v>
      </c>
      <c r="C9" s="3275"/>
      <c r="D9" s="1213"/>
      <c r="E9" s="1211"/>
      <c r="F9" s="1214"/>
      <c r="G9" s="1214"/>
      <c r="H9" s="1215"/>
      <c r="I9" s="1216">
        <f t="shared" si="0"/>
        <v>0</v>
      </c>
    </row>
    <row r="10" spans="1:9">
      <c r="A10" s="3274"/>
      <c r="B10" s="3276" t="s">
        <v>1060</v>
      </c>
      <c r="C10" s="3276"/>
      <c r="D10" s="1217"/>
      <c r="E10" s="1217" t="e">
        <f>ROUND(D1*10000/D10/H9,0)</f>
        <v>#DIV/0!</v>
      </c>
      <c r="F10" s="1218"/>
      <c r="G10" s="1218"/>
      <c r="H10" s="1219"/>
      <c r="I10" s="1220">
        <f>SUM(I3:I9)</f>
        <v>0</v>
      </c>
    </row>
    <row r="11" spans="1:9" ht="14.25">
      <c r="A11" s="3274" t="s">
        <v>1061</v>
      </c>
      <c r="B11" s="3275" t="s">
        <v>1062</v>
      </c>
      <c r="C11" s="3275"/>
      <c r="D11" s="1213" t="s">
        <v>1063</v>
      </c>
      <c r="E11" s="1213" t="s">
        <v>1064</v>
      </c>
      <c r="F11" s="1214" t="s">
        <v>1065</v>
      </c>
      <c r="G11" s="1214" t="s">
        <v>1051</v>
      </c>
      <c r="H11" s="1221" t="s">
        <v>1066</v>
      </c>
      <c r="I11" s="1212" t="s">
        <v>1052</v>
      </c>
    </row>
    <row r="12" spans="1:9">
      <c r="A12" s="3274"/>
      <c r="B12" s="3275" t="s">
        <v>1067</v>
      </c>
      <c r="C12" s="3275"/>
      <c r="D12" s="1213"/>
      <c r="E12" s="1213"/>
      <c r="F12" s="1214"/>
      <c r="G12" s="1215"/>
      <c r="H12" s="1222"/>
      <c r="I12" s="1212">
        <f>ROUND(D12*E12*F12*G12/10000,0)</f>
        <v>0</v>
      </c>
    </row>
    <row r="13" spans="1:9">
      <c r="A13" s="3274"/>
      <c r="B13" s="3275" t="s">
        <v>1068</v>
      </c>
      <c r="C13" s="3275"/>
      <c r="D13" s="1213"/>
      <c r="E13" s="1213"/>
      <c r="F13" s="1214"/>
      <c r="G13" s="1215"/>
      <c r="H13" s="1222"/>
      <c r="I13" s="1212">
        <f>ROUND(D13*E13*F13*G13/10000,0)</f>
        <v>0</v>
      </c>
    </row>
    <row r="14" spans="1:9">
      <c r="A14" s="3274"/>
      <c r="B14" s="3275" t="s">
        <v>1069</v>
      </c>
      <c r="C14" s="3275"/>
      <c r="D14" s="1213"/>
      <c r="E14" s="1213"/>
      <c r="F14" s="1214"/>
      <c r="G14" s="1215"/>
      <c r="H14" s="1222"/>
      <c r="I14" s="1212">
        <f>ROUND(D14*E14*F14*G14/10000,0)</f>
        <v>0</v>
      </c>
    </row>
    <row r="15" spans="1:9">
      <c r="A15" s="3274"/>
      <c r="B15" s="3276" t="s">
        <v>1060</v>
      </c>
      <c r="C15" s="3276"/>
      <c r="D15" s="1217"/>
      <c r="E15" s="1217">
        <f>SUM(E12:E14)</f>
        <v>0</v>
      </c>
      <c r="F15" s="1218"/>
      <c r="G15" s="1215"/>
      <c r="H15" s="1222"/>
      <c r="I15" s="1223">
        <f>SUM(I12:I14)</f>
        <v>0</v>
      </c>
    </row>
    <row r="16" spans="1:9" ht="24">
      <c r="A16" s="3274" t="s">
        <v>1070</v>
      </c>
      <c r="B16" s="3275" t="s">
        <v>1071</v>
      </c>
      <c r="C16" s="3275"/>
      <c r="D16" s="1213" t="s">
        <v>1047</v>
      </c>
      <c r="E16" s="1224" t="s">
        <v>1072</v>
      </c>
      <c r="F16" s="1214" t="s">
        <v>1073</v>
      </c>
      <c r="G16" s="1215" t="s">
        <v>1051</v>
      </c>
      <c r="H16" s="1221" t="s">
        <v>1066</v>
      </c>
      <c r="I16" s="1212" t="s">
        <v>1052</v>
      </c>
    </row>
    <row r="17" spans="1:9" ht="14.25">
      <c r="A17" s="3274"/>
      <c r="B17" s="3275" t="s">
        <v>1074</v>
      </c>
      <c r="C17" s="3275"/>
      <c r="D17" s="1213"/>
      <c r="E17" s="1213"/>
      <c r="F17" s="1214"/>
      <c r="G17" s="1215"/>
      <c r="H17" s="1225"/>
      <c r="I17" s="1226">
        <f>ROUND(D17*E17*F17*G17/10000,0)</f>
        <v>0</v>
      </c>
    </row>
    <row r="18" spans="1:9" ht="14.25">
      <c r="A18" s="3274"/>
      <c r="B18" s="3275" t="s">
        <v>1075</v>
      </c>
      <c r="C18" s="3275"/>
      <c r="D18" s="1213"/>
      <c r="E18" s="1213"/>
      <c r="F18" s="1214"/>
      <c r="G18" s="1215"/>
      <c r="H18" s="1225"/>
      <c r="I18" s="1226">
        <f>ROUND(D18*E18*F18*G18/10000,0)</f>
        <v>0</v>
      </c>
    </row>
    <row r="19" spans="1:9" ht="14.25">
      <c r="A19" s="3274"/>
      <c r="B19" s="3275" t="s">
        <v>1076</v>
      </c>
      <c r="C19" s="3275"/>
      <c r="D19" s="1213"/>
      <c r="E19" s="1213"/>
      <c r="F19" s="1214"/>
      <c r="G19" s="1215"/>
      <c r="H19" s="1225"/>
      <c r="I19" s="1226">
        <f>ROUND(D19*E19*F19*G19/10000,0)</f>
        <v>0</v>
      </c>
    </row>
    <row r="20" spans="1:9">
      <c r="A20" s="3274"/>
      <c r="B20" s="3276" t="s">
        <v>1060</v>
      </c>
      <c r="C20" s="3276"/>
      <c r="D20" s="1217">
        <f>SUM(D17:D19)</f>
        <v>0</v>
      </c>
      <c r="E20" s="1217"/>
      <c r="F20" s="1218"/>
      <c r="G20" s="1215"/>
      <c r="H20" s="1222"/>
      <c r="I20" s="1223">
        <f>SUM(I17:I19)</f>
        <v>0</v>
      </c>
    </row>
    <row r="21" spans="1:9">
      <c r="A21" s="3274" t="s">
        <v>1077</v>
      </c>
      <c r="B21" s="3278"/>
      <c r="C21" s="3278"/>
      <c r="D21" s="3278"/>
      <c r="E21" s="3278"/>
      <c r="F21" s="3278"/>
      <c r="G21" s="3278"/>
      <c r="H21" s="1504">
        <v>0.1</v>
      </c>
      <c r="I21" s="1220">
        <f>ROUND(I10*H21,0)</f>
        <v>0</v>
      </c>
    </row>
    <row r="22" spans="1:9" ht="14.25">
      <c r="A22" s="3279" t="s">
        <v>1078</v>
      </c>
      <c r="B22" s="3280"/>
      <c r="C22" s="3281"/>
      <c r="D22" s="1227" t="s">
        <v>1079</v>
      </c>
      <c r="E22" s="1227" t="s">
        <v>1080</v>
      </c>
      <c r="F22" s="1228" t="s">
        <v>1081</v>
      </c>
      <c r="G22" s="1228" t="s">
        <v>1082</v>
      </c>
      <c r="H22" s="1221" t="s">
        <v>1083</v>
      </c>
      <c r="I22" s="1212" t="s">
        <v>1084</v>
      </c>
    </row>
    <row r="23" spans="1:9" ht="14.25" thickBot="1">
      <c r="A23" s="3282"/>
      <c r="B23" s="3283"/>
      <c r="C23" s="3284"/>
      <c r="D23" s="1229"/>
      <c r="E23" s="1229"/>
      <c r="F23" s="1229"/>
      <c r="G23" s="1230"/>
      <c r="H23" s="1231"/>
      <c r="I23" s="1232">
        <f>ROUND(E23*D23*F23*(1-G23)/10000,0)</f>
        <v>0</v>
      </c>
    </row>
    <row r="26" spans="1:9">
      <c r="A26" s="1233" t="s">
        <v>1085</v>
      </c>
      <c r="B26" s="1233"/>
      <c r="C26" s="1233"/>
      <c r="D26" s="1233"/>
      <c r="E26" s="3285">
        <f>C27-C30-C31-C32</f>
        <v>0</v>
      </c>
      <c r="F26" s="3285"/>
      <c r="G26" s="3285"/>
      <c r="H26" s="1501" t="s">
        <v>1306</v>
      </c>
    </row>
    <row r="27" spans="1:9">
      <c r="A27" s="1234">
        <v>1</v>
      </c>
      <c r="B27" s="1235" t="s">
        <v>1086</v>
      </c>
      <c r="C27" s="1235">
        <f>C28+C29</f>
        <v>0</v>
      </c>
      <c r="D27" s="1235"/>
      <c r="E27" s="3286"/>
      <c r="F27" s="3286"/>
      <c r="G27" s="3286"/>
    </row>
    <row r="28" spans="1:9">
      <c r="A28" s="1236" t="s">
        <v>1087</v>
      </c>
      <c r="B28" s="1235" t="s">
        <v>1088</v>
      </c>
      <c r="C28" s="1235"/>
      <c r="D28" s="1235"/>
      <c r="E28" s="3286"/>
      <c r="F28" s="3286"/>
      <c r="G28" s="328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7"/>
      <c r="F32" s="3277"/>
      <c r="G32" s="3277"/>
    </row>
    <row r="33" spans="1:7" hidden="1">
      <c r="A33" s="3287" t="s">
        <v>1097</v>
      </c>
      <c r="B33" s="3288"/>
      <c r="C33" s="3288"/>
      <c r="D33" s="3289"/>
      <c r="E33" s="3285"/>
      <c r="F33" s="3285"/>
      <c r="G33" s="3285"/>
    </row>
    <row r="34" spans="1:7" hidden="1">
      <c r="A34" s="1238">
        <v>1</v>
      </c>
      <c r="B34" s="1235" t="s">
        <v>1098</v>
      </c>
      <c r="C34" s="1235"/>
      <c r="D34" s="1235"/>
      <c r="E34" s="3286"/>
      <c r="F34" s="3286"/>
      <c r="G34" s="3286"/>
    </row>
    <row r="35" spans="1:7" hidden="1">
      <c r="A35" s="1238">
        <v>2</v>
      </c>
      <c r="B35" s="1235" t="s">
        <v>1099</v>
      </c>
      <c r="C35" s="1235"/>
      <c r="D35" s="1235"/>
      <c r="E35" s="3286"/>
      <c r="F35" s="3286"/>
      <c r="G35" s="3286"/>
    </row>
    <row r="36" spans="1:7" hidden="1">
      <c r="A36" s="1238">
        <v>3</v>
      </c>
      <c r="B36" s="1235" t="s">
        <v>1100</v>
      </c>
      <c r="C36" s="1235"/>
      <c r="D36" s="1235"/>
      <c r="E36" s="3286"/>
      <c r="F36" s="3286"/>
      <c r="G36" s="3286"/>
    </row>
    <row r="37" spans="1:7" hidden="1">
      <c r="A37" s="1238">
        <v>4</v>
      </c>
      <c r="B37" s="1235" t="s">
        <v>1101</v>
      </c>
      <c r="C37" s="1235"/>
      <c r="D37" s="1235"/>
      <c r="E37" s="3286"/>
      <c r="F37" s="3286"/>
      <c r="G37" s="3286"/>
    </row>
    <row r="38" spans="1:7" hidden="1">
      <c r="A38" s="3287" t="s">
        <v>1102</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1266.6499999999999</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08" t="s">
        <v>2358</v>
      </c>
      <c r="D4" s="3309"/>
      <c r="E4" s="3310" t="s">
        <v>2359</v>
      </c>
      <c r="F4" s="3311"/>
      <c r="G4" s="3308" t="s">
        <v>2360</v>
      </c>
      <c r="H4" s="3309"/>
      <c r="I4" s="3308" t="s">
        <v>2361</v>
      </c>
      <c r="J4" s="3309"/>
      <c r="K4" s="2077" t="s">
        <v>2362</v>
      </c>
      <c r="L4" s="2943"/>
      <c r="M4" s="2944"/>
      <c r="N4" s="2944"/>
      <c r="O4" s="2944"/>
      <c r="P4" s="3312" t="s">
        <v>2363</v>
      </c>
      <c r="Q4" s="3313"/>
      <c r="R4" s="3295" t="s">
        <v>2359</v>
      </c>
      <c r="S4" s="3296"/>
      <c r="T4" s="3295" t="s">
        <v>2360</v>
      </c>
      <c r="U4" s="3296"/>
      <c r="V4" s="3320" t="s">
        <v>2361</v>
      </c>
      <c r="W4" s="3320"/>
      <c r="X4" s="1541"/>
      <c r="Y4" s="3295" t="s">
        <v>2363</v>
      </c>
      <c r="Z4" s="3296"/>
      <c r="AA4" s="3290" t="s">
        <v>2359</v>
      </c>
      <c r="AB4" s="3290" t="s">
        <v>2360</v>
      </c>
      <c r="AC4" s="3290" t="s">
        <v>2361</v>
      </c>
    </row>
    <row r="5" spans="1:29" ht="15">
      <c r="A5" s="364"/>
      <c r="B5" s="365"/>
      <c r="C5" s="3301" t="s">
        <v>2364</v>
      </c>
      <c r="D5" s="3302"/>
      <c r="E5" s="3299" t="s">
        <v>2365</v>
      </c>
      <c r="F5" s="3300"/>
      <c r="G5" s="3301" t="s">
        <v>2366</v>
      </c>
      <c r="H5" s="3302"/>
      <c r="I5" s="3301" t="s">
        <v>2367</v>
      </c>
      <c r="J5" s="3302"/>
      <c r="K5" s="2078"/>
      <c r="L5" s="2943"/>
      <c r="M5" s="2944"/>
      <c r="N5" s="2944"/>
      <c r="O5" s="2944"/>
      <c r="P5" s="3314"/>
      <c r="Q5" s="3315"/>
      <c r="R5" s="3297"/>
      <c r="S5" s="3298"/>
      <c r="T5" s="3297"/>
      <c r="U5" s="3298"/>
      <c r="V5" s="3320"/>
      <c r="W5" s="3320"/>
      <c r="X5" s="1541"/>
      <c r="Y5" s="3297"/>
      <c r="Z5" s="3298"/>
      <c r="AA5" s="3291"/>
      <c r="AB5" s="3291"/>
      <c r="AC5" s="3291"/>
    </row>
    <row r="6" spans="1:29" ht="15.75" thickBot="1">
      <c r="A6" s="366"/>
      <c r="B6" s="367"/>
      <c r="C6" s="3303" t="s">
        <v>2368</v>
      </c>
      <c r="D6" s="3304"/>
      <c r="E6" s="3305" t="s">
        <v>2368</v>
      </c>
      <c r="F6" s="3306"/>
      <c r="G6" s="3303" t="s">
        <v>2368</v>
      </c>
      <c r="H6" s="3304"/>
      <c r="I6" s="3303" t="s">
        <v>2368</v>
      </c>
      <c r="J6" s="3304"/>
      <c r="K6" s="2078" t="s">
        <v>2369</v>
      </c>
      <c r="L6" s="2943"/>
      <c r="M6" s="2944"/>
      <c r="N6" s="2944"/>
      <c r="O6" s="2944"/>
      <c r="P6" s="3316"/>
      <c r="Q6" s="3317"/>
      <c r="R6" s="3297"/>
      <c r="S6" s="3298"/>
      <c r="T6" s="3318"/>
      <c r="U6" s="3319"/>
      <c r="V6" s="3320"/>
      <c r="W6" s="3320"/>
      <c r="X6" s="1541"/>
      <c r="Y6" s="3318"/>
      <c r="Z6" s="3319"/>
      <c r="AA6" s="3292"/>
      <c r="AB6" s="3292"/>
      <c r="AC6" s="3292"/>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293" t="s">
        <v>2371</v>
      </c>
      <c r="Q7" s="3321"/>
      <c r="R7" s="710" t="s">
        <v>23</v>
      </c>
      <c r="S7" s="711">
        <f t="shared" ref="S7:S15" si="0">F7</f>
        <v>0</v>
      </c>
      <c r="T7" s="710" t="s">
        <v>23</v>
      </c>
      <c r="U7" s="711">
        <f t="shared" ref="U7:U15" si="1">H7</f>
        <v>0</v>
      </c>
      <c r="V7" s="710" t="s">
        <v>23</v>
      </c>
      <c r="W7" s="711">
        <f t="shared" ref="W7:W15" si="2">J7</f>
        <v>0</v>
      </c>
      <c r="X7" s="712"/>
      <c r="Y7" s="3293" t="s">
        <v>2371</v>
      </c>
      <c r="Z7" s="3294"/>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293" t="s">
        <v>2374</v>
      </c>
      <c r="Q8" s="3294"/>
      <c r="R8" s="710" t="s">
        <v>23</v>
      </c>
      <c r="S8" s="711">
        <f t="shared" si="0"/>
        <v>0</v>
      </c>
      <c r="T8" s="710" t="s">
        <v>23</v>
      </c>
      <c r="U8" s="711">
        <f t="shared" si="1"/>
        <v>0</v>
      </c>
      <c r="V8" s="710" t="s">
        <v>23</v>
      </c>
      <c r="W8" s="711">
        <f t="shared" si="2"/>
        <v>0</v>
      </c>
      <c r="X8" s="712"/>
      <c r="Y8" s="3293" t="s">
        <v>2374</v>
      </c>
      <c r="Z8" s="3294"/>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07" t="s">
        <v>2377</v>
      </c>
      <c r="Q9" s="1529" t="str">
        <f t="shared" ref="Q9:Q15" si="6">B9</f>
        <v>用途</v>
      </c>
      <c r="R9" s="710" t="s">
        <v>17</v>
      </c>
      <c r="S9" s="711">
        <f t="shared" si="0"/>
        <v>100</v>
      </c>
      <c r="T9" s="710" t="s">
        <v>17</v>
      </c>
      <c r="U9" s="711">
        <f t="shared" si="1"/>
        <v>100</v>
      </c>
      <c r="V9" s="710" t="s">
        <v>17</v>
      </c>
      <c r="W9" s="711">
        <f t="shared" si="2"/>
        <v>100</v>
      </c>
      <c r="X9" s="712"/>
      <c r="Y9" s="323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7"/>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7"/>
      <c r="Q11" s="1529" t="str">
        <f t="shared" si="6"/>
        <v>容积率</v>
      </c>
      <c r="R11" s="710" t="s">
        <v>21</v>
      </c>
      <c r="S11" s="711" t="e">
        <f t="shared" si="0"/>
        <v>#N/A</v>
      </c>
      <c r="T11" s="710" t="s">
        <v>21</v>
      </c>
      <c r="U11" s="711" t="e">
        <f t="shared" si="1"/>
        <v>#N/A</v>
      </c>
      <c r="V11" s="710" t="s">
        <v>21</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07"/>
      <c r="Q12" s="1529">
        <f t="shared" si="6"/>
        <v>111</v>
      </c>
      <c r="R12" s="710" t="s">
        <v>21</v>
      </c>
      <c r="S12" s="711">
        <f t="shared" si="0"/>
        <v>100</v>
      </c>
      <c r="T12" s="710" t="s">
        <v>21</v>
      </c>
      <c r="U12" s="711">
        <f t="shared" si="1"/>
        <v>100</v>
      </c>
      <c r="V12" s="710" t="s">
        <v>21</v>
      </c>
      <c r="W12" s="711">
        <f t="shared" si="2"/>
        <v>100</v>
      </c>
      <c r="X12" s="712"/>
      <c r="Y12" s="323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07"/>
      <c r="Q13" s="1529">
        <f t="shared" si="6"/>
        <v>111</v>
      </c>
      <c r="R13" s="710" t="s">
        <v>21</v>
      </c>
      <c r="S13" s="711">
        <f t="shared" si="0"/>
        <v>100</v>
      </c>
      <c r="T13" s="710" t="s">
        <v>21</v>
      </c>
      <c r="U13" s="711">
        <f t="shared" si="1"/>
        <v>100</v>
      </c>
      <c r="V13" s="710" t="s">
        <v>21</v>
      </c>
      <c r="W13" s="711">
        <f t="shared" si="2"/>
        <v>100</v>
      </c>
      <c r="X13" s="712"/>
      <c r="Y13" s="3235"/>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07"/>
      <c r="Q14" s="1529">
        <f t="shared" si="6"/>
        <v>111</v>
      </c>
      <c r="R14" s="710" t="s">
        <v>21</v>
      </c>
      <c r="S14" s="711">
        <f t="shared" si="0"/>
        <v>100</v>
      </c>
      <c r="T14" s="710" t="s">
        <v>21</v>
      </c>
      <c r="U14" s="711">
        <f t="shared" si="1"/>
        <v>100</v>
      </c>
      <c r="V14" s="710" t="s">
        <v>21</v>
      </c>
      <c r="W14" s="711">
        <f t="shared" si="2"/>
        <v>100</v>
      </c>
      <c r="X14" s="712"/>
      <c r="Y14" s="3235"/>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4" t="s">
        <v>2382</v>
      </c>
      <c r="Q15" s="1538" t="str">
        <f t="shared" si="6"/>
        <v>居住社区成熟度</v>
      </c>
      <c r="R15" s="714" t="s">
        <v>21</v>
      </c>
      <c r="S15" s="715">
        <f t="shared" si="0"/>
        <v>100</v>
      </c>
      <c r="T15" s="714" t="s">
        <v>21</v>
      </c>
      <c r="U15" s="715">
        <f t="shared" si="1"/>
        <v>100</v>
      </c>
      <c r="V15" s="714" t="s">
        <v>21</v>
      </c>
      <c r="W15" s="715">
        <f t="shared" si="2"/>
        <v>100</v>
      </c>
      <c r="X15" s="1541"/>
      <c r="Y15" s="3327"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35"/>
      <c r="Q16" s="1538"/>
      <c r="R16" s="714"/>
      <c r="S16" s="715"/>
      <c r="T16" s="714"/>
      <c r="U16" s="715"/>
      <c r="V16" s="714"/>
      <c r="W16" s="715"/>
      <c r="X16" s="1541"/>
      <c r="Y16" s="332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5"/>
      <c r="Q17" s="1538" t="str">
        <f>B17</f>
        <v>交通便捷度</v>
      </c>
      <c r="R17" s="714" t="s">
        <v>21</v>
      </c>
      <c r="S17" s="715">
        <f>F17</f>
        <v>100</v>
      </c>
      <c r="T17" s="714" t="s">
        <v>21</v>
      </c>
      <c r="U17" s="715">
        <f>H17</f>
        <v>100</v>
      </c>
      <c r="V17" s="714" t="s">
        <v>21</v>
      </c>
      <c r="W17" s="715">
        <f>J17</f>
        <v>100</v>
      </c>
      <c r="X17" s="1541"/>
      <c r="Y17" s="332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35"/>
      <c r="Q18" s="1538"/>
      <c r="R18" s="714"/>
      <c r="S18" s="715"/>
      <c r="T18" s="714"/>
      <c r="U18" s="715"/>
      <c r="V18" s="714"/>
      <c r="W18" s="715"/>
      <c r="X18" s="1541"/>
      <c r="Y18" s="3328"/>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5"/>
      <c r="Q19" s="1538" t="str">
        <f>B19</f>
        <v>公共配套设施</v>
      </c>
      <c r="R19" s="714" t="s">
        <v>21</v>
      </c>
      <c r="S19" s="715">
        <f>F19</f>
        <v>100</v>
      </c>
      <c r="T19" s="714" t="s">
        <v>21</v>
      </c>
      <c r="U19" s="715">
        <f>H19</f>
        <v>100</v>
      </c>
      <c r="V19" s="714" t="s">
        <v>21</v>
      </c>
      <c r="W19" s="715">
        <f>J19</f>
        <v>100</v>
      </c>
      <c r="X19" s="1541"/>
      <c r="Y19" s="332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35"/>
      <c r="Q20" s="1538"/>
      <c r="R20" s="714"/>
      <c r="S20" s="715"/>
      <c r="T20" s="714"/>
      <c r="U20" s="715"/>
      <c r="V20" s="714"/>
      <c r="W20" s="715"/>
      <c r="X20" s="1541"/>
      <c r="Y20" s="3328"/>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5"/>
      <c r="Q21" s="1538" t="str">
        <f>B21</f>
        <v>基础设施水平</v>
      </c>
      <c r="R21" s="714" t="s">
        <v>17</v>
      </c>
      <c r="S21" s="715">
        <f>F21</f>
        <v>100</v>
      </c>
      <c r="T21" s="714" t="s">
        <v>17</v>
      </c>
      <c r="U21" s="715">
        <f>H21</f>
        <v>100</v>
      </c>
      <c r="V21" s="714" t="s">
        <v>17</v>
      </c>
      <c r="W21" s="715">
        <f>J21</f>
        <v>100</v>
      </c>
      <c r="X21" s="1541"/>
      <c r="Y21" s="332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35"/>
      <c r="Q22" s="1538"/>
      <c r="R22" s="714"/>
      <c r="S22" s="715"/>
      <c r="T22" s="714"/>
      <c r="U22" s="715"/>
      <c r="V22" s="714"/>
      <c r="W22" s="715"/>
      <c r="X22" s="1541"/>
      <c r="Y22" s="3328"/>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5"/>
      <c r="Q23" s="1538" t="str">
        <f>B23</f>
        <v>自然及人文环境</v>
      </c>
      <c r="R23" s="714" t="s">
        <v>21</v>
      </c>
      <c r="S23" s="715">
        <f>F23</f>
        <v>100</v>
      </c>
      <c r="T23" s="714" t="s">
        <v>21</v>
      </c>
      <c r="U23" s="715">
        <f>H23</f>
        <v>100</v>
      </c>
      <c r="V23" s="714" t="s">
        <v>21</v>
      </c>
      <c r="W23" s="715">
        <f>J23</f>
        <v>100</v>
      </c>
      <c r="X23" s="1541"/>
      <c r="Y23" s="332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35"/>
      <c r="Q24" s="1538"/>
      <c r="R24" s="714"/>
      <c r="S24" s="715"/>
      <c r="T24" s="714"/>
      <c r="U24" s="715"/>
      <c r="V24" s="714"/>
      <c r="W24" s="715"/>
      <c r="X24" s="1541"/>
      <c r="Y24" s="3328"/>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35"/>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28"/>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35"/>
      <c r="Q26" s="1538" t="str">
        <f t="shared" si="11"/>
        <v>朝向</v>
      </c>
      <c r="R26" s="714" t="s">
        <v>21</v>
      </c>
      <c r="S26" s="715">
        <f t="shared" si="12"/>
        <v>100</v>
      </c>
      <c r="T26" s="714" t="s">
        <v>21</v>
      </c>
      <c r="U26" s="715">
        <f t="shared" si="13"/>
        <v>100</v>
      </c>
      <c r="V26" s="714" t="s">
        <v>21</v>
      </c>
      <c r="W26" s="715">
        <f t="shared" si="14"/>
        <v>100</v>
      </c>
      <c r="X26" s="1541"/>
      <c r="Y26" s="332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35"/>
      <c r="Q27" s="1529">
        <f t="shared" si="11"/>
        <v>111</v>
      </c>
      <c r="R27" s="710" t="s">
        <v>21</v>
      </c>
      <c r="S27" s="711">
        <f t="shared" si="12"/>
        <v>100</v>
      </c>
      <c r="T27" s="710" t="s">
        <v>21</v>
      </c>
      <c r="U27" s="711">
        <f t="shared" si="13"/>
        <v>100</v>
      </c>
      <c r="V27" s="710" t="s">
        <v>21</v>
      </c>
      <c r="W27" s="711">
        <f t="shared" si="14"/>
        <v>100</v>
      </c>
      <c r="X27" s="712"/>
      <c r="Y27" s="332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35"/>
      <c r="Q28" s="1538">
        <f t="shared" si="11"/>
        <v>111</v>
      </c>
      <c r="R28" s="714" t="s">
        <v>21</v>
      </c>
      <c r="S28" s="715">
        <f t="shared" si="12"/>
        <v>100</v>
      </c>
      <c r="T28" s="714" t="s">
        <v>21</v>
      </c>
      <c r="U28" s="715">
        <f t="shared" si="13"/>
        <v>100</v>
      </c>
      <c r="V28" s="714" t="s">
        <v>21</v>
      </c>
      <c r="W28" s="715">
        <f t="shared" si="14"/>
        <v>100</v>
      </c>
      <c r="X28" s="1541"/>
      <c r="Y28" s="332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35"/>
      <c r="Q29" s="1538">
        <f t="shared" si="11"/>
        <v>111</v>
      </c>
      <c r="R29" s="714" t="s">
        <v>21</v>
      </c>
      <c r="S29" s="715">
        <f t="shared" si="12"/>
        <v>100</v>
      </c>
      <c r="T29" s="714" t="s">
        <v>21</v>
      </c>
      <c r="U29" s="715">
        <f t="shared" si="13"/>
        <v>100</v>
      </c>
      <c r="V29" s="714" t="s">
        <v>21</v>
      </c>
      <c r="W29" s="715">
        <f t="shared" si="14"/>
        <v>100</v>
      </c>
      <c r="X29" s="1541"/>
      <c r="Y29" s="332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35"/>
      <c r="Q30" s="1538">
        <f t="shared" si="11"/>
        <v>111</v>
      </c>
      <c r="R30" s="714" t="s">
        <v>21</v>
      </c>
      <c r="S30" s="715">
        <f t="shared" si="12"/>
        <v>100</v>
      </c>
      <c r="T30" s="714" t="s">
        <v>21</v>
      </c>
      <c r="U30" s="715">
        <f t="shared" si="13"/>
        <v>100</v>
      </c>
      <c r="V30" s="714" t="s">
        <v>21</v>
      </c>
      <c r="W30" s="715">
        <f t="shared" si="14"/>
        <v>100</v>
      </c>
      <c r="X30" s="1541"/>
      <c r="Y30" s="332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35"/>
      <c r="Q31" s="1538">
        <f t="shared" si="11"/>
        <v>111</v>
      </c>
      <c r="R31" s="714" t="s">
        <v>21</v>
      </c>
      <c r="S31" s="715">
        <f t="shared" si="12"/>
        <v>100</v>
      </c>
      <c r="T31" s="714" t="s">
        <v>21</v>
      </c>
      <c r="U31" s="715">
        <f t="shared" si="13"/>
        <v>100</v>
      </c>
      <c r="V31" s="714" t="s">
        <v>21</v>
      </c>
      <c r="W31" s="715">
        <f t="shared" si="14"/>
        <v>100</v>
      </c>
      <c r="X31" s="1541"/>
      <c r="Y31" s="3328"/>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29" t="s">
        <v>2387</v>
      </c>
      <c r="Q32" s="1538" t="str">
        <f t="shared" si="11"/>
        <v>建筑类型</v>
      </c>
      <c r="R32" s="714" t="s">
        <v>21</v>
      </c>
      <c r="S32" s="715">
        <f t="shared" si="12"/>
        <v>100</v>
      </c>
      <c r="T32" s="714" t="s">
        <v>21</v>
      </c>
      <c r="U32" s="715">
        <f t="shared" si="13"/>
        <v>100</v>
      </c>
      <c r="V32" s="714" t="s">
        <v>21</v>
      </c>
      <c r="W32" s="715">
        <f t="shared" si="14"/>
        <v>100</v>
      </c>
      <c r="X32" s="1541"/>
      <c r="Y32" s="3332"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30"/>
      <c r="Q33" s="716" t="str">
        <f t="shared" si="11"/>
        <v>项目建筑规模</v>
      </c>
      <c r="R33" s="717" t="s">
        <v>21</v>
      </c>
      <c r="S33" s="718" t="e">
        <f t="shared" si="12"/>
        <v>#N/A</v>
      </c>
      <c r="T33" s="717" t="s">
        <v>21</v>
      </c>
      <c r="U33" s="718" t="e">
        <f t="shared" si="13"/>
        <v>#N/A</v>
      </c>
      <c r="V33" s="717" t="s">
        <v>21</v>
      </c>
      <c r="W33" s="718" t="e">
        <f t="shared" si="14"/>
        <v>#N/A</v>
      </c>
      <c r="X33" s="719"/>
      <c r="Y33" s="3332"/>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30"/>
      <c r="Q34" s="1538" t="str">
        <f t="shared" si="11"/>
        <v>建筑结构</v>
      </c>
      <c r="R34" s="714" t="s">
        <v>21</v>
      </c>
      <c r="S34" s="715">
        <f t="shared" si="12"/>
        <v>100</v>
      </c>
      <c r="T34" s="714" t="s">
        <v>21</v>
      </c>
      <c r="U34" s="715">
        <f t="shared" si="13"/>
        <v>100</v>
      </c>
      <c r="V34" s="714" t="s">
        <v>21</v>
      </c>
      <c r="W34" s="715">
        <f t="shared" si="14"/>
        <v>100</v>
      </c>
      <c r="X34" s="1541"/>
      <c r="Y34" s="3332"/>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30"/>
      <c r="Q35" s="1538" t="str">
        <f t="shared" si="11"/>
        <v>建筑品质</v>
      </c>
      <c r="R35" s="714" t="s">
        <v>21</v>
      </c>
      <c r="S35" s="715">
        <f t="shared" si="12"/>
        <v>100</v>
      </c>
      <c r="T35" s="714" t="s">
        <v>21</v>
      </c>
      <c r="U35" s="715">
        <f t="shared" si="13"/>
        <v>100</v>
      </c>
      <c r="V35" s="714" t="s">
        <v>21</v>
      </c>
      <c r="W35" s="715">
        <f t="shared" si="14"/>
        <v>100</v>
      </c>
      <c r="X35" s="1541"/>
      <c r="Y35" s="3332"/>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30"/>
      <c r="Q36" s="1538" t="str">
        <f t="shared" si="11"/>
        <v>公共部分装修</v>
      </c>
      <c r="R36" s="714" t="s">
        <v>21</v>
      </c>
      <c r="S36" s="715">
        <f t="shared" si="12"/>
        <v>100</v>
      </c>
      <c r="T36" s="714" t="s">
        <v>21</v>
      </c>
      <c r="U36" s="715">
        <f t="shared" si="13"/>
        <v>100</v>
      </c>
      <c r="V36" s="714" t="s">
        <v>21</v>
      </c>
      <c r="W36" s="715">
        <f t="shared" si="14"/>
        <v>100</v>
      </c>
      <c r="X36" s="1541"/>
      <c r="Y36" s="3332"/>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30"/>
      <c r="Q37" s="1529" t="str">
        <f t="shared" si="11"/>
        <v>成新度</v>
      </c>
      <c r="R37" s="710" t="s">
        <v>21</v>
      </c>
      <c r="S37" s="711" t="e">
        <f t="shared" si="12"/>
        <v>#N/A</v>
      </c>
      <c r="T37" s="710" t="s">
        <v>21</v>
      </c>
      <c r="U37" s="711" t="e">
        <f t="shared" si="13"/>
        <v>#N/A</v>
      </c>
      <c r="V37" s="710" t="s">
        <v>21</v>
      </c>
      <c r="W37" s="711" t="e">
        <f t="shared" si="14"/>
        <v>#N/A</v>
      </c>
      <c r="X37" s="712"/>
      <c r="Y37" s="3332"/>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30" t="s">
        <v>2387</v>
      </c>
      <c r="Q38" s="1538" t="str">
        <f t="shared" si="11"/>
        <v>物业管理</v>
      </c>
      <c r="R38" s="714" t="s">
        <v>21</v>
      </c>
      <c r="S38" s="715">
        <f t="shared" si="12"/>
        <v>100</v>
      </c>
      <c r="T38" s="714" t="s">
        <v>21</v>
      </c>
      <c r="U38" s="715">
        <f t="shared" si="13"/>
        <v>100</v>
      </c>
      <c r="V38" s="714" t="s">
        <v>21</v>
      </c>
      <c r="W38" s="715">
        <f t="shared" si="14"/>
        <v>100</v>
      </c>
      <c r="X38" s="1541"/>
      <c r="Y38" s="3332"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30"/>
      <c r="Q39" s="1538" t="str">
        <f t="shared" si="11"/>
        <v>市政基础设施</v>
      </c>
      <c r="R39" s="714" t="s">
        <v>21</v>
      </c>
      <c r="S39" s="715">
        <f t="shared" si="12"/>
        <v>100</v>
      </c>
      <c r="T39" s="714" t="s">
        <v>21</v>
      </c>
      <c r="U39" s="715">
        <f t="shared" si="13"/>
        <v>100</v>
      </c>
      <c r="V39" s="714" t="s">
        <v>21</v>
      </c>
      <c r="W39" s="715">
        <f t="shared" si="14"/>
        <v>100</v>
      </c>
      <c r="X39" s="1541"/>
      <c r="Y39" s="3332"/>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30"/>
      <c r="Q40" s="1538" t="str">
        <f t="shared" si="11"/>
        <v>房型</v>
      </c>
      <c r="R40" s="714" t="s">
        <v>21</v>
      </c>
      <c r="S40" s="715">
        <f t="shared" si="12"/>
        <v>100</v>
      </c>
      <c r="T40" s="714" t="s">
        <v>21</v>
      </c>
      <c r="U40" s="715">
        <f t="shared" si="13"/>
        <v>100</v>
      </c>
      <c r="V40" s="714" t="s">
        <v>21</v>
      </c>
      <c r="W40" s="715">
        <f t="shared" si="14"/>
        <v>100</v>
      </c>
      <c r="X40" s="1541"/>
      <c r="Y40" s="3332"/>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30"/>
      <c r="Q41" s="716" t="str">
        <f t="shared" si="11"/>
        <v>单套/主力户型建筑面积</v>
      </c>
      <c r="R41" s="717" t="s">
        <v>21</v>
      </c>
      <c r="S41" s="718">
        <f t="shared" si="12"/>
        <v>100</v>
      </c>
      <c r="T41" s="717" t="s">
        <v>21</v>
      </c>
      <c r="U41" s="718">
        <f t="shared" si="13"/>
        <v>100</v>
      </c>
      <c r="V41" s="717" t="s">
        <v>21</v>
      </c>
      <c r="W41" s="718">
        <f t="shared" si="14"/>
        <v>100</v>
      </c>
      <c r="X41" s="719"/>
      <c r="Y41" s="3332"/>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30"/>
      <c r="Q42" s="1538" t="str">
        <f t="shared" si="11"/>
        <v>内部装修</v>
      </c>
      <c r="R42" s="714" t="s">
        <v>21</v>
      </c>
      <c r="S42" s="715">
        <f t="shared" si="12"/>
        <v>100</v>
      </c>
      <c r="T42" s="714" t="s">
        <v>21</v>
      </c>
      <c r="U42" s="715">
        <f t="shared" si="13"/>
        <v>100</v>
      </c>
      <c r="V42" s="714" t="s">
        <v>21</v>
      </c>
      <c r="W42" s="715">
        <f t="shared" si="14"/>
        <v>100</v>
      </c>
      <c r="X42" s="1541"/>
      <c r="Y42" s="3332"/>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30"/>
      <c r="Q43" s="1538" t="str">
        <f t="shared" si="11"/>
        <v>内部装修维护情况</v>
      </c>
      <c r="R43" s="714" t="s">
        <v>21</v>
      </c>
      <c r="S43" s="715">
        <f t="shared" si="12"/>
        <v>100</v>
      </c>
      <c r="T43" s="714" t="s">
        <v>21</v>
      </c>
      <c r="U43" s="715">
        <f t="shared" si="13"/>
        <v>100</v>
      </c>
      <c r="V43" s="714" t="s">
        <v>21</v>
      </c>
      <c r="W43" s="715">
        <f t="shared" si="14"/>
        <v>100</v>
      </c>
      <c r="X43" s="1541"/>
      <c r="Y43" s="3332"/>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30"/>
      <c r="Q44" s="1529">
        <f t="shared" si="11"/>
        <v>111</v>
      </c>
      <c r="R44" s="710" t="s">
        <v>21</v>
      </c>
      <c r="S44" s="711">
        <f t="shared" si="12"/>
        <v>100</v>
      </c>
      <c r="T44" s="710" t="s">
        <v>21</v>
      </c>
      <c r="U44" s="711">
        <f t="shared" si="13"/>
        <v>100</v>
      </c>
      <c r="V44" s="710" t="s">
        <v>21</v>
      </c>
      <c r="W44" s="711">
        <f t="shared" si="14"/>
        <v>100</v>
      </c>
      <c r="X44" s="712"/>
      <c r="Y44" s="333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30"/>
      <c r="Q45" s="1538">
        <f t="shared" si="11"/>
        <v>111</v>
      </c>
      <c r="R45" s="714" t="s">
        <v>21</v>
      </c>
      <c r="S45" s="715">
        <f t="shared" si="12"/>
        <v>100</v>
      </c>
      <c r="T45" s="714" t="s">
        <v>21</v>
      </c>
      <c r="U45" s="715">
        <f t="shared" si="13"/>
        <v>100</v>
      </c>
      <c r="V45" s="714" t="s">
        <v>21</v>
      </c>
      <c r="W45" s="715">
        <f t="shared" si="14"/>
        <v>100</v>
      </c>
      <c r="X45" s="1541"/>
      <c r="Y45" s="3332"/>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31"/>
      <c r="Q46" s="1538">
        <f t="shared" si="11"/>
        <v>111</v>
      </c>
      <c r="R46" s="714" t="s">
        <v>20</v>
      </c>
      <c r="S46" s="715">
        <f t="shared" si="12"/>
        <v>100</v>
      </c>
      <c r="T46" s="714" t="s">
        <v>20</v>
      </c>
      <c r="U46" s="715">
        <f t="shared" si="13"/>
        <v>100</v>
      </c>
      <c r="V46" s="714" t="s">
        <v>20</v>
      </c>
      <c r="W46" s="715">
        <f t="shared" si="14"/>
        <v>100</v>
      </c>
      <c r="X46" s="1541"/>
      <c r="Y46" s="3333"/>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25" t="str">
        <f>A47</f>
        <v>成交单价（元/平方米）</v>
      </c>
      <c r="Q47" s="3325"/>
      <c r="R47" s="3326">
        <f>E47</f>
        <v>0</v>
      </c>
      <c r="S47" s="3326"/>
      <c r="T47" s="3326">
        <f>G47</f>
        <v>0</v>
      </c>
      <c r="U47" s="3326"/>
      <c r="V47" s="3326">
        <f>I47</f>
        <v>0</v>
      </c>
      <c r="W47" s="3326"/>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25" t="str">
        <f>A48</f>
        <v>比较价值（元/平方米）</v>
      </c>
      <c r="Q48" s="3325"/>
      <c r="R48" s="3326" t="e">
        <f>IF(F1="售价",ROUND(PRODUCT(R47,AA7:AA46),0),ROUND(PRODUCT(R47,AA7:AA46),1))</f>
        <v>#DIV/0!</v>
      </c>
      <c r="S48" s="3326"/>
      <c r="T48" s="3326" t="e">
        <f>IF(F1="售价",ROUND(PRODUCT(T47,AB7:AB46),0),ROUND(PRODUCT(T47,AB7:AB46),1))</f>
        <v>#DIV/0!</v>
      </c>
      <c r="U48" s="3326"/>
      <c r="V48" s="3326" t="e">
        <f>IF(F1="售价",ROUND(PRODUCT(V47,AC7:AC46),0),ROUND(PRODUCT(V47,AC7:AC46),1))</f>
        <v>#DIV/0!</v>
      </c>
      <c r="W48" s="3326"/>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22" t="str">
        <f>A49</f>
        <v>估价对象XX用房的比较价值（楼面单价，元/平方米）</v>
      </c>
      <c r="Q49" s="3323"/>
      <c r="R49" s="3324" t="e">
        <f>IF(F1="售价",ROUND(IF(D48="简单平均",AVERAGE(R48:V48),R48*F48+T48*H48+V48*J48),0),ROUND(IF(D48="简单平均",AVERAGE(R48:V48),R48*F48+T48*H48+V48*J48),1))</f>
        <v>#DIV/0!</v>
      </c>
      <c r="S49" s="3324"/>
      <c r="T49" s="3324"/>
      <c r="U49" s="3324"/>
      <c r="V49" s="3324"/>
      <c r="W49" s="332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K19" sqref="K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405</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32242</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295" t="s">
        <v>2469</v>
      </c>
      <c r="S4" s="3296"/>
      <c r="T4" s="3295" t="s">
        <v>2470</v>
      </c>
      <c r="U4" s="3296"/>
      <c r="V4" s="3320" t="s">
        <v>2471</v>
      </c>
      <c r="W4" s="3320"/>
      <c r="X4" s="1541"/>
      <c r="Y4" s="3295" t="s">
        <v>2473</v>
      </c>
      <c r="Z4" s="3296"/>
      <c r="AA4" s="3290" t="s">
        <v>2469</v>
      </c>
      <c r="AB4" s="3320" t="s">
        <v>2470</v>
      </c>
      <c r="AC4" s="3290" t="s">
        <v>2471</v>
      </c>
    </row>
    <row r="5" spans="1:29" ht="15">
      <c r="A5" s="364"/>
      <c r="B5" s="365"/>
      <c r="C5" s="3301" t="s">
        <v>2364</v>
      </c>
      <c r="D5" s="3302"/>
      <c r="E5" s="3299" t="s">
        <v>2365</v>
      </c>
      <c r="F5" s="3300"/>
      <c r="G5" s="3301" t="s">
        <v>2366</v>
      </c>
      <c r="H5" s="3302"/>
      <c r="I5" s="3301" t="s">
        <v>2367</v>
      </c>
      <c r="J5" s="3302"/>
      <c r="K5" s="567"/>
      <c r="L5" s="2943"/>
      <c r="M5" s="2944"/>
      <c r="N5" s="2944"/>
      <c r="O5" s="2944"/>
      <c r="P5" s="3314"/>
      <c r="Q5" s="3315"/>
      <c r="R5" s="3297"/>
      <c r="S5" s="3298"/>
      <c r="T5" s="3297"/>
      <c r="U5" s="3298"/>
      <c r="V5" s="3320"/>
      <c r="W5" s="3320"/>
      <c r="X5" s="1541"/>
      <c r="Y5" s="3297"/>
      <c r="Z5" s="3298"/>
      <c r="AA5" s="3291"/>
      <c r="AB5" s="3320"/>
      <c r="AC5" s="3291"/>
    </row>
    <row r="6" spans="1:29" ht="15.75" thickBot="1">
      <c r="A6" s="366"/>
      <c r="B6" s="367"/>
      <c r="C6" s="3303" t="s">
        <v>2368</v>
      </c>
      <c r="D6" s="3304"/>
      <c r="E6" s="3305" t="s">
        <v>2368</v>
      </c>
      <c r="F6" s="3306"/>
      <c r="G6" s="3303" t="s">
        <v>2368</v>
      </c>
      <c r="H6" s="3304"/>
      <c r="I6" s="3303" t="s">
        <v>2368</v>
      </c>
      <c r="J6" s="3304"/>
      <c r="K6" s="567" t="s">
        <v>2369</v>
      </c>
      <c r="L6" s="2943"/>
      <c r="M6" s="2944"/>
      <c r="N6" s="2944"/>
      <c r="O6" s="2944"/>
      <c r="P6" s="3316"/>
      <c r="Q6" s="3317"/>
      <c r="R6" s="3297"/>
      <c r="S6" s="3298"/>
      <c r="T6" s="3318"/>
      <c r="U6" s="3319"/>
      <c r="V6" s="3320"/>
      <c r="W6" s="3320"/>
      <c r="X6" s="1541"/>
      <c r="Y6" s="3318"/>
      <c r="Z6" s="3319"/>
      <c r="AA6" s="3292"/>
      <c r="AB6" s="3320"/>
      <c r="AC6" s="3292"/>
    </row>
    <row r="7" spans="1:29" s="113" customFormat="1" ht="15.75" thickBot="1">
      <c r="A7" s="368" t="s">
        <v>2370</v>
      </c>
      <c r="B7" s="369"/>
      <c r="C7" s="370">
        <f>'数据-取费表'!B2</f>
        <v>44209</v>
      </c>
      <c r="D7" s="371">
        <v>100</v>
      </c>
      <c r="E7" s="372">
        <v>44209</v>
      </c>
      <c r="F7" s="373">
        <f>SUMIF(58:58,YEAR(E7)&amp;"-"&amp;MONTH(E7),59:59)</f>
        <v>100</v>
      </c>
      <c r="G7" s="372">
        <f>E7</f>
        <v>44209</v>
      </c>
      <c r="H7" s="371">
        <f>SUMIF(58:58,YEAR(G7)&amp;"-"&amp;MONTH(G7),59:59)</f>
        <v>100</v>
      </c>
      <c r="I7" s="372">
        <f>E7</f>
        <v>44209</v>
      </c>
      <c r="J7" s="371">
        <f>SUMIF(58:58,YEAR(I7)&amp;"-"&amp;MONTH(I7),59:59)</f>
        <v>100</v>
      </c>
      <c r="K7" s="568"/>
      <c r="L7" s="2945"/>
      <c r="M7" s="2946"/>
      <c r="N7" s="2946"/>
      <c r="O7" s="2946"/>
      <c r="P7" s="3293" t="s">
        <v>2371</v>
      </c>
      <c r="Q7" s="3321"/>
      <c r="R7" s="710" t="s">
        <v>17</v>
      </c>
      <c r="S7" s="711">
        <f t="shared" ref="S7:S15" si="0">F7</f>
        <v>100</v>
      </c>
      <c r="T7" s="710" t="s">
        <v>17</v>
      </c>
      <c r="U7" s="711">
        <f t="shared" ref="U7:U15" si="1">H7</f>
        <v>100</v>
      </c>
      <c r="V7" s="710" t="s">
        <v>17</v>
      </c>
      <c r="W7" s="711">
        <f t="shared" ref="W7:W15" si="2">J7</f>
        <v>100</v>
      </c>
      <c r="X7" s="712"/>
      <c r="Y7" s="3293" t="s">
        <v>2371</v>
      </c>
      <c r="Z7" s="3294"/>
      <c r="AA7" s="713">
        <f>D7/F7</f>
        <v>1</v>
      </c>
      <c r="AB7" s="713">
        <f>D7/H7</f>
        <v>1</v>
      </c>
      <c r="AC7" s="713">
        <f>D7/J7</f>
        <v>1</v>
      </c>
    </row>
    <row r="8" spans="1:29" s="113" customFormat="1" ht="15.75" thickBot="1">
      <c r="A8" s="368" t="s">
        <v>2372</v>
      </c>
      <c r="B8" s="369"/>
      <c r="C8" s="374" t="s">
        <v>2474</v>
      </c>
      <c r="D8" s="371">
        <v>100</v>
      </c>
      <c r="E8" s="374" t="s">
        <v>3092</v>
      </c>
      <c r="F8" s="373">
        <f>SUMIF(61:61,E8,62:62)-SUMIF(61:61,C8,62:62)+100</f>
        <v>100</v>
      </c>
      <c r="G8" s="374" t="s">
        <v>3092</v>
      </c>
      <c r="H8" s="371">
        <f>SUMIF(61:61,G8,62:62)-SUMIF(61:61,C8,62:62)+100</f>
        <v>100</v>
      </c>
      <c r="I8" s="374" t="s">
        <v>3092</v>
      </c>
      <c r="J8" s="371">
        <f>SUMIF(61:61,I8,62:62)-SUMIF(61:61,C8,62:62)+100</f>
        <v>100</v>
      </c>
      <c r="K8" s="568"/>
      <c r="L8" s="2945"/>
      <c r="M8" s="2946"/>
      <c r="N8" s="2946"/>
      <c r="O8" s="2946"/>
      <c r="P8" s="3293" t="s">
        <v>2374</v>
      </c>
      <c r="Q8" s="3294"/>
      <c r="R8" s="710" t="s">
        <v>17</v>
      </c>
      <c r="S8" s="711">
        <f t="shared" si="0"/>
        <v>100</v>
      </c>
      <c r="T8" s="710" t="s">
        <v>17</v>
      </c>
      <c r="U8" s="711">
        <f t="shared" si="1"/>
        <v>100</v>
      </c>
      <c r="V8" s="710" t="s">
        <v>17</v>
      </c>
      <c r="W8" s="711">
        <f t="shared" si="2"/>
        <v>100</v>
      </c>
      <c r="X8" s="712"/>
      <c r="Y8" s="3293" t="s">
        <v>2374</v>
      </c>
      <c r="Z8" s="3294"/>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378">
        <f>SUMIF(63:63,E9,64:64)-SUMIF(63:63,C9,64:64)+100</f>
        <v>105</v>
      </c>
      <c r="G9" s="3066" t="s">
        <v>1343</v>
      </c>
      <c r="H9" s="131">
        <f>SUMIF(63:63,G9,64:64)-SUMIF(63:63,C9,64:64)+100</f>
        <v>105</v>
      </c>
      <c r="I9" s="3066" t="s">
        <v>1343</v>
      </c>
      <c r="J9" s="131">
        <f>SUMIF(63:63,I9,64:64)-SUMIF(63:63,C9,64:64)+100</f>
        <v>105</v>
      </c>
      <c r="K9" s="568"/>
      <c r="L9" s="2945"/>
      <c r="M9" s="2946"/>
      <c r="N9" s="2946"/>
      <c r="O9" s="2946"/>
      <c r="P9" s="3307" t="s">
        <v>2377</v>
      </c>
      <c r="Q9" s="1529" t="str">
        <f t="shared" ref="Q9:Q15" si="6">B9</f>
        <v>用途</v>
      </c>
      <c r="R9" s="710" t="s">
        <v>17</v>
      </c>
      <c r="S9" s="711">
        <f t="shared" si="0"/>
        <v>105</v>
      </c>
      <c r="T9" s="710" t="s">
        <v>17</v>
      </c>
      <c r="U9" s="711">
        <f t="shared" si="1"/>
        <v>105</v>
      </c>
      <c r="V9" s="710" t="s">
        <v>17</v>
      </c>
      <c r="W9" s="711">
        <f t="shared" si="2"/>
        <v>105</v>
      </c>
      <c r="X9" s="712"/>
      <c r="Y9" s="3235"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c r="L10" s="2947"/>
      <c r="M10" s="2948"/>
      <c r="N10" s="2948"/>
      <c r="O10" s="2948"/>
      <c r="P10" s="3307"/>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07"/>
      <c r="Q11" s="1529" t="str">
        <f t="shared" si="6"/>
        <v>容积率</v>
      </c>
      <c r="R11" s="710" t="s">
        <v>17</v>
      </c>
      <c r="S11" s="711">
        <f t="shared" si="0"/>
        <v>100</v>
      </c>
      <c r="T11" s="710" t="s">
        <v>17</v>
      </c>
      <c r="U11" s="711">
        <f t="shared" si="1"/>
        <v>100</v>
      </c>
      <c r="V11" s="710" t="s">
        <v>17</v>
      </c>
      <c r="W11" s="711">
        <f t="shared" si="2"/>
        <v>100</v>
      </c>
      <c r="X11" s="712"/>
      <c r="Y11" s="3235"/>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7"/>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7"/>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7"/>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103</v>
      </c>
      <c r="G15" s="403"/>
      <c r="H15" s="400">
        <f>SUMIF(76:76,G16,77:77)-SUMIF(76:76,C16,77:77)+100</f>
        <v>100</v>
      </c>
      <c r="I15" s="401"/>
      <c r="J15" s="400">
        <f>SUMIF(76:76,I16,77:77)-SUMIF(76:76,C16,77:77)+100</f>
        <v>103</v>
      </c>
      <c r="K15" s="571">
        <v>3</v>
      </c>
      <c r="L15" s="2950"/>
      <c r="M15" s="2944"/>
      <c r="N15" s="2944"/>
      <c r="O15" s="2944"/>
      <c r="P15" s="3334" t="s">
        <v>2382</v>
      </c>
      <c r="Q15" s="1538" t="str">
        <f t="shared" si="6"/>
        <v>商业繁华度</v>
      </c>
      <c r="R15" s="714" t="s">
        <v>17</v>
      </c>
      <c r="S15" s="715">
        <f t="shared" si="0"/>
        <v>103</v>
      </c>
      <c r="T15" s="714" t="s">
        <v>17</v>
      </c>
      <c r="U15" s="715">
        <f t="shared" si="1"/>
        <v>100</v>
      </c>
      <c r="V15" s="714" t="s">
        <v>17</v>
      </c>
      <c r="W15" s="715">
        <f t="shared" si="2"/>
        <v>103</v>
      </c>
      <c r="X15" s="1541"/>
      <c r="Y15" s="3327" t="s">
        <v>2382</v>
      </c>
      <c r="Z15" s="1542" t="str">
        <f t="shared" si="7"/>
        <v>商业繁华度</v>
      </c>
      <c r="AA15" s="1539">
        <f t="shared" si="3"/>
        <v>0.970873786407767</v>
      </c>
      <c r="AB15" s="1539">
        <f t="shared" si="4"/>
        <v>1</v>
      </c>
      <c r="AC15" s="1539">
        <f t="shared" si="5"/>
        <v>0.970873786407767</v>
      </c>
    </row>
    <row r="16" spans="1:29" ht="15">
      <c r="A16" s="387"/>
      <c r="B16" s="405"/>
      <c r="C16" s="406" t="s">
        <v>3095</v>
      </c>
      <c r="D16" s="407"/>
      <c r="E16" s="406" t="s">
        <v>3096</v>
      </c>
      <c r="F16" s="408"/>
      <c r="G16" s="406" t="s">
        <v>3095</v>
      </c>
      <c r="H16" s="409"/>
      <c r="I16" s="406" t="s">
        <v>3096</v>
      </c>
      <c r="J16" s="407"/>
      <c r="K16" s="572"/>
      <c r="L16" s="2950"/>
      <c r="M16" s="2944"/>
      <c r="N16" s="2944"/>
      <c r="O16" s="2944"/>
      <c r="P16" s="3335"/>
      <c r="Q16" s="1538"/>
      <c r="R16" s="714"/>
      <c r="S16" s="715"/>
      <c r="T16" s="714"/>
      <c r="U16" s="715"/>
      <c r="V16" s="714"/>
      <c r="W16" s="715"/>
      <c r="X16" s="1541"/>
      <c r="Y16" s="332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103</v>
      </c>
      <c r="K17" s="571">
        <v>3</v>
      </c>
      <c r="L17" s="2950"/>
      <c r="M17" s="2944"/>
      <c r="N17" s="2944"/>
      <c r="O17" s="2944"/>
      <c r="P17" s="3335"/>
      <c r="Q17" s="1538" t="str">
        <f>B17</f>
        <v>交通便捷度</v>
      </c>
      <c r="R17" s="714" t="s">
        <v>17</v>
      </c>
      <c r="S17" s="715">
        <f>F17</f>
        <v>100</v>
      </c>
      <c r="T17" s="714" t="s">
        <v>17</v>
      </c>
      <c r="U17" s="715">
        <f>H17</f>
        <v>100</v>
      </c>
      <c r="V17" s="714" t="s">
        <v>17</v>
      </c>
      <c r="W17" s="715">
        <f>J17</f>
        <v>103</v>
      </c>
      <c r="X17" s="1541"/>
      <c r="Y17" s="3328"/>
      <c r="Z17" s="1542" t="str">
        <f>Q17</f>
        <v>交通便捷度</v>
      </c>
      <c r="AA17" s="1539">
        <f t="shared" si="3"/>
        <v>1</v>
      </c>
      <c r="AB17" s="1539">
        <f t="shared" si="4"/>
        <v>1</v>
      </c>
      <c r="AC17" s="1539">
        <f t="shared" si="5"/>
        <v>0.970873786407767</v>
      </c>
    </row>
    <row r="18" spans="1:29" ht="15">
      <c r="A18" s="387"/>
      <c r="B18" s="415"/>
      <c r="C18" s="2089" t="s">
        <v>3095</v>
      </c>
      <c r="D18" s="409"/>
      <c r="E18" s="2091" t="s">
        <v>3095</v>
      </c>
      <c r="F18" s="412"/>
      <c r="G18" s="2090" t="s">
        <v>3095</v>
      </c>
      <c r="H18" s="407"/>
      <c r="I18" s="2091" t="s">
        <v>3096</v>
      </c>
      <c r="J18" s="407"/>
      <c r="K18" s="572"/>
      <c r="L18" s="2950"/>
      <c r="M18" s="2944"/>
      <c r="N18" s="2944"/>
      <c r="O18" s="2944"/>
      <c r="P18" s="3335"/>
      <c r="Q18" s="1538"/>
      <c r="R18" s="714"/>
      <c r="S18" s="715"/>
      <c r="T18" s="714"/>
      <c r="U18" s="715"/>
      <c r="V18" s="714"/>
      <c r="W18" s="715"/>
      <c r="X18" s="1541"/>
      <c r="Y18" s="3328"/>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35"/>
      <c r="Q19" s="1538" t="str">
        <f>B19</f>
        <v>公共配套设施</v>
      </c>
      <c r="R19" s="714" t="s">
        <v>17</v>
      </c>
      <c r="S19" s="715">
        <f>F19</f>
        <v>100</v>
      </c>
      <c r="T19" s="714" t="s">
        <v>17</v>
      </c>
      <c r="U19" s="715">
        <f>H19</f>
        <v>100</v>
      </c>
      <c r="V19" s="714" t="s">
        <v>17</v>
      </c>
      <c r="W19" s="715">
        <f>J19</f>
        <v>100</v>
      </c>
      <c r="X19" s="1541"/>
      <c r="Y19" s="3328"/>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35"/>
      <c r="Q20" s="1538"/>
      <c r="R20" s="714"/>
      <c r="S20" s="715"/>
      <c r="T20" s="714"/>
      <c r="U20" s="715"/>
      <c r="V20" s="714"/>
      <c r="W20" s="715"/>
      <c r="X20" s="1541"/>
      <c r="Y20" s="3328"/>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35"/>
      <c r="Q21" s="1538" t="str">
        <f>B21</f>
        <v>基础设施水平</v>
      </c>
      <c r="R21" s="714" t="s">
        <v>17</v>
      </c>
      <c r="S21" s="715">
        <f>F21</f>
        <v>100</v>
      </c>
      <c r="T21" s="714" t="s">
        <v>17</v>
      </c>
      <c r="U21" s="715">
        <f>H21</f>
        <v>100</v>
      </c>
      <c r="V21" s="714" t="s">
        <v>17</v>
      </c>
      <c r="W21" s="715">
        <f>J21</f>
        <v>100</v>
      </c>
      <c r="X21" s="1541"/>
      <c r="Y21" s="3328"/>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35"/>
      <c r="Q22" s="1538"/>
      <c r="R22" s="714"/>
      <c r="S22" s="715"/>
      <c r="T22" s="714"/>
      <c r="U22" s="715"/>
      <c r="V22" s="714"/>
      <c r="W22" s="715"/>
      <c r="X22" s="1541"/>
      <c r="Y22" s="3328"/>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35"/>
      <c r="Q23" s="1538" t="str">
        <f>B23</f>
        <v>自然及人文环境</v>
      </c>
      <c r="R23" s="714" t="s">
        <v>17</v>
      </c>
      <c r="S23" s="715">
        <f>F23</f>
        <v>100</v>
      </c>
      <c r="T23" s="714" t="s">
        <v>17</v>
      </c>
      <c r="U23" s="715">
        <f>H23</f>
        <v>100</v>
      </c>
      <c r="V23" s="714" t="s">
        <v>17</v>
      </c>
      <c r="W23" s="715">
        <f>J23</f>
        <v>100</v>
      </c>
      <c r="X23" s="1541"/>
      <c r="Y23" s="3328"/>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35"/>
      <c r="Q24" s="1538"/>
      <c r="R24" s="714"/>
      <c r="S24" s="715"/>
      <c r="T24" s="714"/>
      <c r="U24" s="715"/>
      <c r="V24" s="714"/>
      <c r="W24" s="715"/>
      <c r="X24" s="1541"/>
      <c r="Y24" s="3328"/>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35"/>
      <c r="Q25" s="1538" t="str">
        <f t="shared" ref="Q25:Q46" si="11">B25</f>
        <v>临街状况</v>
      </c>
      <c r="R25" s="714" t="s">
        <v>17</v>
      </c>
      <c r="S25" s="715">
        <f>F25</f>
        <v>100</v>
      </c>
      <c r="T25" s="714" t="s">
        <v>17</v>
      </c>
      <c r="U25" s="715">
        <f>H25</f>
        <v>100</v>
      </c>
      <c r="V25" s="714" t="s">
        <v>17</v>
      </c>
      <c r="W25" s="715">
        <f>J25</f>
        <v>100</v>
      </c>
      <c r="X25" s="1541"/>
      <c r="Y25" s="3328"/>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35"/>
      <c r="Q26" s="1538" t="str">
        <f t="shared" si="11"/>
        <v>平面位置/可视性</v>
      </c>
      <c r="R26" s="714" t="s">
        <v>17</v>
      </c>
      <c r="S26" s="715">
        <f>F26</f>
        <v>100</v>
      </c>
      <c r="T26" s="714" t="s">
        <v>17</v>
      </c>
      <c r="U26" s="715">
        <f>H26</f>
        <v>100</v>
      </c>
      <c r="V26" s="714" t="s">
        <v>17</v>
      </c>
      <c r="W26" s="715">
        <f>J26</f>
        <v>100</v>
      </c>
      <c r="X26" s="1541"/>
      <c r="Y26" s="3328"/>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3095</v>
      </c>
      <c r="H27" s="421">
        <f>SUMIF(90:90,G27,91:91)-SUMIF(90:90,C27,91:91)+100</f>
        <v>100</v>
      </c>
      <c r="I27" s="2144" t="s">
        <v>3095</v>
      </c>
      <c r="J27" s="421">
        <f>SUMIF(90:90,I27,91:91)-SUMIF(90:90,C27,91:91)+100</f>
        <v>100</v>
      </c>
      <c r="K27" s="569">
        <v>2</v>
      </c>
      <c r="L27" s="2945"/>
      <c r="M27" s="2946"/>
      <c r="N27" s="2946"/>
      <c r="O27" s="2946"/>
      <c r="P27" s="3335"/>
      <c r="Q27" s="1529" t="str">
        <f t="shared" si="11"/>
        <v>人流量</v>
      </c>
      <c r="R27" s="710" t="s">
        <v>17</v>
      </c>
      <c r="S27" s="711">
        <f>F27</f>
        <v>100</v>
      </c>
      <c r="T27" s="710" t="s">
        <v>17</v>
      </c>
      <c r="U27" s="711">
        <f>H27</f>
        <v>100</v>
      </c>
      <c r="V27" s="710" t="s">
        <v>17</v>
      </c>
      <c r="W27" s="711">
        <f>J27</f>
        <v>100</v>
      </c>
      <c r="X27" s="712"/>
      <c r="Y27" s="3328"/>
      <c r="Z27" s="55" t="str">
        <f>Q27</f>
        <v>人流量</v>
      </c>
      <c r="AA27" s="1539">
        <f>D27/F27</f>
        <v>1</v>
      </c>
      <c r="AB27" s="1539">
        <f>D27/H27</f>
        <v>1</v>
      </c>
      <c r="AC27" s="1539">
        <f>D27/J27</f>
        <v>1</v>
      </c>
    </row>
    <row r="28" spans="1:29" ht="15.75" thickBot="1">
      <c r="A28" s="387"/>
      <c r="B28" s="381" t="s">
        <v>2481</v>
      </c>
      <c r="C28" s="573" t="s">
        <v>3108</v>
      </c>
      <c r="D28" s="394">
        <v>100</v>
      </c>
      <c r="E28" s="573" t="s">
        <v>3108</v>
      </c>
      <c r="F28" s="420">
        <f>SUMIF(92:92,E28,93:93)-SUMIF(92:92,C28,93:93)+100</f>
        <v>100</v>
      </c>
      <c r="G28" s="573" t="s">
        <v>3108</v>
      </c>
      <c r="H28" s="394">
        <f>SUMIF(92:92,G28,93:93)-SUMIF(92:92,C28,93:93)+100</f>
        <v>100</v>
      </c>
      <c r="I28" s="573" t="s">
        <v>3108</v>
      </c>
      <c r="J28" s="394">
        <f>SUMIF(92:92,I28,93:93)-SUMIF(92:92,C28,93:93)+100</f>
        <v>100</v>
      </c>
      <c r="K28" s="570"/>
      <c r="L28" s="2950"/>
      <c r="M28" s="2944"/>
      <c r="N28" s="2944"/>
      <c r="O28" s="2944"/>
      <c r="P28" s="3335"/>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28"/>
      <c r="Z28" s="1542" t="str">
        <f t="shared" ref="Z28:Z46" si="15">Q28</f>
        <v>楼层</v>
      </c>
      <c r="AA28" s="1539">
        <f t="shared" si="3"/>
        <v>1</v>
      </c>
      <c r="AB28" s="1539">
        <f t="shared" si="4"/>
        <v>1</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5"/>
      <c r="Q29" s="1538">
        <f t="shared" si="11"/>
        <v>0</v>
      </c>
      <c r="R29" s="714" t="s">
        <v>17</v>
      </c>
      <c r="S29" s="715">
        <f t="shared" si="12"/>
        <v>100</v>
      </c>
      <c r="T29" s="714" t="s">
        <v>17</v>
      </c>
      <c r="U29" s="715">
        <f t="shared" si="13"/>
        <v>100</v>
      </c>
      <c r="V29" s="714" t="s">
        <v>17</v>
      </c>
      <c r="W29" s="715">
        <f t="shared" si="14"/>
        <v>100</v>
      </c>
      <c r="X29" s="1541"/>
      <c r="Y29" s="3328"/>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5"/>
      <c r="Q30" s="1538">
        <f t="shared" si="11"/>
        <v>0</v>
      </c>
      <c r="R30" s="714" t="s">
        <v>17</v>
      </c>
      <c r="S30" s="715">
        <f t="shared" si="12"/>
        <v>100</v>
      </c>
      <c r="T30" s="714" t="s">
        <v>17</v>
      </c>
      <c r="U30" s="715">
        <f t="shared" si="13"/>
        <v>100</v>
      </c>
      <c r="V30" s="714" t="s">
        <v>17</v>
      </c>
      <c r="W30" s="715">
        <f t="shared" si="14"/>
        <v>100</v>
      </c>
      <c r="X30" s="1541"/>
      <c r="Y30" s="3328"/>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5"/>
      <c r="Q31" s="1538">
        <f t="shared" si="11"/>
        <v>0</v>
      </c>
      <c r="R31" s="714" t="s">
        <v>17</v>
      </c>
      <c r="S31" s="715">
        <f t="shared" si="12"/>
        <v>100</v>
      </c>
      <c r="T31" s="714" t="s">
        <v>17</v>
      </c>
      <c r="U31" s="715">
        <f t="shared" si="13"/>
        <v>100</v>
      </c>
      <c r="V31" s="714" t="s">
        <v>17</v>
      </c>
      <c r="W31" s="715">
        <f t="shared" si="14"/>
        <v>100</v>
      </c>
      <c r="X31" s="1541"/>
      <c r="Y31" s="3328"/>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29" t="s">
        <v>2387</v>
      </c>
      <c r="Q32" s="1538" t="str">
        <f t="shared" si="11"/>
        <v>商业类型</v>
      </c>
      <c r="R32" s="714" t="s">
        <v>17</v>
      </c>
      <c r="S32" s="715">
        <f t="shared" si="12"/>
        <v>100</v>
      </c>
      <c r="T32" s="714" t="s">
        <v>17</v>
      </c>
      <c r="U32" s="715">
        <f t="shared" si="13"/>
        <v>100</v>
      </c>
      <c r="V32" s="714" t="s">
        <v>17</v>
      </c>
      <c r="W32" s="715">
        <f t="shared" si="14"/>
        <v>100</v>
      </c>
      <c r="X32" s="1541"/>
      <c r="Y32" s="3332"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50</v>
      </c>
      <c r="F33" s="384">
        <f>LOOKUP(E33,103:103,104:104)-LOOKUP(C33,103:103,104:104)+100</f>
        <v>101</v>
      </c>
      <c r="G33" s="388">
        <v>148</v>
      </c>
      <c r="H33" s="132">
        <f>LOOKUP(G33,103:103,104:104)-LOOKUP(C33,103:103,104:104)+100</f>
        <v>100</v>
      </c>
      <c r="I33" s="388">
        <v>50</v>
      </c>
      <c r="J33" s="132">
        <f>LOOKUP(I33,103:103,104:104)-LOOKUP(C33,103:103,104:104)+100</f>
        <v>101</v>
      </c>
      <c r="K33" s="570"/>
      <c r="L33" s="2949"/>
      <c r="M33" s="2951"/>
      <c r="N33" s="2951"/>
      <c r="O33" s="2951"/>
      <c r="P33" s="3330"/>
      <c r="Q33" s="716" t="str">
        <f t="shared" si="11"/>
        <v>项目建筑规模</v>
      </c>
      <c r="R33" s="717" t="s">
        <v>17</v>
      </c>
      <c r="S33" s="718">
        <f t="shared" si="12"/>
        <v>101</v>
      </c>
      <c r="T33" s="717" t="s">
        <v>17</v>
      </c>
      <c r="U33" s="718">
        <f t="shared" si="13"/>
        <v>100</v>
      </c>
      <c r="V33" s="717" t="s">
        <v>17</v>
      </c>
      <c r="W33" s="718">
        <f t="shared" si="14"/>
        <v>101</v>
      </c>
      <c r="X33" s="719"/>
      <c r="Y33" s="3332"/>
      <c r="Z33" s="720" t="str">
        <f t="shared" si="15"/>
        <v>项目建筑规模</v>
      </c>
      <c r="AA33" s="1539">
        <f t="shared" si="3"/>
        <v>0.99009900990099009</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30"/>
      <c r="Q34" s="1538" t="str">
        <f t="shared" si="11"/>
        <v>建筑结构</v>
      </c>
      <c r="R34" s="714" t="s">
        <v>17</v>
      </c>
      <c r="S34" s="715">
        <f t="shared" si="12"/>
        <v>100</v>
      </c>
      <c r="T34" s="714" t="s">
        <v>17</v>
      </c>
      <c r="U34" s="715">
        <f t="shared" si="13"/>
        <v>100</v>
      </c>
      <c r="V34" s="714" t="s">
        <v>17</v>
      </c>
      <c r="W34" s="715">
        <f t="shared" si="14"/>
        <v>100</v>
      </c>
      <c r="X34" s="1541"/>
      <c r="Y34" s="3332"/>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330"/>
      <c r="Q35" s="1538" t="str">
        <f t="shared" si="11"/>
        <v>公共部分装修</v>
      </c>
      <c r="R35" s="714" t="s">
        <v>17</v>
      </c>
      <c r="S35" s="715">
        <f t="shared" si="12"/>
        <v>100</v>
      </c>
      <c r="T35" s="714" t="s">
        <v>17</v>
      </c>
      <c r="U35" s="715">
        <f t="shared" si="13"/>
        <v>100</v>
      </c>
      <c r="V35" s="714" t="s">
        <v>17</v>
      </c>
      <c r="W35" s="715">
        <f t="shared" si="14"/>
        <v>100</v>
      </c>
      <c r="X35" s="1541"/>
      <c r="Y35" s="3332"/>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330"/>
      <c r="Q36" s="1538" t="str">
        <f t="shared" si="11"/>
        <v>成新度</v>
      </c>
      <c r="R36" s="714" t="s">
        <v>17</v>
      </c>
      <c r="S36" s="715">
        <f t="shared" si="12"/>
        <v>100</v>
      </c>
      <c r="T36" s="714" t="s">
        <v>17</v>
      </c>
      <c r="U36" s="715">
        <f t="shared" si="13"/>
        <v>100</v>
      </c>
      <c r="V36" s="714" t="s">
        <v>17</v>
      </c>
      <c r="W36" s="715">
        <f t="shared" si="14"/>
        <v>100</v>
      </c>
      <c r="X36" s="1541"/>
      <c r="Y36" s="3332"/>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330"/>
      <c r="Q37" s="1529" t="str">
        <f t="shared" si="11"/>
        <v>市政基础设施</v>
      </c>
      <c r="R37" s="710" t="s">
        <v>17</v>
      </c>
      <c r="S37" s="711">
        <f t="shared" si="12"/>
        <v>102</v>
      </c>
      <c r="T37" s="710" t="s">
        <v>17</v>
      </c>
      <c r="U37" s="711">
        <f t="shared" si="13"/>
        <v>102</v>
      </c>
      <c r="V37" s="710" t="s">
        <v>17</v>
      </c>
      <c r="W37" s="711">
        <f t="shared" si="14"/>
        <v>102</v>
      </c>
      <c r="X37" s="712"/>
      <c r="Y37" s="3332"/>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3170</v>
      </c>
      <c r="D38" s="394">
        <v>100</v>
      </c>
      <c r="E38" s="3067" t="s">
        <v>3168</v>
      </c>
      <c r="F38" s="420">
        <f>SUMIF(114:114,E38,115:115)-SUMIF(114:114,C38,115:115)+100</f>
        <v>101</v>
      </c>
      <c r="G38" s="3067" t="s">
        <v>3168</v>
      </c>
      <c r="H38" s="394">
        <f>SUMIF(114:114,G38,115:115)-SUMIF(114:114,C38,115:115)+100</f>
        <v>101</v>
      </c>
      <c r="I38" s="3067" t="s">
        <v>3168</v>
      </c>
      <c r="J38" s="394">
        <f>SUMIF(114:114,I38,115:115)-SUMIF(114:114,C38,115:115)+100</f>
        <v>101</v>
      </c>
      <c r="K38" s="569">
        <v>1</v>
      </c>
      <c r="L38" s="2950"/>
      <c r="M38" s="2944"/>
      <c r="N38" s="2944"/>
      <c r="O38" s="2944"/>
      <c r="P38" s="3330" t="s">
        <v>2387</v>
      </c>
      <c r="Q38" s="1538" t="str">
        <f t="shared" si="11"/>
        <v>业态</v>
      </c>
      <c r="R38" s="714" t="s">
        <v>17</v>
      </c>
      <c r="S38" s="715">
        <f t="shared" si="12"/>
        <v>101</v>
      </c>
      <c r="T38" s="714" t="s">
        <v>17</v>
      </c>
      <c r="U38" s="715">
        <f t="shared" si="13"/>
        <v>101</v>
      </c>
      <c r="V38" s="714" t="s">
        <v>17</v>
      </c>
      <c r="W38" s="715">
        <f t="shared" si="14"/>
        <v>101</v>
      </c>
      <c r="X38" s="1541"/>
      <c r="Y38" s="3332"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330"/>
      <c r="Q39" s="1538" t="str">
        <f t="shared" si="11"/>
        <v>层高</v>
      </c>
      <c r="R39" s="714" t="s">
        <v>17</v>
      </c>
      <c r="S39" s="715">
        <f t="shared" si="12"/>
        <v>100</v>
      </c>
      <c r="T39" s="714" t="s">
        <v>17</v>
      </c>
      <c r="U39" s="715">
        <f t="shared" si="13"/>
        <v>100</v>
      </c>
      <c r="V39" s="714" t="s">
        <v>17</v>
      </c>
      <c r="W39" s="715">
        <f t="shared" si="14"/>
        <v>101</v>
      </c>
      <c r="X39" s="1541"/>
      <c r="Y39" s="3332"/>
      <c r="Z39" s="1542" t="str">
        <f t="shared" si="15"/>
        <v>层高</v>
      </c>
      <c r="AA39" s="1539">
        <f t="shared" si="3"/>
        <v>1</v>
      </c>
      <c r="AB39" s="1539">
        <f t="shared" si="4"/>
        <v>1</v>
      </c>
      <c r="AC39" s="1539">
        <f t="shared" si="5"/>
        <v>0.99009900990099009</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30"/>
      <c r="Q40" s="1538" t="str">
        <f t="shared" si="11"/>
        <v>单套建筑面积</v>
      </c>
      <c r="R40" s="714" t="s">
        <v>17</v>
      </c>
      <c r="S40" s="715">
        <f t="shared" si="12"/>
        <v>100</v>
      </c>
      <c r="T40" s="714" t="s">
        <v>17</v>
      </c>
      <c r="U40" s="715">
        <f t="shared" si="13"/>
        <v>100</v>
      </c>
      <c r="V40" s="714" t="s">
        <v>17</v>
      </c>
      <c r="W40" s="715">
        <f t="shared" si="14"/>
        <v>100</v>
      </c>
      <c r="X40" s="1541"/>
      <c r="Y40" s="3332"/>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30"/>
      <c r="Q41" s="716" t="str">
        <f t="shared" si="11"/>
        <v>进深比</v>
      </c>
      <c r="R41" s="717" t="s">
        <v>17</v>
      </c>
      <c r="S41" s="718">
        <f t="shared" si="12"/>
        <v>100</v>
      </c>
      <c r="T41" s="717" t="s">
        <v>17</v>
      </c>
      <c r="U41" s="718">
        <f t="shared" si="13"/>
        <v>100</v>
      </c>
      <c r="V41" s="717" t="s">
        <v>17</v>
      </c>
      <c r="W41" s="718">
        <f t="shared" si="14"/>
        <v>100</v>
      </c>
      <c r="X41" s="719"/>
      <c r="Y41" s="3332"/>
      <c r="Z41" s="720" t="str">
        <f t="shared" si="15"/>
        <v>进深比</v>
      </c>
      <c r="AA41" s="1539">
        <f t="shared" si="3"/>
        <v>1</v>
      </c>
      <c r="AB41" s="1539">
        <f t="shared" si="4"/>
        <v>1</v>
      </c>
      <c r="AC41" s="1539">
        <f t="shared" si="5"/>
        <v>1</v>
      </c>
    </row>
    <row r="42" spans="1:29" ht="15">
      <c r="A42" s="431"/>
      <c r="B42" s="381" t="s">
        <v>2490</v>
      </c>
      <c r="C42" s="2094" t="s">
        <v>3114</v>
      </c>
      <c r="D42" s="394">
        <v>100</v>
      </c>
      <c r="E42" s="2094" t="s">
        <v>3143</v>
      </c>
      <c r="F42" s="420">
        <f>SUMIF(122:122,E42,123:123)-SUMIF(122:122,C42,123:123)+100</f>
        <v>94</v>
      </c>
      <c r="G42" s="2094" t="s">
        <v>3114</v>
      </c>
      <c r="H42" s="394">
        <f>SUMIF(122:122,G42,123:123)-SUMIF(122:122,C42,123:123)+100</f>
        <v>100</v>
      </c>
      <c r="I42" s="2094" t="s">
        <v>3114</v>
      </c>
      <c r="J42" s="394">
        <f>SUMIF(122:122,I42,123:123)-SUMIF(122:122,C42,123:123)+100</f>
        <v>100</v>
      </c>
      <c r="K42" s="569">
        <v>2</v>
      </c>
      <c r="L42" s="2950"/>
      <c r="M42" s="2944"/>
      <c r="N42" s="2944"/>
      <c r="O42" s="2944"/>
      <c r="P42" s="3330"/>
      <c r="Q42" s="1538" t="str">
        <f t="shared" si="11"/>
        <v>内部装修</v>
      </c>
      <c r="R42" s="714" t="s">
        <v>17</v>
      </c>
      <c r="S42" s="715">
        <f t="shared" si="12"/>
        <v>94</v>
      </c>
      <c r="T42" s="714" t="s">
        <v>17</v>
      </c>
      <c r="U42" s="715">
        <f t="shared" si="13"/>
        <v>100</v>
      </c>
      <c r="V42" s="714" t="s">
        <v>17</v>
      </c>
      <c r="W42" s="715">
        <f t="shared" si="14"/>
        <v>100</v>
      </c>
      <c r="X42" s="1541"/>
      <c r="Y42" s="3332"/>
      <c r="Z42" s="1542" t="str">
        <f t="shared" si="15"/>
        <v>内部装修</v>
      </c>
      <c r="AA42" s="1539">
        <f t="shared" si="3"/>
        <v>1.0638297872340425</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30"/>
      <c r="Q43" s="1538" t="str">
        <f t="shared" si="11"/>
        <v>内部装修维护情况</v>
      </c>
      <c r="R43" s="714" t="s">
        <v>17</v>
      </c>
      <c r="S43" s="715">
        <f t="shared" si="12"/>
        <v>100</v>
      </c>
      <c r="T43" s="714" t="s">
        <v>17</v>
      </c>
      <c r="U43" s="715">
        <f t="shared" si="13"/>
        <v>100</v>
      </c>
      <c r="V43" s="714" t="s">
        <v>17</v>
      </c>
      <c r="W43" s="715">
        <f t="shared" si="14"/>
        <v>100</v>
      </c>
      <c r="X43" s="1541"/>
      <c r="Y43" s="3332"/>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30"/>
      <c r="Q44" s="1529">
        <f t="shared" si="11"/>
        <v>111</v>
      </c>
      <c r="R44" s="710" t="s">
        <v>17</v>
      </c>
      <c r="S44" s="711">
        <f t="shared" si="12"/>
        <v>100</v>
      </c>
      <c r="T44" s="710" t="s">
        <v>17</v>
      </c>
      <c r="U44" s="711">
        <f t="shared" si="13"/>
        <v>100</v>
      </c>
      <c r="V44" s="710" t="s">
        <v>17</v>
      </c>
      <c r="W44" s="711">
        <f t="shared" si="14"/>
        <v>100</v>
      </c>
      <c r="X44" s="712"/>
      <c r="Y44" s="333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30"/>
      <c r="Q45" s="1538">
        <f t="shared" si="11"/>
        <v>111</v>
      </c>
      <c r="R45" s="714" t="s">
        <v>17</v>
      </c>
      <c r="S45" s="715">
        <f t="shared" si="12"/>
        <v>100</v>
      </c>
      <c r="T45" s="714" t="s">
        <v>17</v>
      </c>
      <c r="U45" s="715">
        <f t="shared" si="13"/>
        <v>100</v>
      </c>
      <c r="V45" s="714" t="s">
        <v>17</v>
      </c>
      <c r="W45" s="715">
        <f t="shared" si="14"/>
        <v>100</v>
      </c>
      <c r="X45" s="1541"/>
      <c r="Y45" s="3332"/>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31"/>
      <c r="Q46" s="1538">
        <f t="shared" si="11"/>
        <v>111</v>
      </c>
      <c r="R46" s="714" t="s">
        <v>17</v>
      </c>
      <c r="S46" s="715">
        <f t="shared" si="12"/>
        <v>100</v>
      </c>
      <c r="T46" s="714" t="s">
        <v>17</v>
      </c>
      <c r="U46" s="715">
        <f t="shared" si="13"/>
        <v>100</v>
      </c>
      <c r="V46" s="714" t="s">
        <v>17</v>
      </c>
      <c r="W46" s="715">
        <f t="shared" si="14"/>
        <v>100</v>
      </c>
      <c r="X46" s="1541"/>
      <c r="Y46" s="3333"/>
      <c r="Z46" s="1542">
        <f t="shared" si="15"/>
        <v>111</v>
      </c>
      <c r="AA46" s="1539">
        <f t="shared" si="3"/>
        <v>1</v>
      </c>
      <c r="AB46" s="1539">
        <f t="shared" si="4"/>
        <v>1</v>
      </c>
      <c r="AC46" s="1539">
        <f t="shared" si="5"/>
        <v>1</v>
      </c>
    </row>
    <row r="47" spans="1:29" ht="15">
      <c r="A47" s="438" t="s">
        <v>2399</v>
      </c>
      <c r="B47" s="439"/>
      <c r="C47" s="1316" t="s">
        <v>1</v>
      </c>
      <c r="D47" s="1317"/>
      <c r="E47" s="1318">
        <v>33200</v>
      </c>
      <c r="F47" s="1319"/>
      <c r="G47" s="1320">
        <v>33719</v>
      </c>
      <c r="H47" s="1321"/>
      <c r="I47" s="1318">
        <v>40000</v>
      </c>
      <c r="J47" s="1321"/>
      <c r="K47" s="723"/>
      <c r="L47" s="2952"/>
      <c r="M47" s="2953"/>
      <c r="N47" s="2944"/>
      <c r="O47" s="2953"/>
      <c r="P47" s="3325" t="str">
        <f>A47</f>
        <v>成交单价（元/平方米）</v>
      </c>
      <c r="Q47" s="3325"/>
      <c r="R47" s="3320">
        <f>E47</f>
        <v>33200</v>
      </c>
      <c r="S47" s="3320"/>
      <c r="T47" s="3320">
        <f>G47</f>
        <v>33719</v>
      </c>
      <c r="U47" s="3320"/>
      <c r="V47" s="3320">
        <f>I47</f>
        <v>40000</v>
      </c>
      <c r="W47" s="3320"/>
      <c r="X47" s="699"/>
      <c r="Y47" s="721"/>
      <c r="Z47" s="699"/>
      <c r="AA47" s="699"/>
      <c r="AB47" s="699"/>
      <c r="AC47" s="699"/>
    </row>
    <row r="48" spans="1:29" ht="15.75" thickBot="1">
      <c r="A48" s="445" t="s">
        <v>2491</v>
      </c>
      <c r="B48" s="446"/>
      <c r="C48" s="1322">
        <f>R49</f>
        <v>32242</v>
      </c>
      <c r="D48" s="2539" t="s">
        <v>2879</v>
      </c>
      <c r="E48" s="1323">
        <f>R48</f>
        <v>31386</v>
      </c>
      <c r="F48" s="2540"/>
      <c r="G48" s="1322">
        <f>T48</f>
        <v>31172</v>
      </c>
      <c r="H48" s="2540"/>
      <c r="I48" s="1323">
        <f>V48</f>
        <v>34169</v>
      </c>
      <c r="J48" s="2540"/>
      <c r="K48" s="2542">
        <f>F48+H48+J48</f>
        <v>0</v>
      </c>
      <c r="L48" s="2952"/>
      <c r="M48" s="2953"/>
      <c r="N48" s="2944"/>
      <c r="O48" s="2953"/>
      <c r="P48" s="3325" t="str">
        <f>A48</f>
        <v>比较价值（元/平方米）</v>
      </c>
      <c r="Q48" s="3325"/>
      <c r="R48" s="3326">
        <f>IF(F1="售价",ROUND(PRODUCT(R47,AA7:AA46),0),ROUND(PRODUCT(R47,AA7:AA46),1))</f>
        <v>31386</v>
      </c>
      <c r="S48" s="3326"/>
      <c r="T48" s="3326">
        <f>IF(F1="售价",ROUND(PRODUCT(T47,AB7:AB46),0),ROUND(PRODUCT(T47,AB7:AB46),1))</f>
        <v>31172</v>
      </c>
      <c r="U48" s="3326"/>
      <c r="V48" s="3326">
        <f>IF(F1="售价",ROUND(PRODUCT(V47,AC7:AC46),0),ROUND(PRODUCT(V47,AC7:AC46),1))</f>
        <v>34169</v>
      </c>
      <c r="W48" s="3326"/>
      <c r="X48" s="699"/>
      <c r="Y48" s="699"/>
      <c r="Z48" s="699"/>
      <c r="AA48" s="699"/>
      <c r="AB48" s="699"/>
      <c r="AC48" s="699"/>
    </row>
    <row r="49" spans="1:29" ht="15.75" thickBot="1">
      <c r="A49" s="449" t="s">
        <v>2492</v>
      </c>
      <c r="B49" s="450"/>
      <c r="C49" s="1325">
        <f>R49</f>
        <v>32242</v>
      </c>
      <c r="D49" s="1325"/>
      <c r="E49" s="1325"/>
      <c r="F49" s="1325"/>
      <c r="G49" s="1325"/>
      <c r="H49" s="1325"/>
      <c r="I49" s="1325"/>
      <c r="J49" s="1325"/>
      <c r="K49" s="724"/>
      <c r="L49" s="2952"/>
      <c r="M49" s="2953"/>
      <c r="N49" s="2944"/>
      <c r="O49" s="2953"/>
      <c r="P49" s="3322" t="str">
        <f>A49</f>
        <v>估价对象XX用房的比较价值（楼面单价，元/平方米）</v>
      </c>
      <c r="Q49" s="3323"/>
      <c r="R49" s="3324">
        <f>IF(F1="售价",ROUND(IF(D48="简单平均",AVERAGE(R48:V48),R48*F48+T48*H48+V48*J48),0),ROUND(IF(D48="简单平均",AVERAGE(R48:V48),R48*F48+T48*H48+V48*J48),1))</f>
        <v>32242</v>
      </c>
      <c r="S49" s="3324"/>
      <c r="T49" s="3324"/>
      <c r="U49" s="3324"/>
      <c r="V49" s="3324"/>
      <c r="W49" s="332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5.7796469763588876E-2</v>
      </c>
      <c r="F52" s="457" t="str">
        <f>IF(OR(E52&gt;=0.3,E52&lt;=-0.3),"超过30%","")</f>
        <v/>
      </c>
      <c r="G52" s="456">
        <f>IF(G47&lt;G48,G48/G47-1,G47/G48-1)</f>
        <v>8.1707943025792318E-2</v>
      </c>
      <c r="H52" s="457" t="str">
        <f>IF(OR(G52&gt;=0.3,G52&lt;=-0.3),"超过30%","")</f>
        <v/>
      </c>
      <c r="I52" s="456">
        <f>IF(I47&lt;I48,I48/I47-1,I47/I48-1)</f>
        <v>0.17065176036758456</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6.8651353779032309E-3</v>
      </c>
      <c r="F53" s="457" t="str">
        <f>IF(OR(E53&gt;=0.2,E53&lt;=-0.2),"超过20%","")</f>
        <v/>
      </c>
      <c r="G53" s="456">
        <f>IF(G48&lt;I48,I48/G48-1,G48/I48-1)</f>
        <v>9.6143975362504852E-2</v>
      </c>
      <c r="H53" s="457" t="str">
        <f>IF(OR(G53&gt;=0.2,G53&lt;=-0.2),"超过20%","")</f>
        <v/>
      </c>
      <c r="I53" s="456">
        <f>IF(I48&lt;E48,E48/I48-1,I48/E48-1)</f>
        <v>8.8670107691327438E-2</v>
      </c>
      <c r="J53" s="457"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1.5632530120481825E-2</v>
      </c>
      <c r="F54" s="457" t="str">
        <f>IF(OR(E54&gt;=0.3,E54&lt;=-0.3),"超过30%","")</f>
        <v/>
      </c>
      <c r="G54" s="456">
        <f>IF(G47&lt;I47,I47/G47-1,G47/I47-1)</f>
        <v>0.18627480055754919</v>
      </c>
      <c r="H54" s="457" t="str">
        <f>IF(OR(G54&gt;=0.3,G54&lt;=-0.3),"超过30%","")</f>
        <v/>
      </c>
      <c r="I54" s="456">
        <f>IF(I47&lt;E47,E47/I47-1,I47/E47-1)</f>
        <v>0.20481927710843384</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3167</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94</v>
      </c>
      <c r="E93" s="493">
        <v>88</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50</v>
      </c>
      <c r="E103" s="552">
        <v>100</v>
      </c>
      <c r="F103" s="552">
        <v>150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102</v>
      </c>
      <c r="D104" s="493">
        <v>101</v>
      </c>
      <c r="E104" s="493">
        <v>100</v>
      </c>
      <c r="F104" s="493">
        <v>99</v>
      </c>
      <c r="G104" s="493">
        <v>98</v>
      </c>
      <c r="H104" s="493">
        <v>97</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3169</v>
      </c>
      <c r="D114" s="3048" t="s">
        <v>3171</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估价对象为北京市房地产，为所有。根据《国有土地使用证》[]，估价对象（分摊）出让国有建设用地使用权面积为0平方米，建筑面积为1266.65平方米。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估价对象为北京市房地产,属开发建设的办公项目，该项目尚在开发建设中。根据《国有土地使用证》[]，估价对象（分摊）出让国有建设用地使用权面积为0平方米，规划建筑面积为1266.65平方米。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zoomScaleSheetLayoutView="100" workbookViewId="0">
      <selection activeCell="K15" sqref="K1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3144</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3145</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42" t="s">
        <v>2473</v>
      </c>
      <c r="Q4" s="3343"/>
      <c r="R4" s="3337" t="s">
        <v>2469</v>
      </c>
      <c r="S4" s="3338"/>
      <c r="T4" s="3337" t="s">
        <v>2470</v>
      </c>
      <c r="U4" s="3338"/>
      <c r="V4" s="3346" t="s">
        <v>2471</v>
      </c>
      <c r="W4" s="3346"/>
      <c r="X4" s="2146"/>
      <c r="Y4" s="3337" t="s">
        <v>2473</v>
      </c>
      <c r="Z4" s="3338"/>
      <c r="AA4" s="3336" t="s">
        <v>2469</v>
      </c>
      <c r="AB4" s="3336" t="s">
        <v>2470</v>
      </c>
      <c r="AC4" s="3339" t="s">
        <v>2471</v>
      </c>
    </row>
    <row r="5" spans="1:29" ht="15">
      <c r="A5" s="364"/>
      <c r="B5" s="365"/>
      <c r="C5" s="3301" t="s">
        <v>2364</v>
      </c>
      <c r="D5" s="3302"/>
      <c r="E5" s="3299" t="s">
        <v>2365</v>
      </c>
      <c r="F5" s="3300"/>
      <c r="G5" s="3301" t="s">
        <v>2366</v>
      </c>
      <c r="H5" s="3302"/>
      <c r="I5" s="3301" t="s">
        <v>2367</v>
      </c>
      <c r="J5" s="3302"/>
      <c r="K5" s="567"/>
      <c r="L5" s="2943"/>
      <c r="M5" s="2944"/>
      <c r="N5" s="2944"/>
      <c r="O5" s="2944"/>
      <c r="P5" s="3344"/>
      <c r="Q5" s="3315"/>
      <c r="R5" s="3297"/>
      <c r="S5" s="3298"/>
      <c r="T5" s="3297"/>
      <c r="U5" s="3298"/>
      <c r="V5" s="3320"/>
      <c r="W5" s="3320"/>
      <c r="X5" s="1541"/>
      <c r="Y5" s="3297"/>
      <c r="Z5" s="3298"/>
      <c r="AA5" s="3291"/>
      <c r="AB5" s="3291"/>
      <c r="AC5" s="3340"/>
    </row>
    <row r="6" spans="1:29" ht="15.75" thickBot="1">
      <c r="A6" s="366"/>
      <c r="B6" s="367"/>
      <c r="C6" s="3303" t="s">
        <v>2368</v>
      </c>
      <c r="D6" s="3304"/>
      <c r="E6" s="3305" t="s">
        <v>2368</v>
      </c>
      <c r="F6" s="3306"/>
      <c r="G6" s="3303" t="s">
        <v>2368</v>
      </c>
      <c r="H6" s="3304"/>
      <c r="I6" s="3303" t="s">
        <v>2368</v>
      </c>
      <c r="J6" s="3304"/>
      <c r="K6" s="567" t="s">
        <v>2369</v>
      </c>
      <c r="L6" s="2943"/>
      <c r="M6" s="2944"/>
      <c r="N6" s="2944"/>
      <c r="O6" s="2944"/>
      <c r="P6" s="3345"/>
      <c r="Q6" s="3317"/>
      <c r="R6" s="3297"/>
      <c r="S6" s="3298"/>
      <c r="T6" s="3318"/>
      <c r="U6" s="3319"/>
      <c r="V6" s="3320"/>
      <c r="W6" s="3320"/>
      <c r="X6" s="1541"/>
      <c r="Y6" s="3318"/>
      <c r="Z6" s="3319"/>
      <c r="AA6" s="3292"/>
      <c r="AB6" s="3292"/>
      <c r="AC6" s="3341"/>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47" t="s">
        <v>2371</v>
      </c>
      <c r="Q7" s="3321"/>
      <c r="R7" s="710" t="s">
        <v>17</v>
      </c>
      <c r="S7" s="711">
        <f t="shared" ref="S7:S15" si="0">F7</f>
        <v>100</v>
      </c>
      <c r="T7" s="710" t="s">
        <v>17</v>
      </c>
      <c r="U7" s="711">
        <f t="shared" ref="U7:U15" si="1">H7</f>
        <v>100</v>
      </c>
      <c r="V7" s="710" t="s">
        <v>17</v>
      </c>
      <c r="W7" s="711">
        <f t="shared" ref="W7:W15" si="2">J7</f>
        <v>100</v>
      </c>
      <c r="X7" s="712"/>
      <c r="Y7" s="3293" t="s">
        <v>2371</v>
      </c>
      <c r="Z7" s="3294"/>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47" t="s">
        <v>2374</v>
      </c>
      <c r="Q8" s="3294"/>
      <c r="R8" s="710" t="s">
        <v>17</v>
      </c>
      <c r="S8" s="711">
        <f t="shared" si="0"/>
        <v>100</v>
      </c>
      <c r="T8" s="710" t="s">
        <v>17</v>
      </c>
      <c r="U8" s="711">
        <f t="shared" si="1"/>
        <v>100</v>
      </c>
      <c r="V8" s="710" t="s">
        <v>17</v>
      </c>
      <c r="W8" s="711">
        <f t="shared" si="2"/>
        <v>100</v>
      </c>
      <c r="X8" s="712"/>
      <c r="Y8" s="3293" t="s">
        <v>2374</v>
      </c>
      <c r="Z8" s="3294"/>
      <c r="AA8" s="713">
        <f t="shared" ref="AA8:AA47" si="3">D8/F8</f>
        <v>1</v>
      </c>
      <c r="AB8" s="713">
        <f t="shared" ref="AB8:AB47" si="4">D8/H8</f>
        <v>1</v>
      </c>
      <c r="AC8" s="2147">
        <f t="shared" ref="AC8:AC47" si="5">D8/J8</f>
        <v>1</v>
      </c>
    </row>
    <row r="9" spans="1:29" s="113" customFormat="1" ht="15">
      <c r="A9" s="375" t="s">
        <v>2375</v>
      </c>
      <c r="B9" s="67" t="s">
        <v>2376</v>
      </c>
      <c r="C9" s="3047" t="s">
        <v>3146</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07" t="s">
        <v>2377</v>
      </c>
      <c r="Q9" s="1529" t="str">
        <f t="shared" ref="Q9:Q15" si="6">B9</f>
        <v>用途</v>
      </c>
      <c r="R9" s="710" t="s">
        <v>17</v>
      </c>
      <c r="S9" s="711">
        <f t="shared" si="0"/>
        <v>105</v>
      </c>
      <c r="T9" s="710" t="s">
        <v>17</v>
      </c>
      <c r="U9" s="711">
        <f t="shared" si="1"/>
        <v>105</v>
      </c>
      <c r="V9" s="710" t="s">
        <v>17</v>
      </c>
      <c r="W9" s="711">
        <f t="shared" si="2"/>
        <v>105</v>
      </c>
      <c r="X9" s="712"/>
      <c r="Y9" s="3235"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07"/>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07"/>
      <c r="Q11" s="1529" t="str">
        <f t="shared" si="6"/>
        <v>容积率</v>
      </c>
      <c r="R11" s="710" t="s">
        <v>17</v>
      </c>
      <c r="S11" s="711">
        <f t="shared" si="0"/>
        <v>100</v>
      </c>
      <c r="T11" s="710" t="s">
        <v>17</v>
      </c>
      <c r="U11" s="711">
        <f t="shared" si="1"/>
        <v>100</v>
      </c>
      <c r="V11" s="710" t="s">
        <v>17</v>
      </c>
      <c r="W11" s="711">
        <f t="shared" si="2"/>
        <v>100</v>
      </c>
      <c r="X11" s="712"/>
      <c r="Y11" s="3235"/>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07"/>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07"/>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07"/>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34" t="s">
        <v>2382</v>
      </c>
      <c r="Q15" s="1538" t="str">
        <f t="shared" si="6"/>
        <v>办公集聚程度</v>
      </c>
      <c r="R15" s="714" t="s">
        <v>17</v>
      </c>
      <c r="S15" s="715">
        <f t="shared" si="0"/>
        <v>102</v>
      </c>
      <c r="T15" s="714" t="s">
        <v>17</v>
      </c>
      <c r="U15" s="715">
        <f t="shared" si="1"/>
        <v>102</v>
      </c>
      <c r="V15" s="714" t="s">
        <v>17</v>
      </c>
      <c r="W15" s="715">
        <f t="shared" si="2"/>
        <v>102</v>
      </c>
      <c r="X15" s="1541"/>
      <c r="Y15" s="3327"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35"/>
      <c r="Q16" s="1538"/>
      <c r="R16" s="714"/>
      <c r="S16" s="715"/>
      <c r="T16" s="714"/>
      <c r="U16" s="715"/>
      <c r="V16" s="714"/>
      <c r="W16" s="715"/>
      <c r="X16" s="1541"/>
      <c r="Y16" s="3328"/>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35"/>
      <c r="Q17" s="1538" t="str">
        <f>B17</f>
        <v>交通便捷度</v>
      </c>
      <c r="R17" s="714" t="s">
        <v>17</v>
      </c>
      <c r="S17" s="715">
        <f>F17</f>
        <v>102</v>
      </c>
      <c r="T17" s="714" t="s">
        <v>17</v>
      </c>
      <c r="U17" s="715">
        <f>H17</f>
        <v>102</v>
      </c>
      <c r="V17" s="714" t="s">
        <v>17</v>
      </c>
      <c r="W17" s="715">
        <f>J17</f>
        <v>102</v>
      </c>
      <c r="X17" s="1541"/>
      <c r="Y17" s="3328"/>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35"/>
      <c r="Q18" s="1538"/>
      <c r="R18" s="714"/>
      <c r="S18" s="715"/>
      <c r="T18" s="714"/>
      <c r="U18" s="715"/>
      <c r="V18" s="714"/>
      <c r="W18" s="715"/>
      <c r="X18" s="1541"/>
      <c r="Y18" s="3328"/>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35"/>
      <c r="Q19" s="1538" t="str">
        <f>B19</f>
        <v>公共配套设施</v>
      </c>
      <c r="R19" s="714" t="s">
        <v>17</v>
      </c>
      <c r="S19" s="715">
        <f>F19</f>
        <v>102</v>
      </c>
      <c r="T19" s="714" t="s">
        <v>17</v>
      </c>
      <c r="U19" s="715">
        <f>H19</f>
        <v>102</v>
      </c>
      <c r="V19" s="714" t="s">
        <v>17</v>
      </c>
      <c r="W19" s="715">
        <f>J19</f>
        <v>102</v>
      </c>
      <c r="X19" s="1541"/>
      <c r="Y19" s="3328"/>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35"/>
      <c r="Q20" s="1538"/>
      <c r="R20" s="714"/>
      <c r="S20" s="715"/>
      <c r="T20" s="714"/>
      <c r="U20" s="715"/>
      <c r="V20" s="714"/>
      <c r="W20" s="715"/>
      <c r="X20" s="1541"/>
      <c r="Y20" s="3328"/>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35"/>
      <c r="Q21" s="1538" t="str">
        <f>B21</f>
        <v>基础设施水平</v>
      </c>
      <c r="R21" s="714" t="s">
        <v>17</v>
      </c>
      <c r="S21" s="715">
        <f>F21</f>
        <v>100</v>
      </c>
      <c r="T21" s="714" t="s">
        <v>17</v>
      </c>
      <c r="U21" s="715">
        <f>H21</f>
        <v>100</v>
      </c>
      <c r="V21" s="714" t="s">
        <v>17</v>
      </c>
      <c r="W21" s="715">
        <f>J21</f>
        <v>100</v>
      </c>
      <c r="X21" s="1541"/>
      <c r="Y21" s="3328"/>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35"/>
      <c r="Q22" s="1538"/>
      <c r="R22" s="714"/>
      <c r="S22" s="715"/>
      <c r="T22" s="714"/>
      <c r="U22" s="715"/>
      <c r="V22" s="714"/>
      <c r="W22" s="715"/>
      <c r="X22" s="1541"/>
      <c r="Y22" s="3328"/>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35"/>
      <c r="Q23" s="1538" t="str">
        <f>B23</f>
        <v>环境质量</v>
      </c>
      <c r="R23" s="714" t="s">
        <v>17</v>
      </c>
      <c r="S23" s="715">
        <f>F23</f>
        <v>100</v>
      </c>
      <c r="T23" s="714" t="s">
        <v>17</v>
      </c>
      <c r="U23" s="715">
        <f>H23</f>
        <v>100</v>
      </c>
      <c r="V23" s="714" t="s">
        <v>17</v>
      </c>
      <c r="W23" s="715">
        <f>J23</f>
        <v>100</v>
      </c>
      <c r="X23" s="1541"/>
      <c r="Y23" s="3328"/>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35"/>
      <c r="Q24" s="1538"/>
      <c r="R24" s="714"/>
      <c r="S24" s="715"/>
      <c r="T24" s="714"/>
      <c r="U24" s="715"/>
      <c r="V24" s="714"/>
      <c r="W24" s="715"/>
      <c r="X24" s="1541"/>
      <c r="Y24" s="3328"/>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35"/>
      <c r="Q25" s="1538" t="str">
        <f>B25</f>
        <v>毗邻道路的类型与等级</v>
      </c>
      <c r="R25" s="714" t="s">
        <v>17</v>
      </c>
      <c r="S25" s="715">
        <f>F25</f>
        <v>100</v>
      </c>
      <c r="T25" s="714" t="s">
        <v>17</v>
      </c>
      <c r="U25" s="715">
        <f>H25</f>
        <v>102</v>
      </c>
      <c r="V25" s="714" t="s">
        <v>17</v>
      </c>
      <c r="W25" s="715">
        <f>J25</f>
        <v>100</v>
      </c>
      <c r="X25" s="1541"/>
      <c r="Y25" s="3328"/>
      <c r="Z25" s="1542" t="str">
        <f>Q25</f>
        <v>毗邻道路的类型与等级</v>
      </c>
      <c r="AA25" s="1539">
        <f t="shared" si="3"/>
        <v>1</v>
      </c>
      <c r="AB25" s="1539">
        <f t="shared" si="4"/>
        <v>0.98039215686274506</v>
      </c>
      <c r="AC25" s="2150">
        <f t="shared" si="5"/>
        <v>1</v>
      </c>
    </row>
    <row r="26" spans="1:29" ht="15">
      <c r="A26" s="364"/>
      <c r="B26" s="588"/>
      <c r="C26" s="590" t="s">
        <v>3152</v>
      </c>
      <c r="D26" s="394"/>
      <c r="E26" s="573" t="s">
        <v>3152</v>
      </c>
      <c r="F26" s="394"/>
      <c r="G26" s="590" t="s">
        <v>3150</v>
      </c>
      <c r="H26" s="394"/>
      <c r="I26" s="573" t="s">
        <v>3152</v>
      </c>
      <c r="J26" s="394"/>
      <c r="K26" s="572"/>
      <c r="L26" s="2950"/>
      <c r="M26" s="2944"/>
      <c r="N26" s="2944"/>
      <c r="O26" s="2944"/>
      <c r="P26" s="3335"/>
      <c r="Q26" s="1538"/>
      <c r="R26" s="714"/>
      <c r="S26" s="715"/>
      <c r="T26" s="714"/>
      <c r="U26" s="715"/>
      <c r="V26" s="714"/>
      <c r="W26" s="715"/>
      <c r="X26" s="1541"/>
      <c r="Y26" s="3328"/>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35"/>
      <c r="Q27" s="1538" t="str">
        <f t="shared" ref="Q27:Q47" si="11">B27</f>
        <v>楼层</v>
      </c>
      <c r="R27" s="714" t="s">
        <v>17</v>
      </c>
      <c r="S27" s="715">
        <f>F27</f>
        <v>100</v>
      </c>
      <c r="T27" s="714" t="s">
        <v>17</v>
      </c>
      <c r="U27" s="715">
        <f>H27</f>
        <v>100</v>
      </c>
      <c r="V27" s="714" t="s">
        <v>17</v>
      </c>
      <c r="W27" s="715">
        <f>J27</f>
        <v>100</v>
      </c>
      <c r="X27" s="1541"/>
      <c r="Y27" s="3328"/>
      <c r="Z27" s="1542" t="str">
        <f>Q27</f>
        <v>楼层</v>
      </c>
      <c r="AA27" s="1539">
        <f t="shared" si="3"/>
        <v>1</v>
      </c>
      <c r="AB27" s="1539">
        <f t="shared" si="4"/>
        <v>1</v>
      </c>
      <c r="AC27" s="2150">
        <f t="shared" si="5"/>
        <v>1</v>
      </c>
    </row>
    <row r="28" spans="1:29" s="113" customFormat="1" ht="15">
      <c r="A28" s="390"/>
      <c r="B28" s="587" t="s">
        <v>2514</v>
      </c>
      <c r="C28" s="3062" t="s">
        <v>3158</v>
      </c>
      <c r="D28" s="421">
        <v>100</v>
      </c>
      <c r="E28" s="3062" t="s">
        <v>3158</v>
      </c>
      <c r="F28" s="421">
        <f>SUMIF(91:91,E28,92:92)-SUMIF(91:91,C28,92:92)+100</f>
        <v>100</v>
      </c>
      <c r="G28" s="3062" t="s">
        <v>3158</v>
      </c>
      <c r="H28" s="421">
        <f>SUMIF(91:91,G28,92:92)-SUMIF(91:91,C28,92:92)+100</f>
        <v>100</v>
      </c>
      <c r="I28" s="3062" t="s">
        <v>3158</v>
      </c>
      <c r="J28" s="421">
        <f>SUMIF(91:91,I28,92:92)-SUMIF(91:91,C28,92:92)+100</f>
        <v>100</v>
      </c>
      <c r="K28" s="569"/>
      <c r="L28" s="2945"/>
      <c r="M28" s="2946"/>
      <c r="N28" s="2946"/>
      <c r="O28" s="2946"/>
      <c r="P28" s="3335"/>
      <c r="Q28" s="1529" t="str">
        <f t="shared" si="11"/>
        <v>朝向</v>
      </c>
      <c r="R28" s="710" t="s">
        <v>17</v>
      </c>
      <c r="S28" s="711">
        <f>F28</f>
        <v>100</v>
      </c>
      <c r="T28" s="710" t="s">
        <v>17</v>
      </c>
      <c r="U28" s="711">
        <f>H28</f>
        <v>100</v>
      </c>
      <c r="V28" s="710" t="s">
        <v>17</v>
      </c>
      <c r="W28" s="711">
        <f>J28</f>
        <v>100</v>
      </c>
      <c r="X28" s="712"/>
      <c r="Y28" s="3328"/>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35"/>
      <c r="Q29" s="1538">
        <f t="shared" si="11"/>
        <v>111</v>
      </c>
      <c r="R29" s="714" t="s">
        <v>17</v>
      </c>
      <c r="S29" s="715">
        <f t="shared" ref="S29:S47" si="12">F29</f>
        <v>100</v>
      </c>
      <c r="T29" s="714" t="s">
        <v>17</v>
      </c>
      <c r="U29" s="715">
        <f t="shared" ref="U29:U47" si="13">H29</f>
        <v>100</v>
      </c>
      <c r="V29" s="714" t="s">
        <v>17</v>
      </c>
      <c r="W29" s="715">
        <f t="shared" ref="W29:W47" si="14">J29</f>
        <v>100</v>
      </c>
      <c r="X29" s="1541"/>
      <c r="Y29" s="3328"/>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35"/>
      <c r="Q30" s="1538">
        <f t="shared" si="11"/>
        <v>111</v>
      </c>
      <c r="R30" s="714" t="s">
        <v>17</v>
      </c>
      <c r="S30" s="715">
        <f t="shared" si="12"/>
        <v>100</v>
      </c>
      <c r="T30" s="714" t="s">
        <v>17</v>
      </c>
      <c r="U30" s="715">
        <f t="shared" si="13"/>
        <v>100</v>
      </c>
      <c r="V30" s="714" t="s">
        <v>17</v>
      </c>
      <c r="W30" s="715">
        <f t="shared" si="14"/>
        <v>100</v>
      </c>
      <c r="X30" s="1541"/>
      <c r="Y30" s="3328"/>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35"/>
      <c r="Q31" s="1538">
        <f t="shared" si="11"/>
        <v>111</v>
      </c>
      <c r="R31" s="714" t="s">
        <v>17</v>
      </c>
      <c r="S31" s="715">
        <f t="shared" si="12"/>
        <v>100</v>
      </c>
      <c r="T31" s="714" t="s">
        <v>17</v>
      </c>
      <c r="U31" s="715">
        <f t="shared" si="13"/>
        <v>100</v>
      </c>
      <c r="V31" s="714" t="s">
        <v>17</v>
      </c>
      <c r="W31" s="715">
        <f t="shared" si="14"/>
        <v>100</v>
      </c>
      <c r="X31" s="1541"/>
      <c r="Y31" s="332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35"/>
      <c r="Q32" s="1538">
        <f t="shared" si="11"/>
        <v>111</v>
      </c>
      <c r="R32" s="714" t="s">
        <v>17</v>
      </c>
      <c r="S32" s="715">
        <f t="shared" si="12"/>
        <v>100</v>
      </c>
      <c r="T32" s="714" t="s">
        <v>17</v>
      </c>
      <c r="U32" s="715">
        <f t="shared" si="13"/>
        <v>100</v>
      </c>
      <c r="V32" s="714" t="s">
        <v>17</v>
      </c>
      <c r="W32" s="715">
        <f t="shared" si="14"/>
        <v>100</v>
      </c>
      <c r="X32" s="1541"/>
      <c r="Y32" s="3328"/>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29" t="s">
        <v>2387</v>
      </c>
      <c r="Q33" s="1538" t="str">
        <f t="shared" si="11"/>
        <v>建筑类型</v>
      </c>
      <c r="R33" s="714" t="s">
        <v>17</v>
      </c>
      <c r="S33" s="715">
        <f t="shared" si="12"/>
        <v>100</v>
      </c>
      <c r="T33" s="714" t="s">
        <v>17</v>
      </c>
      <c r="U33" s="715">
        <f t="shared" si="13"/>
        <v>100</v>
      </c>
      <c r="V33" s="714" t="s">
        <v>17</v>
      </c>
      <c r="W33" s="715">
        <f t="shared" si="14"/>
        <v>100</v>
      </c>
      <c r="X33" s="1541"/>
      <c r="Y33" s="3332"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30"/>
      <c r="Q34" s="716" t="str">
        <f t="shared" si="11"/>
        <v>项目建筑规模</v>
      </c>
      <c r="R34" s="717" t="s">
        <v>17</v>
      </c>
      <c r="S34" s="718">
        <f t="shared" si="12"/>
        <v>98</v>
      </c>
      <c r="T34" s="717" t="s">
        <v>17</v>
      </c>
      <c r="U34" s="718">
        <f t="shared" si="13"/>
        <v>101</v>
      </c>
      <c r="V34" s="717" t="s">
        <v>17</v>
      </c>
      <c r="W34" s="718">
        <f t="shared" si="14"/>
        <v>101</v>
      </c>
      <c r="X34" s="719"/>
      <c r="Y34" s="3332"/>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3174</v>
      </c>
      <c r="D35" s="394">
        <v>100</v>
      </c>
      <c r="E35" s="3063" t="s">
        <v>3174</v>
      </c>
      <c r="F35" s="420">
        <f>SUMIF(106:106,E35,107:107)-SUMIF(106:106,C35,107:107)+100</f>
        <v>100</v>
      </c>
      <c r="G35" s="3063" t="s">
        <v>3174</v>
      </c>
      <c r="H35" s="394">
        <f>SUMIF(106:106,G35,107:107)-SUMIF(106:106,C35,107:107)+100</f>
        <v>100</v>
      </c>
      <c r="I35" s="3063" t="s">
        <v>3174</v>
      </c>
      <c r="J35" s="394">
        <f>SUMIF(106:106,I35,107:107)-SUMIF(106:106,C35,107:107)+100</f>
        <v>100</v>
      </c>
      <c r="K35" s="569">
        <v>1</v>
      </c>
      <c r="L35" s="2950"/>
      <c r="M35" s="2944"/>
      <c r="N35" s="2944"/>
      <c r="O35" s="2944"/>
      <c r="P35" s="3330"/>
      <c r="Q35" s="1538" t="str">
        <f t="shared" si="11"/>
        <v>建筑结构</v>
      </c>
      <c r="R35" s="714" t="s">
        <v>17</v>
      </c>
      <c r="S35" s="715">
        <f t="shared" si="12"/>
        <v>100</v>
      </c>
      <c r="T35" s="714" t="s">
        <v>17</v>
      </c>
      <c r="U35" s="715">
        <f t="shared" si="13"/>
        <v>100</v>
      </c>
      <c r="V35" s="714" t="s">
        <v>17</v>
      </c>
      <c r="W35" s="715">
        <f t="shared" si="14"/>
        <v>100</v>
      </c>
      <c r="X35" s="1541"/>
      <c r="Y35" s="3332"/>
      <c r="Z35" s="1542" t="str">
        <f t="shared" si="15"/>
        <v>建筑结构</v>
      </c>
      <c r="AA35" s="1539">
        <f t="shared" si="3"/>
        <v>1</v>
      </c>
      <c r="AB35" s="1539">
        <f t="shared" si="4"/>
        <v>1</v>
      </c>
      <c r="AC35" s="2150">
        <f t="shared" si="5"/>
        <v>1</v>
      </c>
    </row>
    <row r="36" spans="1:29" ht="15">
      <c r="A36" s="431"/>
      <c r="B36" s="381" t="s">
        <v>2483</v>
      </c>
      <c r="C36" s="3063" t="s">
        <v>3159</v>
      </c>
      <c r="D36" s="394">
        <v>100</v>
      </c>
      <c r="E36" s="3063" t="s">
        <v>3159</v>
      </c>
      <c r="F36" s="420">
        <f>SUMIF(108:108,E36,109:109)-SUMIF(108:108,C36,109:109)+100</f>
        <v>100</v>
      </c>
      <c r="G36" s="3063" t="s">
        <v>3159</v>
      </c>
      <c r="H36" s="394">
        <f>SUMIF(108:108,G36,109:109)-SUMIF(108:108,C36,109:109)+100</f>
        <v>100</v>
      </c>
      <c r="I36" s="3063" t="s">
        <v>3159</v>
      </c>
      <c r="J36" s="394">
        <f>SUMIF(108:108,I36,109:109)-SUMIF(108:108,C36,109:109)+100</f>
        <v>100</v>
      </c>
      <c r="K36" s="569">
        <v>1</v>
      </c>
      <c r="L36" s="2950"/>
      <c r="M36" s="2944"/>
      <c r="N36" s="2944"/>
      <c r="O36" s="2944"/>
      <c r="P36" s="3330"/>
      <c r="Q36" s="1538" t="str">
        <f t="shared" si="11"/>
        <v>公共部分装修</v>
      </c>
      <c r="R36" s="714" t="s">
        <v>17</v>
      </c>
      <c r="S36" s="715">
        <f t="shared" si="12"/>
        <v>100</v>
      </c>
      <c r="T36" s="714" t="s">
        <v>17</v>
      </c>
      <c r="U36" s="715">
        <f t="shared" si="13"/>
        <v>100</v>
      </c>
      <c r="V36" s="714" t="s">
        <v>17</v>
      </c>
      <c r="W36" s="715">
        <f t="shared" si="14"/>
        <v>100</v>
      </c>
      <c r="X36" s="1541"/>
      <c r="Y36" s="3332"/>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30"/>
      <c r="Q37" s="1538" t="str">
        <f t="shared" si="11"/>
        <v>成新度</v>
      </c>
      <c r="R37" s="714" t="s">
        <v>17</v>
      </c>
      <c r="S37" s="715">
        <f t="shared" si="12"/>
        <v>101</v>
      </c>
      <c r="T37" s="714" t="s">
        <v>17</v>
      </c>
      <c r="U37" s="715">
        <f t="shared" si="13"/>
        <v>101</v>
      </c>
      <c r="V37" s="714" t="s">
        <v>17</v>
      </c>
      <c r="W37" s="715">
        <f t="shared" si="14"/>
        <v>101</v>
      </c>
      <c r="X37" s="1541"/>
      <c r="Y37" s="3332"/>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30"/>
      <c r="Q38" s="1529" t="str">
        <f t="shared" si="11"/>
        <v>写字楼等级</v>
      </c>
      <c r="R38" s="710" t="s">
        <v>17</v>
      </c>
      <c r="S38" s="711">
        <f t="shared" si="12"/>
        <v>100</v>
      </c>
      <c r="T38" s="710" t="s">
        <v>17</v>
      </c>
      <c r="U38" s="711">
        <f t="shared" si="13"/>
        <v>100</v>
      </c>
      <c r="V38" s="710" t="s">
        <v>17</v>
      </c>
      <c r="W38" s="711">
        <f t="shared" si="14"/>
        <v>100</v>
      </c>
      <c r="X38" s="712"/>
      <c r="Y38" s="3332"/>
      <c r="Z38" s="55" t="str">
        <f t="shared" si="15"/>
        <v>写字楼等级</v>
      </c>
      <c r="AA38" s="713">
        <f t="shared" si="3"/>
        <v>1</v>
      </c>
      <c r="AB38" s="713">
        <f t="shared" si="4"/>
        <v>1</v>
      </c>
      <c r="AC38" s="2147">
        <f t="shared" si="5"/>
        <v>1</v>
      </c>
    </row>
    <row r="39" spans="1:29" ht="15">
      <c r="A39" s="431"/>
      <c r="B39" s="381" t="s">
        <v>2517</v>
      </c>
      <c r="C39" s="3063" t="s">
        <v>3160</v>
      </c>
      <c r="D39" s="394">
        <v>100</v>
      </c>
      <c r="E39" s="3063" t="s">
        <v>3160</v>
      </c>
      <c r="F39" s="420">
        <f>SUMIF(115:115,E39,116:116)-SUMIF(115:115,C39,116:116)+100</f>
        <v>100</v>
      </c>
      <c r="G39" s="3063" t="s">
        <v>3165</v>
      </c>
      <c r="H39" s="394">
        <f>SUMIF(115:115,G39,116:116)-SUMIF(115:115,C39,116:116)+100</f>
        <v>102</v>
      </c>
      <c r="I39" s="3063" t="s">
        <v>3160</v>
      </c>
      <c r="J39" s="394">
        <f>SUMIF(115:115,I39,116:116)-SUMIF(115:115,C39,116:116)+100</f>
        <v>100</v>
      </c>
      <c r="K39" s="569">
        <v>2</v>
      </c>
      <c r="L39" s="2950"/>
      <c r="M39" s="2944"/>
      <c r="N39" s="2944"/>
      <c r="O39" s="2944"/>
      <c r="P39" s="3330" t="s">
        <v>2387</v>
      </c>
      <c r="Q39" s="1538" t="str">
        <f t="shared" si="11"/>
        <v>物业管理</v>
      </c>
      <c r="R39" s="714" t="s">
        <v>17</v>
      </c>
      <c r="S39" s="715">
        <f t="shared" si="12"/>
        <v>100</v>
      </c>
      <c r="T39" s="714" t="s">
        <v>17</v>
      </c>
      <c r="U39" s="715">
        <f t="shared" si="13"/>
        <v>102</v>
      </c>
      <c r="V39" s="714" t="s">
        <v>17</v>
      </c>
      <c r="W39" s="715">
        <f t="shared" si="14"/>
        <v>100</v>
      </c>
      <c r="X39" s="1541"/>
      <c r="Y39" s="3332" t="s">
        <v>2387</v>
      </c>
      <c r="Z39" s="1542" t="str">
        <f t="shared" si="15"/>
        <v>物业管理</v>
      </c>
      <c r="AA39" s="1539">
        <f t="shared" si="3"/>
        <v>1</v>
      </c>
      <c r="AB39" s="1539">
        <f t="shared" si="4"/>
        <v>0.98039215686274506</v>
      </c>
      <c r="AC39" s="2150">
        <f t="shared" si="5"/>
        <v>1</v>
      </c>
    </row>
    <row r="40" spans="1:29" ht="15">
      <c r="A40" s="431"/>
      <c r="B40" s="381" t="s">
        <v>2485</v>
      </c>
      <c r="C40" s="3063" t="s">
        <v>3161</v>
      </c>
      <c r="D40" s="394">
        <v>100</v>
      </c>
      <c r="E40" s="3063" t="s">
        <v>3162</v>
      </c>
      <c r="F40" s="420">
        <f>SUMIF(117:117,E40,118:118)-SUMIF(117:117,C40,118:118)+100</f>
        <v>102</v>
      </c>
      <c r="G40" s="3063" t="s">
        <v>3147</v>
      </c>
      <c r="H40" s="394">
        <f>SUMIF(117:117,G40,118:118)-SUMIF(117:117,C40,118:118)+100</f>
        <v>100</v>
      </c>
      <c r="I40" s="3063" t="s">
        <v>3162</v>
      </c>
      <c r="J40" s="394">
        <f>SUMIF(117:117,I40,118:118)-SUMIF(117:117,C40,118:118)+100</f>
        <v>102</v>
      </c>
      <c r="K40" s="569">
        <v>2</v>
      </c>
      <c r="L40" s="2950"/>
      <c r="M40" s="2944"/>
      <c r="N40" s="2944"/>
      <c r="O40" s="2944"/>
      <c r="P40" s="3330"/>
      <c r="Q40" s="1538" t="str">
        <f t="shared" si="11"/>
        <v>市政基础设施</v>
      </c>
      <c r="R40" s="714" t="s">
        <v>17</v>
      </c>
      <c r="S40" s="715">
        <f t="shared" si="12"/>
        <v>102</v>
      </c>
      <c r="T40" s="714" t="s">
        <v>17</v>
      </c>
      <c r="U40" s="715">
        <f t="shared" si="13"/>
        <v>100</v>
      </c>
      <c r="V40" s="714" t="s">
        <v>17</v>
      </c>
      <c r="W40" s="715">
        <f t="shared" si="14"/>
        <v>102</v>
      </c>
      <c r="X40" s="1541"/>
      <c r="Y40" s="3332"/>
      <c r="Z40" s="1542" t="str">
        <f t="shared" si="15"/>
        <v>市政基础设施</v>
      </c>
      <c r="AA40" s="1539">
        <f t="shared" si="3"/>
        <v>0.98039215686274506</v>
      </c>
      <c r="AB40" s="1539">
        <f t="shared" si="4"/>
        <v>1</v>
      </c>
      <c r="AC40" s="2150">
        <f t="shared" si="5"/>
        <v>0.98039215686274506</v>
      </c>
    </row>
    <row r="41" spans="1:29" ht="15">
      <c r="A41" s="431"/>
      <c r="B41" s="381" t="s">
        <v>2487</v>
      </c>
      <c r="C41" s="3064" t="s">
        <v>3163</v>
      </c>
      <c r="D41" s="394">
        <v>100</v>
      </c>
      <c r="E41" s="3064" t="s">
        <v>3163</v>
      </c>
      <c r="F41" s="420">
        <f>SUMIF(119:119,E41,120:120)-SUMIF(119:119,C41,120:120)+100</f>
        <v>100</v>
      </c>
      <c r="G41" s="3064" t="s">
        <v>3163</v>
      </c>
      <c r="H41" s="394">
        <f>SUMIF(119:119,G41,120:120)-SUMIF(119:119,C41,120:120)+100</f>
        <v>100</v>
      </c>
      <c r="I41" s="3064" t="s">
        <v>3163</v>
      </c>
      <c r="J41" s="394">
        <f>SUMIF(119:119,I41,120:120)-SUMIF(119:119,C41,120:120)+100</f>
        <v>100</v>
      </c>
      <c r="K41" s="569"/>
      <c r="L41" s="2950"/>
      <c r="M41" s="2944"/>
      <c r="N41" s="2944"/>
      <c r="O41" s="2944"/>
      <c r="P41" s="3330"/>
      <c r="Q41" s="1538" t="str">
        <f t="shared" si="11"/>
        <v>层高</v>
      </c>
      <c r="R41" s="714" t="s">
        <v>17</v>
      </c>
      <c r="S41" s="715">
        <f t="shared" si="12"/>
        <v>100</v>
      </c>
      <c r="T41" s="714" t="s">
        <v>17</v>
      </c>
      <c r="U41" s="715">
        <f t="shared" si="13"/>
        <v>100</v>
      </c>
      <c r="V41" s="714" t="s">
        <v>17</v>
      </c>
      <c r="W41" s="715">
        <f t="shared" si="14"/>
        <v>100</v>
      </c>
      <c r="X41" s="1541"/>
      <c r="Y41" s="3332"/>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30"/>
      <c r="Q42" s="716" t="str">
        <f t="shared" si="11"/>
        <v>单套建筑面积</v>
      </c>
      <c r="R42" s="717" t="s">
        <v>17</v>
      </c>
      <c r="S42" s="718">
        <f t="shared" si="12"/>
        <v>100</v>
      </c>
      <c r="T42" s="717" t="s">
        <v>17</v>
      </c>
      <c r="U42" s="718">
        <f t="shared" si="13"/>
        <v>100</v>
      </c>
      <c r="V42" s="717" t="s">
        <v>17</v>
      </c>
      <c r="W42" s="718">
        <f t="shared" si="14"/>
        <v>100</v>
      </c>
      <c r="X42" s="719"/>
      <c r="Y42" s="3332"/>
      <c r="Z42" s="720" t="str">
        <f t="shared" si="15"/>
        <v>单套建筑面积</v>
      </c>
      <c r="AA42" s="1539">
        <f t="shared" si="3"/>
        <v>1</v>
      </c>
      <c r="AB42" s="1539">
        <f t="shared" si="4"/>
        <v>1</v>
      </c>
      <c r="AC42" s="2150">
        <f t="shared" si="5"/>
        <v>1</v>
      </c>
    </row>
    <row r="43" spans="1:29" ht="15">
      <c r="A43" s="431"/>
      <c r="B43" s="381" t="s">
        <v>2490</v>
      </c>
      <c r="C43" s="3063" t="s">
        <v>3159</v>
      </c>
      <c r="D43" s="394">
        <v>100</v>
      </c>
      <c r="E43" s="3063" t="s">
        <v>3159</v>
      </c>
      <c r="F43" s="420">
        <f>SUMIF(123:123,E43,124:124)-SUMIF(123:123,C43,124:124)+100</f>
        <v>100</v>
      </c>
      <c r="G43" s="3063" t="s">
        <v>3159</v>
      </c>
      <c r="H43" s="394">
        <f>SUMIF(123:123,G43,124:124)-SUMIF(123:123,C43,124:124)+100</f>
        <v>100</v>
      </c>
      <c r="I43" s="3063" t="s">
        <v>3159</v>
      </c>
      <c r="J43" s="394">
        <f>SUMIF(123:123,I43,124:124)-SUMIF(123:123,C43,124:124)+100</f>
        <v>100</v>
      </c>
      <c r="K43" s="569"/>
      <c r="L43" s="2950"/>
      <c r="M43" s="2944"/>
      <c r="N43" s="2944"/>
      <c r="O43" s="2944"/>
      <c r="P43" s="3330"/>
      <c r="Q43" s="1538" t="str">
        <f t="shared" si="11"/>
        <v>内部装修</v>
      </c>
      <c r="R43" s="714" t="s">
        <v>17</v>
      </c>
      <c r="S43" s="715">
        <f t="shared" si="12"/>
        <v>100</v>
      </c>
      <c r="T43" s="714" t="s">
        <v>17</v>
      </c>
      <c r="U43" s="715">
        <f t="shared" si="13"/>
        <v>100</v>
      </c>
      <c r="V43" s="714" t="s">
        <v>17</v>
      </c>
      <c r="W43" s="715">
        <f t="shared" si="14"/>
        <v>100</v>
      </c>
      <c r="X43" s="1541"/>
      <c r="Y43" s="3332"/>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30"/>
      <c r="Q44" s="1538" t="str">
        <f t="shared" si="11"/>
        <v>内部装修维护情况</v>
      </c>
      <c r="R44" s="714" t="s">
        <v>17</v>
      </c>
      <c r="S44" s="715">
        <f t="shared" si="12"/>
        <v>100</v>
      </c>
      <c r="T44" s="714" t="s">
        <v>17</v>
      </c>
      <c r="U44" s="715">
        <f t="shared" si="13"/>
        <v>100</v>
      </c>
      <c r="V44" s="714" t="s">
        <v>17</v>
      </c>
      <c r="W44" s="715">
        <f t="shared" si="14"/>
        <v>100</v>
      </c>
      <c r="X44" s="1541"/>
      <c r="Y44" s="3332"/>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30"/>
      <c r="Q45" s="1529">
        <f t="shared" si="11"/>
        <v>111</v>
      </c>
      <c r="R45" s="710" t="s">
        <v>17</v>
      </c>
      <c r="S45" s="711">
        <f t="shared" si="12"/>
        <v>100</v>
      </c>
      <c r="T45" s="710" t="s">
        <v>17</v>
      </c>
      <c r="U45" s="711">
        <f t="shared" si="13"/>
        <v>100</v>
      </c>
      <c r="V45" s="710" t="s">
        <v>17</v>
      </c>
      <c r="W45" s="711">
        <f t="shared" si="14"/>
        <v>100</v>
      </c>
      <c r="X45" s="712"/>
      <c r="Y45" s="3332"/>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30"/>
      <c r="Q46" s="1538">
        <f t="shared" si="11"/>
        <v>111</v>
      </c>
      <c r="R46" s="714" t="s">
        <v>17</v>
      </c>
      <c r="S46" s="715">
        <f t="shared" si="12"/>
        <v>100</v>
      </c>
      <c r="T46" s="714" t="s">
        <v>17</v>
      </c>
      <c r="U46" s="715">
        <f t="shared" si="13"/>
        <v>100</v>
      </c>
      <c r="V46" s="714" t="s">
        <v>17</v>
      </c>
      <c r="W46" s="715">
        <f t="shared" si="14"/>
        <v>100</v>
      </c>
      <c r="X46" s="1541"/>
      <c r="Y46" s="3332"/>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31"/>
      <c r="Q47" s="1538">
        <f t="shared" si="11"/>
        <v>111</v>
      </c>
      <c r="R47" s="714" t="s">
        <v>17</v>
      </c>
      <c r="S47" s="715">
        <f t="shared" si="12"/>
        <v>100</v>
      </c>
      <c r="T47" s="714" t="s">
        <v>17</v>
      </c>
      <c r="U47" s="715">
        <f t="shared" si="13"/>
        <v>100</v>
      </c>
      <c r="V47" s="714" t="s">
        <v>17</v>
      </c>
      <c r="W47" s="715">
        <f t="shared" si="14"/>
        <v>100</v>
      </c>
      <c r="X47" s="1541"/>
      <c r="Y47" s="3333"/>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07" t="str">
        <f>A48</f>
        <v>成交单价（元/平方米）</v>
      </c>
      <c r="Q48" s="3325"/>
      <c r="R48" s="3326">
        <f>E48</f>
        <v>6.5</v>
      </c>
      <c r="S48" s="3326"/>
      <c r="T48" s="3326">
        <f>G48</f>
        <v>7.8</v>
      </c>
      <c r="U48" s="3326"/>
      <c r="V48" s="3326">
        <f>I48</f>
        <v>5.7</v>
      </c>
      <c r="W48" s="3326"/>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07" t="str">
        <f>A49</f>
        <v>比较价值（元/平方米）</v>
      </c>
      <c r="Q49" s="3325"/>
      <c r="R49" s="3326">
        <f>IF(F1="售价",ROUND(PRODUCT(R48,AA7:AA47),0),ROUND(PRODUCT(R48,AA7:AA47),1))</f>
        <v>5.8</v>
      </c>
      <c r="S49" s="3326"/>
      <c r="T49" s="3326">
        <f>IF(F1="售价",ROUND(PRODUCT(T48,AB7:AB47),0),ROUND(PRODUCT(T48,AB7:AB47),1))</f>
        <v>6.6</v>
      </c>
      <c r="U49" s="3326"/>
      <c r="V49" s="3326">
        <f>IF(F1="售价",ROUND(PRODUCT(V48,AC7:AC47),0),ROUND(PRODUCT(V48,AC7:AC47),1))</f>
        <v>4.9000000000000004</v>
      </c>
      <c r="W49" s="3326"/>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48" t="str">
        <f>A50</f>
        <v>估价对象XX用房的比较价值（楼面单价，元/平方米）</v>
      </c>
      <c r="Q50" s="3349"/>
      <c r="R50" s="3350">
        <f>IF(F1="售价",ROUND(IF(D49="简单平均",AVERAGE(R49:V49),R49*F49+T49*H49+V49*J49),0),ROUND(IF(D49="简单平均",AVERAGE(R49:V49),R49*F49+T49*H49+V49*J49),1))</f>
        <v>5.8</v>
      </c>
      <c r="S50" s="3350"/>
      <c r="T50" s="3350"/>
      <c r="U50" s="3350"/>
      <c r="V50" s="3350"/>
      <c r="W50" s="3350"/>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3172</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3148</v>
      </c>
      <c r="D87" s="3048" t="s">
        <v>3149</v>
      </c>
      <c r="E87" s="3048" t="s">
        <v>3151</v>
      </c>
      <c r="F87" s="3048" t="s">
        <v>3153</v>
      </c>
      <c r="G87" s="3048" t="s">
        <v>3154</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3155</v>
      </c>
      <c r="D89" s="3048" t="s">
        <v>3156</v>
      </c>
      <c r="E89" s="3048" t="s">
        <v>3157</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3158</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3173</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3166</v>
      </c>
      <c r="D115" s="3048" t="s">
        <v>3160</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3162</v>
      </c>
      <c r="D117" s="3048" t="s">
        <v>3164</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1266.6499999999999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1044"/>
      <c r="M4" s="1045"/>
      <c r="N4" s="1045"/>
      <c r="O4" s="1045"/>
      <c r="P4" s="3312" t="s">
        <v>2473</v>
      </c>
      <c r="Q4" s="3313"/>
      <c r="R4" s="3295" t="s">
        <v>2469</v>
      </c>
      <c r="S4" s="3296"/>
      <c r="T4" s="3295" t="s">
        <v>2470</v>
      </c>
      <c r="U4" s="3296"/>
      <c r="V4" s="3320" t="s">
        <v>2471</v>
      </c>
      <c r="W4" s="3320"/>
      <c r="X4" s="1541"/>
      <c r="Y4" s="3295" t="s">
        <v>2473</v>
      </c>
      <c r="Z4" s="3296"/>
      <c r="AA4" s="3290" t="s">
        <v>2469</v>
      </c>
      <c r="AB4" s="3291" t="s">
        <v>2470</v>
      </c>
      <c r="AC4" s="3290" t="s">
        <v>2471</v>
      </c>
    </row>
    <row r="5" spans="1:29" ht="15">
      <c r="A5" s="364"/>
      <c r="B5" s="365"/>
      <c r="C5" s="3301" t="s">
        <v>2364</v>
      </c>
      <c r="D5" s="3302"/>
      <c r="E5" s="3299" t="s">
        <v>2365</v>
      </c>
      <c r="F5" s="3300"/>
      <c r="G5" s="3301" t="s">
        <v>2366</v>
      </c>
      <c r="H5" s="3302"/>
      <c r="I5" s="3301" t="s">
        <v>2367</v>
      </c>
      <c r="J5" s="3302"/>
      <c r="K5" s="567"/>
      <c r="L5" s="1044"/>
      <c r="M5" s="1045"/>
      <c r="N5" s="1045"/>
      <c r="O5" s="1045"/>
      <c r="P5" s="3314"/>
      <c r="Q5" s="3315"/>
      <c r="R5" s="3297"/>
      <c r="S5" s="3298"/>
      <c r="T5" s="3297"/>
      <c r="U5" s="3298"/>
      <c r="V5" s="3320"/>
      <c r="W5" s="3320"/>
      <c r="X5" s="1541"/>
      <c r="Y5" s="3297"/>
      <c r="Z5" s="3298"/>
      <c r="AA5" s="3291"/>
      <c r="AB5" s="3291"/>
      <c r="AC5" s="3291"/>
    </row>
    <row r="6" spans="1:29" ht="15.75" thickBot="1">
      <c r="A6" s="366"/>
      <c r="B6" s="367"/>
      <c r="C6" s="3303" t="s">
        <v>2368</v>
      </c>
      <c r="D6" s="3304"/>
      <c r="E6" s="3305" t="s">
        <v>2368</v>
      </c>
      <c r="F6" s="3306"/>
      <c r="G6" s="3303" t="s">
        <v>2368</v>
      </c>
      <c r="H6" s="3304"/>
      <c r="I6" s="3303" t="s">
        <v>2368</v>
      </c>
      <c r="J6" s="3304"/>
      <c r="K6" s="567" t="s">
        <v>2369</v>
      </c>
      <c r="L6" s="1044"/>
      <c r="M6" s="1045"/>
      <c r="N6" s="1045"/>
      <c r="O6" s="1045"/>
      <c r="P6" s="3316"/>
      <c r="Q6" s="3317"/>
      <c r="R6" s="3297"/>
      <c r="S6" s="3298"/>
      <c r="T6" s="3318"/>
      <c r="U6" s="3319"/>
      <c r="V6" s="3320"/>
      <c r="W6" s="3320"/>
      <c r="X6" s="1541"/>
      <c r="Y6" s="3318"/>
      <c r="Z6" s="3319"/>
      <c r="AA6" s="3292"/>
      <c r="AB6" s="3292"/>
      <c r="AC6" s="3292"/>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3" t="s">
        <v>2371</v>
      </c>
      <c r="Q7" s="3321"/>
      <c r="R7" s="710" t="s">
        <v>17</v>
      </c>
      <c r="S7" s="711">
        <f t="shared" ref="S7:S15" si="0">F7</f>
        <v>0</v>
      </c>
      <c r="T7" s="710" t="s">
        <v>17</v>
      </c>
      <c r="U7" s="711">
        <f t="shared" ref="U7:U15" si="1">H7</f>
        <v>0</v>
      </c>
      <c r="V7" s="710" t="s">
        <v>17</v>
      </c>
      <c r="W7" s="711">
        <f t="shared" ref="W7:W15" si="2">J7</f>
        <v>0</v>
      </c>
      <c r="X7" s="712"/>
      <c r="Y7" s="3293" t="s">
        <v>2371</v>
      </c>
      <c r="Z7" s="3294"/>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3" t="s">
        <v>2374</v>
      </c>
      <c r="Q8" s="3294"/>
      <c r="R8" s="710" t="s">
        <v>17</v>
      </c>
      <c r="S8" s="711">
        <f t="shared" si="0"/>
        <v>0</v>
      </c>
      <c r="T8" s="710" t="s">
        <v>17</v>
      </c>
      <c r="U8" s="711">
        <f t="shared" si="1"/>
        <v>0</v>
      </c>
      <c r="V8" s="710" t="s">
        <v>17</v>
      </c>
      <c r="W8" s="711">
        <f t="shared" si="2"/>
        <v>0</v>
      </c>
      <c r="X8" s="712"/>
      <c r="Y8" s="3293" t="s">
        <v>2374</v>
      </c>
      <c r="Z8" s="3294"/>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5" t="s">
        <v>2377</v>
      </c>
      <c r="Q9" s="1529" t="str">
        <f t="shared" ref="Q9:Q15" si="6">B9</f>
        <v>用途</v>
      </c>
      <c r="R9" s="710" t="s">
        <v>17</v>
      </c>
      <c r="S9" s="711">
        <f t="shared" si="0"/>
        <v>100</v>
      </c>
      <c r="T9" s="710" t="s">
        <v>17</v>
      </c>
      <c r="U9" s="711">
        <f t="shared" si="1"/>
        <v>100</v>
      </c>
      <c r="V9" s="710" t="s">
        <v>17</v>
      </c>
      <c r="W9" s="711">
        <f t="shared" si="2"/>
        <v>100</v>
      </c>
      <c r="X9" s="712"/>
      <c r="Y9" s="3235"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5"/>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5"/>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25"/>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25"/>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25"/>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7" t="s">
        <v>2382</v>
      </c>
      <c r="Q15" s="1538" t="str">
        <f t="shared" si="6"/>
        <v>产业集聚程度</v>
      </c>
      <c r="R15" s="714" t="s">
        <v>17</v>
      </c>
      <c r="S15" s="715">
        <f t="shared" si="0"/>
        <v>100</v>
      </c>
      <c r="T15" s="714" t="s">
        <v>17</v>
      </c>
      <c r="U15" s="715">
        <f t="shared" si="1"/>
        <v>100</v>
      </c>
      <c r="V15" s="714" t="s">
        <v>17</v>
      </c>
      <c r="W15" s="715">
        <f t="shared" si="2"/>
        <v>100</v>
      </c>
      <c r="X15" s="1541"/>
      <c r="Y15" s="3327"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28"/>
      <c r="Q16" s="1538"/>
      <c r="R16" s="714"/>
      <c r="S16" s="715"/>
      <c r="T16" s="714"/>
      <c r="U16" s="715"/>
      <c r="V16" s="714"/>
      <c r="W16" s="715"/>
      <c r="X16" s="1541"/>
      <c r="Y16" s="3328"/>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8"/>
      <c r="Q17" s="1538" t="str">
        <f>B17</f>
        <v>交通便捷度</v>
      </c>
      <c r="R17" s="714" t="s">
        <v>17</v>
      </c>
      <c r="S17" s="715">
        <f>F17</f>
        <v>100</v>
      </c>
      <c r="T17" s="714" t="s">
        <v>17</v>
      </c>
      <c r="U17" s="715">
        <f>H17</f>
        <v>100</v>
      </c>
      <c r="V17" s="714" t="s">
        <v>17</v>
      </c>
      <c r="W17" s="715">
        <f>J17</f>
        <v>100</v>
      </c>
      <c r="X17" s="1541"/>
      <c r="Y17" s="332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28"/>
      <c r="Q18" s="1538"/>
      <c r="R18" s="714"/>
      <c r="S18" s="715"/>
      <c r="T18" s="714"/>
      <c r="U18" s="715"/>
      <c r="V18" s="714"/>
      <c r="W18" s="715"/>
      <c r="X18" s="1541"/>
      <c r="Y18" s="3328"/>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8"/>
      <c r="Q19" s="1538" t="str">
        <f>B19</f>
        <v>公共配套设施</v>
      </c>
      <c r="R19" s="714" t="s">
        <v>17</v>
      </c>
      <c r="S19" s="715">
        <f>F19</f>
        <v>100</v>
      </c>
      <c r="T19" s="714" t="s">
        <v>17</v>
      </c>
      <c r="U19" s="715">
        <f>H19</f>
        <v>100</v>
      </c>
      <c r="V19" s="714" t="s">
        <v>17</v>
      </c>
      <c r="W19" s="715">
        <f>J19</f>
        <v>100</v>
      </c>
      <c r="X19" s="1541"/>
      <c r="Y19" s="332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28"/>
      <c r="Q20" s="1538"/>
      <c r="R20" s="714"/>
      <c r="S20" s="715"/>
      <c r="T20" s="714"/>
      <c r="U20" s="715"/>
      <c r="V20" s="714"/>
      <c r="W20" s="715"/>
      <c r="X20" s="1541"/>
      <c r="Y20" s="3328"/>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8"/>
      <c r="Q21" s="1538" t="str">
        <f>B21</f>
        <v>基础设施水平</v>
      </c>
      <c r="R21" s="714" t="s">
        <v>17</v>
      </c>
      <c r="S21" s="715">
        <f>F21</f>
        <v>100</v>
      </c>
      <c r="T21" s="714" t="s">
        <v>17</v>
      </c>
      <c r="U21" s="715">
        <f>H21</f>
        <v>100</v>
      </c>
      <c r="V21" s="714" t="s">
        <v>17</v>
      </c>
      <c r="W21" s="715">
        <f>J21</f>
        <v>100</v>
      </c>
      <c r="X21" s="1541"/>
      <c r="Y21" s="332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28"/>
      <c r="Q22" s="1538"/>
      <c r="R22" s="714"/>
      <c r="S22" s="715"/>
      <c r="T22" s="714"/>
      <c r="U22" s="715"/>
      <c r="V22" s="714"/>
      <c r="W22" s="715"/>
      <c r="X22" s="1541"/>
      <c r="Y22" s="3328"/>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8"/>
      <c r="Q23" s="1538" t="str">
        <f>B23</f>
        <v>环境质量</v>
      </c>
      <c r="R23" s="714" t="s">
        <v>17</v>
      </c>
      <c r="S23" s="715">
        <f>F23</f>
        <v>100</v>
      </c>
      <c r="T23" s="714" t="s">
        <v>17</v>
      </c>
      <c r="U23" s="715">
        <f>H23</f>
        <v>100</v>
      </c>
      <c r="V23" s="714" t="s">
        <v>17</v>
      </c>
      <c r="W23" s="715">
        <f>J23</f>
        <v>100</v>
      </c>
      <c r="X23" s="1541"/>
      <c r="Y23" s="332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28"/>
      <c r="Q24" s="1538"/>
      <c r="R24" s="714"/>
      <c r="S24" s="715"/>
      <c r="T24" s="714"/>
      <c r="U24" s="715"/>
      <c r="V24" s="714"/>
      <c r="W24" s="715"/>
      <c r="X24" s="1541"/>
      <c r="Y24" s="332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8"/>
      <c r="Q25" s="1538">
        <f>B25</f>
        <v>111</v>
      </c>
      <c r="R25" s="714" t="s">
        <v>17</v>
      </c>
      <c r="S25" s="715">
        <f>F25</f>
        <v>100</v>
      </c>
      <c r="T25" s="714" t="s">
        <v>17</v>
      </c>
      <c r="U25" s="715">
        <f>H25</f>
        <v>100</v>
      </c>
      <c r="V25" s="714" t="s">
        <v>17</v>
      </c>
      <c r="W25" s="715">
        <f>J25</f>
        <v>100</v>
      </c>
      <c r="X25" s="1541"/>
      <c r="Y25" s="332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8"/>
      <c r="Q26" s="1538">
        <f t="shared" ref="Q26:Q40" si="11">B26</f>
        <v>111</v>
      </c>
      <c r="R26" s="714" t="s">
        <v>17</v>
      </c>
      <c r="S26" s="715">
        <f>F26</f>
        <v>100</v>
      </c>
      <c r="T26" s="714" t="s">
        <v>17</v>
      </c>
      <c r="U26" s="715">
        <f>H26</f>
        <v>100</v>
      </c>
      <c r="V26" s="714" t="s">
        <v>17</v>
      </c>
      <c r="W26" s="715">
        <f>J26</f>
        <v>100</v>
      </c>
      <c r="X26" s="1541"/>
      <c r="Y26" s="332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8"/>
      <c r="Q27" s="1529">
        <f t="shared" si="11"/>
        <v>111</v>
      </c>
      <c r="R27" s="710" t="s">
        <v>17</v>
      </c>
      <c r="S27" s="711">
        <f>F27</f>
        <v>100</v>
      </c>
      <c r="T27" s="710" t="s">
        <v>17</v>
      </c>
      <c r="U27" s="711">
        <f>H27</f>
        <v>100</v>
      </c>
      <c r="V27" s="710" t="s">
        <v>17</v>
      </c>
      <c r="W27" s="711">
        <f>J27</f>
        <v>100</v>
      </c>
      <c r="X27" s="712"/>
      <c r="Y27" s="332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8"/>
      <c r="Q28" s="1538">
        <f t="shared" si="11"/>
        <v>111</v>
      </c>
      <c r="R28" s="714" t="s">
        <v>17</v>
      </c>
      <c r="S28" s="715">
        <f t="shared" ref="S28:S40" si="12">F28</f>
        <v>100</v>
      </c>
      <c r="T28" s="714" t="s">
        <v>17</v>
      </c>
      <c r="U28" s="715">
        <f t="shared" ref="U28:U40" si="13">H28</f>
        <v>100</v>
      </c>
      <c r="V28" s="714" t="s">
        <v>17</v>
      </c>
      <c r="W28" s="715">
        <f t="shared" ref="W28:W40" si="14">J28</f>
        <v>100</v>
      </c>
      <c r="X28" s="1541"/>
      <c r="Y28" s="3328"/>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51" t="s">
        <v>2387</v>
      </c>
      <c r="Q29" s="1538" t="str">
        <f t="shared" si="11"/>
        <v>建筑类型</v>
      </c>
      <c r="R29" s="714" t="s">
        <v>17</v>
      </c>
      <c r="S29" s="715">
        <f t="shared" si="12"/>
        <v>100</v>
      </c>
      <c r="T29" s="714" t="s">
        <v>17</v>
      </c>
      <c r="U29" s="715">
        <f t="shared" si="13"/>
        <v>100</v>
      </c>
      <c r="V29" s="714" t="s">
        <v>17</v>
      </c>
      <c r="W29" s="715">
        <f t="shared" si="14"/>
        <v>100</v>
      </c>
      <c r="X29" s="1541"/>
      <c r="Y29" s="3332"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2"/>
      <c r="Q30" s="716" t="str">
        <f t="shared" si="11"/>
        <v>项目建筑规模</v>
      </c>
      <c r="R30" s="717" t="s">
        <v>17</v>
      </c>
      <c r="S30" s="718" t="e">
        <f t="shared" si="12"/>
        <v>#N/A</v>
      </c>
      <c r="T30" s="717" t="s">
        <v>17</v>
      </c>
      <c r="U30" s="718" t="e">
        <f t="shared" si="13"/>
        <v>#N/A</v>
      </c>
      <c r="V30" s="717" t="s">
        <v>17</v>
      </c>
      <c r="W30" s="718" t="e">
        <f t="shared" si="14"/>
        <v>#N/A</v>
      </c>
      <c r="X30" s="719"/>
      <c r="Y30" s="3332"/>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2"/>
      <c r="Q31" s="1538" t="str">
        <f t="shared" si="11"/>
        <v>建筑结构</v>
      </c>
      <c r="R31" s="714" t="s">
        <v>17</v>
      </c>
      <c r="S31" s="715">
        <f t="shared" si="12"/>
        <v>100</v>
      </c>
      <c r="T31" s="714" t="s">
        <v>17</v>
      </c>
      <c r="U31" s="715">
        <f t="shared" si="13"/>
        <v>100</v>
      </c>
      <c r="V31" s="714" t="s">
        <v>17</v>
      </c>
      <c r="W31" s="715">
        <f t="shared" si="14"/>
        <v>100</v>
      </c>
      <c r="X31" s="1541"/>
      <c r="Y31" s="3332"/>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2"/>
      <c r="Q32" s="1538" t="str">
        <f t="shared" si="11"/>
        <v>公共部分装修</v>
      </c>
      <c r="R32" s="714" t="s">
        <v>17</v>
      </c>
      <c r="S32" s="715">
        <f t="shared" si="12"/>
        <v>100</v>
      </c>
      <c r="T32" s="714" t="s">
        <v>17</v>
      </c>
      <c r="U32" s="715">
        <f t="shared" si="13"/>
        <v>100</v>
      </c>
      <c r="V32" s="714" t="s">
        <v>17</v>
      </c>
      <c r="W32" s="715">
        <f t="shared" si="14"/>
        <v>100</v>
      </c>
      <c r="X32" s="1541"/>
      <c r="Y32" s="3332"/>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2"/>
      <c r="Q33" s="1538" t="str">
        <f t="shared" si="11"/>
        <v>成新度</v>
      </c>
      <c r="R33" s="714" t="s">
        <v>17</v>
      </c>
      <c r="S33" s="715" t="e">
        <f t="shared" si="12"/>
        <v>#N/A</v>
      </c>
      <c r="T33" s="714" t="s">
        <v>17</v>
      </c>
      <c r="U33" s="715" t="e">
        <f t="shared" si="13"/>
        <v>#N/A</v>
      </c>
      <c r="V33" s="714" t="s">
        <v>17</v>
      </c>
      <c r="W33" s="715" t="e">
        <f t="shared" si="14"/>
        <v>#N/A</v>
      </c>
      <c r="X33" s="1541"/>
      <c r="Y33" s="3332"/>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2"/>
      <c r="Q34" s="1529" t="str">
        <f t="shared" si="11"/>
        <v>物业管理</v>
      </c>
      <c r="R34" s="710" t="s">
        <v>17</v>
      </c>
      <c r="S34" s="711">
        <f t="shared" si="12"/>
        <v>100</v>
      </c>
      <c r="T34" s="710" t="s">
        <v>17</v>
      </c>
      <c r="U34" s="711">
        <f t="shared" si="13"/>
        <v>100</v>
      </c>
      <c r="V34" s="710" t="s">
        <v>17</v>
      </c>
      <c r="W34" s="711">
        <f t="shared" si="14"/>
        <v>100</v>
      </c>
      <c r="X34" s="712"/>
      <c r="Y34" s="3332"/>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2" t="s">
        <v>2387</v>
      </c>
      <c r="Q35" s="1538" t="str">
        <f t="shared" si="11"/>
        <v>市政基础设施</v>
      </c>
      <c r="R35" s="714" t="s">
        <v>17</v>
      </c>
      <c r="S35" s="715">
        <f t="shared" si="12"/>
        <v>100</v>
      </c>
      <c r="T35" s="714" t="s">
        <v>17</v>
      </c>
      <c r="U35" s="715">
        <f t="shared" si="13"/>
        <v>100</v>
      </c>
      <c r="V35" s="714" t="s">
        <v>17</v>
      </c>
      <c r="W35" s="715">
        <f t="shared" si="14"/>
        <v>100</v>
      </c>
      <c r="X35" s="1541"/>
      <c r="Y35" s="3332"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2"/>
      <c r="Q36" s="1538" t="str">
        <f t="shared" si="11"/>
        <v>内部装修</v>
      </c>
      <c r="R36" s="714" t="s">
        <v>17</v>
      </c>
      <c r="S36" s="715">
        <f t="shared" si="12"/>
        <v>100</v>
      </c>
      <c r="T36" s="714" t="s">
        <v>17</v>
      </c>
      <c r="U36" s="715">
        <f t="shared" si="13"/>
        <v>100</v>
      </c>
      <c r="V36" s="714" t="s">
        <v>17</v>
      </c>
      <c r="W36" s="715">
        <f t="shared" si="14"/>
        <v>100</v>
      </c>
      <c r="X36" s="1541"/>
      <c r="Y36" s="3332"/>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2"/>
      <c r="Q37" s="1538" t="str">
        <f t="shared" si="11"/>
        <v>内部装修状况</v>
      </c>
      <c r="R37" s="714" t="s">
        <v>17</v>
      </c>
      <c r="S37" s="715">
        <f t="shared" si="12"/>
        <v>100</v>
      </c>
      <c r="T37" s="714" t="s">
        <v>17</v>
      </c>
      <c r="U37" s="715">
        <f t="shared" si="13"/>
        <v>100</v>
      </c>
      <c r="V37" s="714" t="s">
        <v>17</v>
      </c>
      <c r="W37" s="715">
        <f t="shared" si="14"/>
        <v>100</v>
      </c>
      <c r="X37" s="1541"/>
      <c r="Y37" s="3332"/>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2"/>
      <c r="Q38" s="716">
        <f t="shared" si="11"/>
        <v>111</v>
      </c>
      <c r="R38" s="717" t="s">
        <v>17</v>
      </c>
      <c r="S38" s="718">
        <f t="shared" si="12"/>
        <v>100</v>
      </c>
      <c r="T38" s="717" t="s">
        <v>17</v>
      </c>
      <c r="U38" s="718">
        <f t="shared" si="13"/>
        <v>100</v>
      </c>
      <c r="V38" s="717" t="s">
        <v>17</v>
      </c>
      <c r="W38" s="718">
        <f t="shared" si="14"/>
        <v>100</v>
      </c>
      <c r="X38" s="719"/>
      <c r="Y38" s="3332"/>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2"/>
      <c r="Q39" s="1538">
        <f t="shared" si="11"/>
        <v>111</v>
      </c>
      <c r="R39" s="714" t="s">
        <v>17</v>
      </c>
      <c r="S39" s="715">
        <f t="shared" si="12"/>
        <v>100</v>
      </c>
      <c r="T39" s="714" t="s">
        <v>17</v>
      </c>
      <c r="U39" s="715">
        <f t="shared" si="13"/>
        <v>100</v>
      </c>
      <c r="V39" s="714" t="s">
        <v>17</v>
      </c>
      <c r="W39" s="715">
        <f t="shared" si="14"/>
        <v>100</v>
      </c>
      <c r="X39" s="1541"/>
      <c r="Y39" s="3332"/>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3"/>
      <c r="Q40" s="1538">
        <f t="shared" si="11"/>
        <v>111</v>
      </c>
      <c r="R40" s="714" t="s">
        <v>17</v>
      </c>
      <c r="S40" s="715">
        <f t="shared" si="12"/>
        <v>100</v>
      </c>
      <c r="T40" s="714" t="s">
        <v>17</v>
      </c>
      <c r="U40" s="715">
        <f t="shared" si="13"/>
        <v>100</v>
      </c>
      <c r="V40" s="714" t="s">
        <v>17</v>
      </c>
      <c r="W40" s="715">
        <f t="shared" si="14"/>
        <v>100</v>
      </c>
      <c r="X40" s="1541"/>
      <c r="Y40" s="3333"/>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25" t="str">
        <f>A41</f>
        <v>成交单价（元/平方米）</v>
      </c>
      <c r="Q41" s="3325"/>
      <c r="R41" s="3326">
        <f>E41</f>
        <v>0</v>
      </c>
      <c r="S41" s="3326"/>
      <c r="T41" s="3326">
        <f>G41</f>
        <v>0</v>
      </c>
      <c r="U41" s="3326"/>
      <c r="V41" s="3326">
        <f>I41</f>
        <v>0</v>
      </c>
      <c r="W41" s="3326"/>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25" t="str">
        <f>A42</f>
        <v>比较价值（元/平方米）</v>
      </c>
      <c r="Q42" s="3325"/>
      <c r="R42" s="3326" t="e">
        <f>IF(F1="售价",ROUND(PRODUCT(R41,AA7:AA40),0),ROUND(PRODUCT(R41,AA7:AA40),1))</f>
        <v>#DIV/0!</v>
      </c>
      <c r="S42" s="3326"/>
      <c r="T42" s="3326" t="e">
        <f>IF(F1="售价",ROUND(PRODUCT(T41,AB7:AB40),0),ROUND(PRODUCT(T41,AB7:AB40),1))</f>
        <v>#DIV/0!</v>
      </c>
      <c r="U42" s="3326"/>
      <c r="V42" s="3326" t="e">
        <f>IF(F1="售价",ROUND(PRODUCT(V41,AC7:AC40),0),ROUND(PRODUCT(V41,AC7:AC40),1))</f>
        <v>#DIV/0!</v>
      </c>
      <c r="W42" s="3326"/>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22" t="str">
        <f>A43</f>
        <v>估价对象XX用房的比较价值（楼面单价，元/平方米）</v>
      </c>
      <c r="Q43" s="3323"/>
      <c r="R43" s="3324" t="e">
        <f>IF(F1="售价",ROUND(IF(D42="简单平均",AVERAGE(R42:V42),R42*F42+T42*H42+V42*J42),0),ROUND(IF(D42="简单平均",AVERAGE(R42:V42),R42*F42+T42*H42+V42*J42),1))</f>
        <v>#DIV/0!</v>
      </c>
      <c r="S43" s="3324"/>
      <c r="T43" s="3324"/>
      <c r="U43" s="3324"/>
      <c r="V43" s="3324"/>
      <c r="W43" s="332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295" t="s">
        <v>2469</v>
      </c>
      <c r="S4" s="3296"/>
      <c r="T4" s="3295" t="s">
        <v>2470</v>
      </c>
      <c r="U4" s="3296"/>
      <c r="V4" s="3320" t="s">
        <v>2471</v>
      </c>
      <c r="W4" s="3320"/>
      <c r="X4" s="1541"/>
      <c r="Y4" s="3295" t="s">
        <v>2473</v>
      </c>
      <c r="Z4" s="3296"/>
      <c r="AA4" s="3290" t="s">
        <v>2469</v>
      </c>
      <c r="AB4" s="3291" t="s">
        <v>2470</v>
      </c>
      <c r="AC4" s="3290" t="s">
        <v>2471</v>
      </c>
    </row>
    <row r="5" spans="1:29" ht="15">
      <c r="A5" s="364"/>
      <c r="B5" s="365"/>
      <c r="C5" s="3301" t="s">
        <v>2364</v>
      </c>
      <c r="D5" s="3302"/>
      <c r="E5" s="3299" t="s">
        <v>2365</v>
      </c>
      <c r="F5" s="3300"/>
      <c r="G5" s="3301" t="s">
        <v>2366</v>
      </c>
      <c r="H5" s="3302"/>
      <c r="I5" s="3301" t="s">
        <v>2367</v>
      </c>
      <c r="J5" s="3302"/>
      <c r="K5" s="567"/>
      <c r="L5" s="2943"/>
      <c r="M5" s="2944"/>
      <c r="N5" s="2944"/>
      <c r="O5" s="2944"/>
      <c r="P5" s="3314"/>
      <c r="Q5" s="3315"/>
      <c r="R5" s="3297"/>
      <c r="S5" s="3298"/>
      <c r="T5" s="3297"/>
      <c r="U5" s="3298"/>
      <c r="V5" s="3320"/>
      <c r="W5" s="3320"/>
      <c r="X5" s="1541"/>
      <c r="Y5" s="3297"/>
      <c r="Z5" s="3298"/>
      <c r="AA5" s="3291"/>
      <c r="AB5" s="3291"/>
      <c r="AC5" s="3291"/>
    </row>
    <row r="6" spans="1:29" ht="15.75" thickBot="1">
      <c r="A6" s="366"/>
      <c r="B6" s="367"/>
      <c r="C6" s="3303" t="s">
        <v>2368</v>
      </c>
      <c r="D6" s="3304"/>
      <c r="E6" s="3305" t="s">
        <v>2368</v>
      </c>
      <c r="F6" s="3306"/>
      <c r="G6" s="3303" t="s">
        <v>2368</v>
      </c>
      <c r="H6" s="3304"/>
      <c r="I6" s="3303" t="s">
        <v>2368</v>
      </c>
      <c r="J6" s="3304"/>
      <c r="K6" s="567" t="s">
        <v>2369</v>
      </c>
      <c r="L6" s="2943"/>
      <c r="M6" s="2944"/>
      <c r="N6" s="2944"/>
      <c r="O6" s="2944"/>
      <c r="P6" s="3316"/>
      <c r="Q6" s="3317"/>
      <c r="R6" s="3297"/>
      <c r="S6" s="3298"/>
      <c r="T6" s="3318"/>
      <c r="U6" s="3319"/>
      <c r="V6" s="3320"/>
      <c r="W6" s="3320"/>
      <c r="X6" s="1541"/>
      <c r="Y6" s="3318"/>
      <c r="Z6" s="3319"/>
      <c r="AA6" s="3292"/>
      <c r="AB6" s="3292"/>
      <c r="AC6" s="3292"/>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3" t="s">
        <v>2371</v>
      </c>
      <c r="Q7" s="3321"/>
      <c r="R7" s="710" t="s">
        <v>17</v>
      </c>
      <c r="S7" s="711">
        <f t="shared" ref="S7:S14" si="0">F7</f>
        <v>0</v>
      </c>
      <c r="T7" s="710" t="s">
        <v>17</v>
      </c>
      <c r="U7" s="711">
        <f t="shared" ref="U7:U14" si="1">H7</f>
        <v>0</v>
      </c>
      <c r="V7" s="710" t="s">
        <v>17</v>
      </c>
      <c r="W7" s="711">
        <f t="shared" ref="W7:W14" si="2">J7</f>
        <v>0</v>
      </c>
      <c r="X7" s="712"/>
      <c r="Y7" s="3293" t="s">
        <v>2371</v>
      </c>
      <c r="Z7" s="3294"/>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3" t="s">
        <v>2374</v>
      </c>
      <c r="Q8" s="3294"/>
      <c r="R8" s="710" t="s">
        <v>17</v>
      </c>
      <c r="S8" s="711">
        <f t="shared" si="0"/>
        <v>0</v>
      </c>
      <c r="T8" s="710" t="s">
        <v>17</v>
      </c>
      <c r="U8" s="711">
        <f t="shared" si="1"/>
        <v>0</v>
      </c>
      <c r="V8" s="710" t="s">
        <v>17</v>
      </c>
      <c r="W8" s="711">
        <f t="shared" si="2"/>
        <v>0</v>
      </c>
      <c r="X8" s="712"/>
      <c r="Y8" s="3293" t="s">
        <v>2374</v>
      </c>
      <c r="Z8" s="3294"/>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5" t="s">
        <v>2377</v>
      </c>
      <c r="Q9" s="1529" t="str">
        <f t="shared" ref="Q9:Q14" si="6">B9</f>
        <v>用途</v>
      </c>
      <c r="R9" s="710" t="s">
        <v>17</v>
      </c>
      <c r="S9" s="711">
        <f t="shared" si="0"/>
        <v>100</v>
      </c>
      <c r="T9" s="710" t="s">
        <v>17</v>
      </c>
      <c r="U9" s="711">
        <f t="shared" si="1"/>
        <v>100</v>
      </c>
      <c r="V9" s="710" t="s">
        <v>17</v>
      </c>
      <c r="W9" s="711">
        <f t="shared" si="2"/>
        <v>100</v>
      </c>
      <c r="X9" s="712"/>
      <c r="Y9" s="3235"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5"/>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5"/>
      <c r="Q11" s="1529">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5"/>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5"/>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7" t="s">
        <v>2382</v>
      </c>
      <c r="Q14" s="1538" t="str">
        <f t="shared" si="6"/>
        <v>交通便捷度</v>
      </c>
      <c r="R14" s="714" t="s">
        <v>17</v>
      </c>
      <c r="S14" s="715">
        <f t="shared" si="0"/>
        <v>100</v>
      </c>
      <c r="T14" s="714" t="s">
        <v>17</v>
      </c>
      <c r="U14" s="715">
        <f t="shared" si="1"/>
        <v>100</v>
      </c>
      <c r="V14" s="714" t="s">
        <v>17</v>
      </c>
      <c r="W14" s="715">
        <f t="shared" si="2"/>
        <v>100</v>
      </c>
      <c r="X14" s="1541"/>
      <c r="Y14" s="3327"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28"/>
      <c r="Q15" s="1538"/>
      <c r="R15" s="714"/>
      <c r="S15" s="715"/>
      <c r="T15" s="714"/>
      <c r="U15" s="715"/>
      <c r="V15" s="714"/>
      <c r="W15" s="715"/>
      <c r="X15" s="1541"/>
      <c r="Y15" s="3328"/>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8"/>
      <c r="Q16" s="1538" t="str">
        <f>B16</f>
        <v>公共配套设施</v>
      </c>
      <c r="R16" s="714" t="s">
        <v>17</v>
      </c>
      <c r="S16" s="715">
        <f>F16</f>
        <v>100</v>
      </c>
      <c r="T16" s="714" t="s">
        <v>17</v>
      </c>
      <c r="U16" s="715">
        <f>H16</f>
        <v>100</v>
      </c>
      <c r="V16" s="714" t="s">
        <v>17</v>
      </c>
      <c r="W16" s="715">
        <f>J16</f>
        <v>100</v>
      </c>
      <c r="X16" s="1541"/>
      <c r="Y16" s="332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28"/>
      <c r="Q17" s="1538"/>
      <c r="R17" s="714"/>
      <c r="S17" s="715"/>
      <c r="T17" s="714"/>
      <c r="U17" s="715"/>
      <c r="V17" s="714"/>
      <c r="W17" s="715"/>
      <c r="X17" s="1541"/>
      <c r="Y17" s="3328"/>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8"/>
      <c r="Q18" s="1538" t="str">
        <f>B18</f>
        <v>基础设施水平</v>
      </c>
      <c r="R18" s="714" t="s">
        <v>17</v>
      </c>
      <c r="S18" s="715">
        <f>F18</f>
        <v>100</v>
      </c>
      <c r="T18" s="714" t="s">
        <v>17</v>
      </c>
      <c r="U18" s="715">
        <f>H18</f>
        <v>100</v>
      </c>
      <c r="V18" s="714" t="s">
        <v>17</v>
      </c>
      <c r="W18" s="715">
        <f>J18</f>
        <v>100</v>
      </c>
      <c r="X18" s="1541"/>
      <c r="Y18" s="332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28"/>
      <c r="Q19" s="1538"/>
      <c r="R19" s="714"/>
      <c r="S19" s="715"/>
      <c r="T19" s="714"/>
      <c r="U19" s="715"/>
      <c r="V19" s="714"/>
      <c r="W19" s="715"/>
      <c r="X19" s="1541"/>
      <c r="Y19" s="3328"/>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8"/>
      <c r="Q20" s="1538" t="str">
        <f>B20</f>
        <v>自然及人文环境</v>
      </c>
      <c r="R20" s="714" t="s">
        <v>17</v>
      </c>
      <c r="S20" s="715">
        <f>F20</f>
        <v>100</v>
      </c>
      <c r="T20" s="714" t="s">
        <v>17</v>
      </c>
      <c r="U20" s="715">
        <f>H20</f>
        <v>100</v>
      </c>
      <c r="V20" s="714" t="s">
        <v>17</v>
      </c>
      <c r="W20" s="715">
        <f>J20</f>
        <v>100</v>
      </c>
      <c r="X20" s="1541"/>
      <c r="Y20" s="332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28"/>
      <c r="Q21" s="1538"/>
      <c r="R21" s="714"/>
      <c r="S21" s="715"/>
      <c r="T21" s="714"/>
      <c r="U21" s="715"/>
      <c r="V21" s="714"/>
      <c r="W21" s="715"/>
      <c r="X21" s="1541"/>
      <c r="Y21" s="3328"/>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8"/>
      <c r="Q22" s="1538" t="str">
        <f>B22</f>
        <v>楼层</v>
      </c>
      <c r="R22" s="714" t="s">
        <v>17</v>
      </c>
      <c r="S22" s="715">
        <f>F22</f>
        <v>100</v>
      </c>
      <c r="T22" s="714" t="s">
        <v>17</v>
      </c>
      <c r="U22" s="715">
        <f>H22</f>
        <v>100</v>
      </c>
      <c r="V22" s="714" t="s">
        <v>17</v>
      </c>
      <c r="W22" s="715">
        <f>J22</f>
        <v>100</v>
      </c>
      <c r="X22" s="1541"/>
      <c r="Y22" s="332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8"/>
      <c r="Q23" s="1538">
        <f>B23</f>
        <v>111</v>
      </c>
      <c r="R23" s="714" t="s">
        <v>17</v>
      </c>
      <c r="S23" s="715">
        <f>F23</f>
        <v>100</v>
      </c>
      <c r="T23" s="714" t="s">
        <v>17</v>
      </c>
      <c r="U23" s="715">
        <f>H23</f>
        <v>100</v>
      </c>
      <c r="V23" s="714" t="s">
        <v>17</v>
      </c>
      <c r="W23" s="715">
        <f>J23</f>
        <v>100</v>
      </c>
      <c r="X23" s="1541"/>
      <c r="Y23" s="332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8"/>
      <c r="Q24" s="1538">
        <f t="shared" ref="Q24:Q36" si="11">B24</f>
        <v>111</v>
      </c>
      <c r="R24" s="714" t="s">
        <v>17</v>
      </c>
      <c r="S24" s="715">
        <f>F24</f>
        <v>100</v>
      </c>
      <c r="T24" s="714" t="s">
        <v>17</v>
      </c>
      <c r="U24" s="715">
        <f>H24</f>
        <v>100</v>
      </c>
      <c r="V24" s="714" t="s">
        <v>17</v>
      </c>
      <c r="W24" s="715">
        <f>J24</f>
        <v>100</v>
      </c>
      <c r="X24" s="1541"/>
      <c r="Y24" s="332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8"/>
      <c r="Q25" s="1529">
        <f t="shared" si="11"/>
        <v>111</v>
      </c>
      <c r="R25" s="710" t="s">
        <v>17</v>
      </c>
      <c r="S25" s="711">
        <f>F25</f>
        <v>100</v>
      </c>
      <c r="T25" s="710" t="s">
        <v>17</v>
      </c>
      <c r="U25" s="711">
        <f>H25</f>
        <v>100</v>
      </c>
      <c r="V25" s="710" t="s">
        <v>17</v>
      </c>
      <c r="W25" s="711">
        <f>J25</f>
        <v>100</v>
      </c>
      <c r="X25" s="712"/>
      <c r="Y25" s="3328"/>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1"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32"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32"/>
      <c r="Q27" s="716" t="str">
        <f t="shared" si="11"/>
        <v>项目停车位配比</v>
      </c>
      <c r="R27" s="717" t="s">
        <v>17</v>
      </c>
      <c r="S27" s="718">
        <f t="shared" si="12"/>
        <v>100</v>
      </c>
      <c r="T27" s="717" t="s">
        <v>17</v>
      </c>
      <c r="U27" s="718">
        <f t="shared" si="13"/>
        <v>100</v>
      </c>
      <c r="V27" s="717" t="s">
        <v>17</v>
      </c>
      <c r="W27" s="718">
        <f t="shared" si="14"/>
        <v>100</v>
      </c>
      <c r="X27" s="719"/>
      <c r="Y27" s="3332"/>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32"/>
      <c r="Q28" s="1538" t="str">
        <f t="shared" si="11"/>
        <v>公共部分装修</v>
      </c>
      <c r="R28" s="714" t="s">
        <v>17</v>
      </c>
      <c r="S28" s="715">
        <f t="shared" si="12"/>
        <v>100</v>
      </c>
      <c r="T28" s="714" t="s">
        <v>17</v>
      </c>
      <c r="U28" s="715">
        <f t="shared" si="13"/>
        <v>100</v>
      </c>
      <c r="V28" s="714" t="s">
        <v>17</v>
      </c>
      <c r="W28" s="715">
        <f t="shared" si="14"/>
        <v>100</v>
      </c>
      <c r="X28" s="1541"/>
      <c r="Y28" s="3332"/>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32"/>
      <c r="Q29" s="1538" t="str">
        <f t="shared" si="11"/>
        <v>成新率</v>
      </c>
      <c r="R29" s="714" t="s">
        <v>17</v>
      </c>
      <c r="S29" s="715" t="e">
        <f t="shared" si="12"/>
        <v>#N/A</v>
      </c>
      <c r="T29" s="714" t="s">
        <v>17</v>
      </c>
      <c r="U29" s="715" t="e">
        <f t="shared" si="13"/>
        <v>#N/A</v>
      </c>
      <c r="V29" s="714" t="s">
        <v>17</v>
      </c>
      <c r="W29" s="715" t="e">
        <f t="shared" si="14"/>
        <v>#N/A</v>
      </c>
      <c r="X29" s="1541"/>
      <c r="Y29" s="3332"/>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32"/>
      <c r="Q30" s="1538" t="str">
        <f t="shared" si="11"/>
        <v>物业等级</v>
      </c>
      <c r="R30" s="714" t="s">
        <v>17</v>
      </c>
      <c r="S30" s="715">
        <f t="shared" si="12"/>
        <v>100</v>
      </c>
      <c r="T30" s="714" t="s">
        <v>17</v>
      </c>
      <c r="U30" s="715">
        <f t="shared" si="13"/>
        <v>100</v>
      </c>
      <c r="V30" s="714" t="s">
        <v>17</v>
      </c>
      <c r="W30" s="715">
        <f t="shared" si="14"/>
        <v>100</v>
      </c>
      <c r="X30" s="1541"/>
      <c r="Y30" s="3332"/>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32"/>
      <c r="Q31" s="1529" t="str">
        <f t="shared" si="11"/>
        <v>停车位面积</v>
      </c>
      <c r="R31" s="710" t="s">
        <v>17</v>
      </c>
      <c r="S31" s="711" t="e">
        <f t="shared" si="12"/>
        <v>#N/A</v>
      </c>
      <c r="T31" s="710" t="s">
        <v>17</v>
      </c>
      <c r="U31" s="711" t="e">
        <f t="shared" si="13"/>
        <v>#N/A</v>
      </c>
      <c r="V31" s="710" t="s">
        <v>17</v>
      </c>
      <c r="W31" s="711" t="e">
        <f t="shared" si="14"/>
        <v>#N/A</v>
      </c>
      <c r="X31" s="712"/>
      <c r="Y31" s="3332"/>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32" t="s">
        <v>2387</v>
      </c>
      <c r="Q32" s="1538" t="str">
        <f t="shared" si="11"/>
        <v>车位类型</v>
      </c>
      <c r="R32" s="714" t="s">
        <v>17</v>
      </c>
      <c r="S32" s="715">
        <f t="shared" si="12"/>
        <v>100</v>
      </c>
      <c r="T32" s="714" t="s">
        <v>17</v>
      </c>
      <c r="U32" s="715">
        <f t="shared" si="13"/>
        <v>100</v>
      </c>
      <c r="V32" s="714" t="s">
        <v>17</v>
      </c>
      <c r="W32" s="715">
        <f t="shared" si="14"/>
        <v>100</v>
      </c>
      <c r="X32" s="1541"/>
      <c r="Y32" s="3332"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32"/>
      <c r="Q33" s="1538" t="str">
        <f t="shared" si="11"/>
        <v>是否直接入户</v>
      </c>
      <c r="R33" s="714" t="s">
        <v>17</v>
      </c>
      <c r="S33" s="715">
        <f t="shared" si="12"/>
        <v>100</v>
      </c>
      <c r="T33" s="714" t="s">
        <v>17</v>
      </c>
      <c r="U33" s="715">
        <f t="shared" si="13"/>
        <v>100</v>
      </c>
      <c r="V33" s="714" t="s">
        <v>17</v>
      </c>
      <c r="W33" s="715">
        <f t="shared" si="14"/>
        <v>100</v>
      </c>
      <c r="X33" s="1541"/>
      <c r="Y33" s="3332"/>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32"/>
      <c r="Q34" s="1538">
        <f t="shared" si="11"/>
        <v>111</v>
      </c>
      <c r="R34" s="714" t="s">
        <v>17</v>
      </c>
      <c r="S34" s="715">
        <f t="shared" si="12"/>
        <v>100</v>
      </c>
      <c r="T34" s="714" t="s">
        <v>17</v>
      </c>
      <c r="U34" s="715">
        <f t="shared" si="13"/>
        <v>100</v>
      </c>
      <c r="V34" s="714" t="s">
        <v>17</v>
      </c>
      <c r="W34" s="715">
        <f t="shared" si="14"/>
        <v>100</v>
      </c>
      <c r="X34" s="1541"/>
      <c r="Y34" s="3332"/>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32"/>
      <c r="Q35" s="716">
        <f t="shared" si="11"/>
        <v>111</v>
      </c>
      <c r="R35" s="717" t="s">
        <v>17</v>
      </c>
      <c r="S35" s="718">
        <f t="shared" si="12"/>
        <v>100</v>
      </c>
      <c r="T35" s="717" t="s">
        <v>17</v>
      </c>
      <c r="U35" s="718">
        <f t="shared" si="13"/>
        <v>100</v>
      </c>
      <c r="V35" s="717" t="s">
        <v>17</v>
      </c>
      <c r="W35" s="718">
        <f t="shared" si="14"/>
        <v>100</v>
      </c>
      <c r="X35" s="719"/>
      <c r="Y35" s="3332"/>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32"/>
      <c r="Q36" s="1538">
        <f t="shared" si="11"/>
        <v>111</v>
      </c>
      <c r="R36" s="714" t="s">
        <v>17</v>
      </c>
      <c r="S36" s="715">
        <f t="shared" si="12"/>
        <v>100</v>
      </c>
      <c r="T36" s="714" t="s">
        <v>17</v>
      </c>
      <c r="U36" s="715">
        <f t="shared" si="13"/>
        <v>100</v>
      </c>
      <c r="V36" s="714" t="s">
        <v>17</v>
      </c>
      <c r="W36" s="715">
        <f t="shared" si="14"/>
        <v>100</v>
      </c>
      <c r="X36" s="1541"/>
      <c r="Y36" s="3332"/>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25" t="str">
        <f>A37</f>
        <v>成交单价</v>
      </c>
      <c r="Q37" s="3325"/>
      <c r="R37" s="3326">
        <f>E37</f>
        <v>0</v>
      </c>
      <c r="S37" s="3326"/>
      <c r="T37" s="3326">
        <f>G37</f>
        <v>0</v>
      </c>
      <c r="U37" s="3326"/>
      <c r="V37" s="3326">
        <f>I37</f>
        <v>0</v>
      </c>
      <c r="W37" s="3326"/>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25" t="str">
        <f>A38</f>
        <v>比较价值（元/平方米）</v>
      </c>
      <c r="Q38" s="3325"/>
      <c r="R38" s="3326" t="e">
        <f>IF(F1="售价",ROUND(PRODUCT(R37,AA7:AA36),0),ROUND(PRODUCT(R37,AA7:AA36),1))</f>
        <v>#DIV/0!</v>
      </c>
      <c r="S38" s="3326"/>
      <c r="T38" s="3326" t="e">
        <f>IF(F1="售价",ROUND(PRODUCT(T37,AB7:AB36),0),ROUND(PRODUCT(T37,AB7:AB36),1))</f>
        <v>#DIV/0!</v>
      </c>
      <c r="U38" s="3326"/>
      <c r="V38" s="3326" t="e">
        <f>IF(F1="售价",ROUND(PRODUCT(V37,AC7:AC36),0),ROUND(PRODUCT(V37,AC7:AC36),1))</f>
        <v>#DIV/0!</v>
      </c>
      <c r="W38" s="3326"/>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22" t="str">
        <f>A39</f>
        <v>估价对象XX用房的比较价值（楼面单价，元/平方米）</v>
      </c>
      <c r="Q39" s="3323"/>
      <c r="R39" s="3352" t="e">
        <f>IF(F1="售价",ROUND(IF(D38="简单平均",AVERAGE(R38:W38),R38*F38+T38*H38+V38*J38),0),ROUND(IF(D38="简单平均",AVERAGE(R38:V38),R38*F38+T38*H38+V38*J38),1))</f>
        <v>#DIV/0!</v>
      </c>
      <c r="S39" s="3352"/>
      <c r="T39" s="3352"/>
      <c r="U39" s="3352"/>
      <c r="V39" s="3352"/>
      <c r="W39" s="3352"/>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295" t="s">
        <v>2469</v>
      </c>
      <c r="S4" s="3296"/>
      <c r="T4" s="3295" t="s">
        <v>2470</v>
      </c>
      <c r="U4" s="3296"/>
      <c r="V4" s="3320" t="s">
        <v>2471</v>
      </c>
      <c r="W4" s="3320"/>
      <c r="X4" s="1541"/>
      <c r="Y4" s="3295" t="s">
        <v>2473</v>
      </c>
      <c r="Z4" s="3296"/>
      <c r="AA4" s="3290" t="s">
        <v>2469</v>
      </c>
      <c r="AB4" s="3291" t="s">
        <v>2470</v>
      </c>
      <c r="AC4" s="3290" t="s">
        <v>2471</v>
      </c>
    </row>
    <row r="5" spans="1:29" ht="15">
      <c r="A5" s="364"/>
      <c r="B5" s="365"/>
      <c r="C5" s="3301" t="s">
        <v>2364</v>
      </c>
      <c r="D5" s="3302"/>
      <c r="E5" s="3299" t="s">
        <v>2365</v>
      </c>
      <c r="F5" s="3300"/>
      <c r="G5" s="3301" t="s">
        <v>2366</v>
      </c>
      <c r="H5" s="3302"/>
      <c r="I5" s="3301" t="s">
        <v>2367</v>
      </c>
      <c r="J5" s="3302"/>
      <c r="K5" s="567"/>
      <c r="L5" s="2943"/>
      <c r="M5" s="2944"/>
      <c r="N5" s="2944"/>
      <c r="O5" s="2944"/>
      <c r="P5" s="3314"/>
      <c r="Q5" s="3315"/>
      <c r="R5" s="3297"/>
      <c r="S5" s="3298"/>
      <c r="T5" s="3297"/>
      <c r="U5" s="3298"/>
      <c r="V5" s="3320"/>
      <c r="W5" s="3320"/>
      <c r="X5" s="1541"/>
      <c r="Y5" s="3297"/>
      <c r="Z5" s="3298"/>
      <c r="AA5" s="3291"/>
      <c r="AB5" s="3291"/>
      <c r="AC5" s="3291"/>
    </row>
    <row r="6" spans="1:29" ht="15.75" thickBot="1">
      <c r="A6" s="366"/>
      <c r="B6" s="367"/>
      <c r="C6" s="3303" t="s">
        <v>2368</v>
      </c>
      <c r="D6" s="3304"/>
      <c r="E6" s="3305" t="s">
        <v>2368</v>
      </c>
      <c r="F6" s="3306"/>
      <c r="G6" s="3303" t="s">
        <v>2368</v>
      </c>
      <c r="H6" s="3304"/>
      <c r="I6" s="3303" t="s">
        <v>2368</v>
      </c>
      <c r="J6" s="3304"/>
      <c r="K6" s="567" t="s">
        <v>2369</v>
      </c>
      <c r="L6" s="2943"/>
      <c r="M6" s="2944"/>
      <c r="N6" s="2944"/>
      <c r="O6" s="2944"/>
      <c r="P6" s="3316"/>
      <c r="Q6" s="3317"/>
      <c r="R6" s="3297"/>
      <c r="S6" s="3298"/>
      <c r="T6" s="3318"/>
      <c r="U6" s="3319"/>
      <c r="V6" s="3320"/>
      <c r="W6" s="3320"/>
      <c r="X6" s="1541"/>
      <c r="Y6" s="3318"/>
      <c r="Z6" s="3319"/>
      <c r="AA6" s="3292"/>
      <c r="AB6" s="3292"/>
      <c r="AC6" s="3292"/>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293" t="s">
        <v>2371</v>
      </c>
      <c r="Q7" s="3321"/>
      <c r="R7" s="710" t="s">
        <v>17</v>
      </c>
      <c r="S7" s="711">
        <f t="shared" ref="S7:S14" si="0">F7</f>
        <v>0</v>
      </c>
      <c r="T7" s="710" t="s">
        <v>17</v>
      </c>
      <c r="U7" s="711">
        <f t="shared" ref="U7:U14" si="1">H7</f>
        <v>0</v>
      </c>
      <c r="V7" s="710" t="s">
        <v>17</v>
      </c>
      <c r="W7" s="711">
        <f t="shared" ref="W7:W14" si="2">J7</f>
        <v>0</v>
      </c>
      <c r="X7" s="712"/>
      <c r="Y7" s="3293" t="s">
        <v>2371</v>
      </c>
      <c r="Z7" s="3294"/>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3" t="s">
        <v>2374</v>
      </c>
      <c r="Q8" s="3294"/>
      <c r="R8" s="710" t="s">
        <v>17</v>
      </c>
      <c r="S8" s="711">
        <f t="shared" si="0"/>
        <v>0</v>
      </c>
      <c r="T8" s="710" t="s">
        <v>17</v>
      </c>
      <c r="U8" s="711">
        <f t="shared" si="1"/>
        <v>0</v>
      </c>
      <c r="V8" s="710" t="s">
        <v>17</v>
      </c>
      <c r="W8" s="711">
        <f t="shared" si="2"/>
        <v>0</v>
      </c>
      <c r="X8" s="712"/>
      <c r="Y8" s="3293" t="s">
        <v>2374</v>
      </c>
      <c r="Z8" s="3294"/>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5" t="s">
        <v>2377</v>
      </c>
      <c r="Q9" s="1529" t="str">
        <f t="shared" ref="Q9:Q14" si="6">B9</f>
        <v>用途</v>
      </c>
      <c r="R9" s="710" t="s">
        <v>17</v>
      </c>
      <c r="S9" s="711">
        <f t="shared" si="0"/>
        <v>100</v>
      </c>
      <c r="T9" s="710" t="s">
        <v>17</v>
      </c>
      <c r="U9" s="711">
        <f t="shared" si="1"/>
        <v>100</v>
      </c>
      <c r="V9" s="710" t="s">
        <v>17</v>
      </c>
      <c r="W9" s="711">
        <f t="shared" si="2"/>
        <v>100</v>
      </c>
      <c r="X9" s="712"/>
      <c r="Y9" s="3235"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5"/>
      <c r="Q10" s="1529" t="str">
        <f t="shared" si="6"/>
        <v>土地使用年限（年）</v>
      </c>
      <c r="R10" s="710" t="s">
        <v>17</v>
      </c>
      <c r="S10" s="711">
        <f t="shared" si="0"/>
        <v>100</v>
      </c>
      <c r="T10" s="710" t="s">
        <v>17</v>
      </c>
      <c r="U10" s="711">
        <f t="shared" si="1"/>
        <v>100</v>
      </c>
      <c r="V10" s="710" t="s">
        <v>17</v>
      </c>
      <c r="W10" s="711">
        <f t="shared" si="2"/>
        <v>100</v>
      </c>
      <c r="X10" s="712"/>
      <c r="Y10" s="3235"/>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5"/>
      <c r="Q11" s="1529">
        <f t="shared" si="6"/>
        <v>111</v>
      </c>
      <c r="R11" s="710" t="s">
        <v>17</v>
      </c>
      <c r="S11" s="711">
        <f t="shared" si="0"/>
        <v>100</v>
      </c>
      <c r="T11" s="710" t="s">
        <v>17</v>
      </c>
      <c r="U11" s="711">
        <f t="shared" si="1"/>
        <v>100</v>
      </c>
      <c r="V11" s="710" t="s">
        <v>17</v>
      </c>
      <c r="W11" s="711">
        <f t="shared" si="2"/>
        <v>100</v>
      </c>
      <c r="X11" s="712"/>
      <c r="Y11" s="3235"/>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5"/>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25"/>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7" t="s">
        <v>2382</v>
      </c>
      <c r="Q14" s="1538" t="str">
        <f t="shared" si="6"/>
        <v>交通便捷度</v>
      </c>
      <c r="R14" s="714" t="s">
        <v>17</v>
      </c>
      <c r="S14" s="715">
        <f t="shared" si="0"/>
        <v>100</v>
      </c>
      <c r="T14" s="714" t="s">
        <v>17</v>
      </c>
      <c r="U14" s="715">
        <f t="shared" si="1"/>
        <v>100</v>
      </c>
      <c r="V14" s="714" t="s">
        <v>17</v>
      </c>
      <c r="W14" s="715">
        <f t="shared" si="2"/>
        <v>100</v>
      </c>
      <c r="X14" s="1541"/>
      <c r="Y14" s="3327"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28"/>
      <c r="Q15" s="1538"/>
      <c r="R15" s="714"/>
      <c r="S15" s="715"/>
      <c r="T15" s="714"/>
      <c r="U15" s="715"/>
      <c r="V15" s="714"/>
      <c r="W15" s="715"/>
      <c r="X15" s="1541"/>
      <c r="Y15" s="3328"/>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8"/>
      <c r="Q16" s="1538" t="str">
        <f>B16</f>
        <v>公共配套设施</v>
      </c>
      <c r="R16" s="714" t="s">
        <v>17</v>
      </c>
      <c r="S16" s="715">
        <f>F16</f>
        <v>100</v>
      </c>
      <c r="T16" s="714" t="s">
        <v>17</v>
      </c>
      <c r="U16" s="715">
        <f>H16</f>
        <v>100</v>
      </c>
      <c r="V16" s="714" t="s">
        <v>17</v>
      </c>
      <c r="W16" s="715">
        <f>J16</f>
        <v>100</v>
      </c>
      <c r="X16" s="1541"/>
      <c r="Y16" s="332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28"/>
      <c r="Q17" s="1538"/>
      <c r="R17" s="714"/>
      <c r="S17" s="715"/>
      <c r="T17" s="714"/>
      <c r="U17" s="715"/>
      <c r="V17" s="714"/>
      <c r="W17" s="715"/>
      <c r="X17" s="1541"/>
      <c r="Y17" s="3328"/>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8"/>
      <c r="Q18" s="1538" t="str">
        <f>B18</f>
        <v>基础设施水平</v>
      </c>
      <c r="R18" s="714" t="s">
        <v>17</v>
      </c>
      <c r="S18" s="715">
        <f>F18</f>
        <v>100</v>
      </c>
      <c r="T18" s="714" t="s">
        <v>17</v>
      </c>
      <c r="U18" s="715">
        <f>H18</f>
        <v>100</v>
      </c>
      <c r="V18" s="714" t="s">
        <v>17</v>
      </c>
      <c r="W18" s="715">
        <f>J18</f>
        <v>100</v>
      </c>
      <c r="X18" s="1541"/>
      <c r="Y18" s="332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28"/>
      <c r="Q19" s="1538"/>
      <c r="R19" s="714"/>
      <c r="S19" s="715"/>
      <c r="T19" s="714"/>
      <c r="U19" s="715"/>
      <c r="V19" s="714"/>
      <c r="W19" s="715"/>
      <c r="X19" s="1541"/>
      <c r="Y19" s="3328"/>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8"/>
      <c r="Q20" s="1538" t="str">
        <f>B20</f>
        <v>自然及人文环境</v>
      </c>
      <c r="R20" s="714" t="s">
        <v>17</v>
      </c>
      <c r="S20" s="715">
        <f>F20</f>
        <v>100</v>
      </c>
      <c r="T20" s="714" t="s">
        <v>17</v>
      </c>
      <c r="U20" s="715">
        <f>H20</f>
        <v>100</v>
      </c>
      <c r="V20" s="714" t="s">
        <v>17</v>
      </c>
      <c r="W20" s="715">
        <f>J20</f>
        <v>100</v>
      </c>
      <c r="X20" s="1541"/>
      <c r="Y20" s="332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28"/>
      <c r="Q21" s="1538"/>
      <c r="R21" s="714"/>
      <c r="S21" s="715"/>
      <c r="T21" s="714"/>
      <c r="U21" s="715"/>
      <c r="V21" s="714"/>
      <c r="W21" s="715"/>
      <c r="X21" s="1541"/>
      <c r="Y21" s="3328"/>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8"/>
      <c r="Q22" s="1538" t="str">
        <f>B22</f>
        <v>楼层</v>
      </c>
      <c r="R22" s="714" t="s">
        <v>17</v>
      </c>
      <c r="S22" s="715">
        <f>F22</f>
        <v>100</v>
      </c>
      <c r="T22" s="714" t="s">
        <v>17</v>
      </c>
      <c r="U22" s="715">
        <f>H22</f>
        <v>100</v>
      </c>
      <c r="V22" s="714" t="s">
        <v>17</v>
      </c>
      <c r="W22" s="715">
        <f>J22</f>
        <v>100</v>
      </c>
      <c r="X22" s="1541"/>
      <c r="Y22" s="332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8"/>
      <c r="Q23" s="1538">
        <f>B23</f>
        <v>111</v>
      </c>
      <c r="R23" s="714" t="s">
        <v>17</v>
      </c>
      <c r="S23" s="715">
        <f>F23</f>
        <v>100</v>
      </c>
      <c r="T23" s="714" t="s">
        <v>17</v>
      </c>
      <c r="U23" s="715">
        <f>H23</f>
        <v>100</v>
      </c>
      <c r="V23" s="714" t="s">
        <v>17</v>
      </c>
      <c r="W23" s="715">
        <f>J23</f>
        <v>100</v>
      </c>
      <c r="X23" s="1541"/>
      <c r="Y23" s="332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8"/>
      <c r="Q24" s="1538">
        <f t="shared" ref="Q24:Q34" si="11">B24</f>
        <v>111</v>
      </c>
      <c r="R24" s="714" t="s">
        <v>17</v>
      </c>
      <c r="S24" s="715">
        <f>F24</f>
        <v>100</v>
      </c>
      <c r="T24" s="714" t="s">
        <v>17</v>
      </c>
      <c r="U24" s="715">
        <f>H24</f>
        <v>100</v>
      </c>
      <c r="V24" s="714" t="s">
        <v>17</v>
      </c>
      <c r="W24" s="715">
        <f>J24</f>
        <v>100</v>
      </c>
      <c r="X24" s="1541"/>
      <c r="Y24" s="3328"/>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28"/>
      <c r="Q25" s="1529">
        <f t="shared" si="11"/>
        <v>111</v>
      </c>
      <c r="R25" s="710" t="s">
        <v>17</v>
      </c>
      <c r="S25" s="711">
        <f>F25</f>
        <v>100</v>
      </c>
      <c r="T25" s="710" t="s">
        <v>17</v>
      </c>
      <c r="U25" s="711">
        <f>H25</f>
        <v>100</v>
      </c>
      <c r="V25" s="710" t="s">
        <v>17</v>
      </c>
      <c r="W25" s="711">
        <f>J25</f>
        <v>100</v>
      </c>
      <c r="X25" s="712"/>
      <c r="Y25" s="3328"/>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51"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32"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32"/>
      <c r="Q27" s="716" t="str">
        <f t="shared" si="11"/>
        <v>成新率</v>
      </c>
      <c r="R27" s="717" t="s">
        <v>17</v>
      </c>
      <c r="S27" s="718" t="e">
        <f t="shared" si="12"/>
        <v>#N/A</v>
      </c>
      <c r="T27" s="717" t="s">
        <v>17</v>
      </c>
      <c r="U27" s="718" t="e">
        <f t="shared" si="13"/>
        <v>#N/A</v>
      </c>
      <c r="V27" s="717" t="s">
        <v>17</v>
      </c>
      <c r="W27" s="718" t="e">
        <f t="shared" si="14"/>
        <v>#N/A</v>
      </c>
      <c r="X27" s="719"/>
      <c r="Y27" s="3332"/>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32"/>
      <c r="Q28" s="1538" t="str">
        <f t="shared" si="11"/>
        <v>物业等级</v>
      </c>
      <c r="R28" s="714" t="s">
        <v>17</v>
      </c>
      <c r="S28" s="715">
        <f t="shared" si="12"/>
        <v>100</v>
      </c>
      <c r="T28" s="714" t="s">
        <v>17</v>
      </c>
      <c r="U28" s="715">
        <f t="shared" si="13"/>
        <v>100</v>
      </c>
      <c r="V28" s="714" t="s">
        <v>17</v>
      </c>
      <c r="W28" s="715">
        <f t="shared" si="14"/>
        <v>100</v>
      </c>
      <c r="X28" s="1541"/>
      <c r="Y28" s="3332"/>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32"/>
      <c r="Q29" s="1538" t="str">
        <f t="shared" si="11"/>
        <v>有无电梯</v>
      </c>
      <c r="R29" s="714" t="s">
        <v>17</v>
      </c>
      <c r="S29" s="715">
        <f t="shared" si="12"/>
        <v>100</v>
      </c>
      <c r="T29" s="714" t="s">
        <v>17</v>
      </c>
      <c r="U29" s="715">
        <f t="shared" si="13"/>
        <v>100</v>
      </c>
      <c r="V29" s="714" t="s">
        <v>17</v>
      </c>
      <c r="W29" s="715">
        <f t="shared" si="14"/>
        <v>100</v>
      </c>
      <c r="X29" s="1541"/>
      <c r="Y29" s="3332"/>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32"/>
      <c r="Q30" s="1538" t="str">
        <f t="shared" si="11"/>
        <v>建筑面积</v>
      </c>
      <c r="R30" s="714" t="s">
        <v>17</v>
      </c>
      <c r="S30" s="715" t="e">
        <f t="shared" si="12"/>
        <v>#N/A</v>
      </c>
      <c r="T30" s="714" t="s">
        <v>17</v>
      </c>
      <c r="U30" s="715" t="e">
        <f t="shared" si="13"/>
        <v>#N/A</v>
      </c>
      <c r="V30" s="714" t="s">
        <v>17</v>
      </c>
      <c r="W30" s="715" t="e">
        <f t="shared" si="14"/>
        <v>#N/A</v>
      </c>
      <c r="X30" s="1541"/>
      <c r="Y30" s="3332"/>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32"/>
      <c r="Q31" s="1529" t="str">
        <f t="shared" si="11"/>
        <v>是否封闭</v>
      </c>
      <c r="R31" s="710" t="s">
        <v>17</v>
      </c>
      <c r="S31" s="711">
        <f t="shared" si="12"/>
        <v>100</v>
      </c>
      <c r="T31" s="710" t="s">
        <v>17</v>
      </c>
      <c r="U31" s="711">
        <f t="shared" si="13"/>
        <v>100</v>
      </c>
      <c r="V31" s="710" t="s">
        <v>17</v>
      </c>
      <c r="W31" s="711">
        <f t="shared" si="14"/>
        <v>100</v>
      </c>
      <c r="X31" s="712"/>
      <c r="Y31" s="3332"/>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32" t="s">
        <v>2387</v>
      </c>
      <c r="Q32" s="1538">
        <f t="shared" si="11"/>
        <v>111</v>
      </c>
      <c r="R32" s="714" t="s">
        <v>17</v>
      </c>
      <c r="S32" s="715">
        <f t="shared" si="12"/>
        <v>100</v>
      </c>
      <c r="T32" s="714" t="s">
        <v>17</v>
      </c>
      <c r="U32" s="715">
        <f t="shared" si="13"/>
        <v>100</v>
      </c>
      <c r="V32" s="714" t="s">
        <v>17</v>
      </c>
      <c r="W32" s="715">
        <f t="shared" si="14"/>
        <v>100</v>
      </c>
      <c r="X32" s="1541"/>
      <c r="Y32" s="3332"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32"/>
      <c r="Q33" s="1538">
        <f t="shared" si="11"/>
        <v>111</v>
      </c>
      <c r="R33" s="714" t="s">
        <v>17</v>
      </c>
      <c r="S33" s="715">
        <f t="shared" si="12"/>
        <v>100</v>
      </c>
      <c r="T33" s="714" t="s">
        <v>17</v>
      </c>
      <c r="U33" s="715">
        <f t="shared" si="13"/>
        <v>100</v>
      </c>
      <c r="V33" s="714" t="s">
        <v>17</v>
      </c>
      <c r="W33" s="715">
        <f t="shared" si="14"/>
        <v>100</v>
      </c>
      <c r="X33" s="1541"/>
      <c r="Y33" s="3332"/>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32"/>
      <c r="Q34" s="1538">
        <f t="shared" si="11"/>
        <v>111</v>
      </c>
      <c r="R34" s="714" t="s">
        <v>17</v>
      </c>
      <c r="S34" s="715">
        <f t="shared" si="12"/>
        <v>100</v>
      </c>
      <c r="T34" s="714" t="s">
        <v>17</v>
      </c>
      <c r="U34" s="715">
        <f t="shared" si="13"/>
        <v>100</v>
      </c>
      <c r="V34" s="714" t="s">
        <v>17</v>
      </c>
      <c r="W34" s="715">
        <f t="shared" si="14"/>
        <v>100</v>
      </c>
      <c r="X34" s="1541"/>
      <c r="Y34" s="3332"/>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25" t="str">
        <f>A35</f>
        <v>成交单价（元/平方米）</v>
      </c>
      <c r="Q35" s="3325"/>
      <c r="R35" s="3326">
        <f>E35</f>
        <v>0</v>
      </c>
      <c r="S35" s="3326"/>
      <c r="T35" s="3326">
        <f>G35</f>
        <v>0</v>
      </c>
      <c r="U35" s="3326"/>
      <c r="V35" s="3326">
        <f>I35</f>
        <v>0</v>
      </c>
      <c r="W35" s="3326"/>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25" t="str">
        <f>A36</f>
        <v>比较价值（元/平方米）</v>
      </c>
      <c r="Q36" s="3325"/>
      <c r="R36" s="3326" t="e">
        <f>IF(F1="售价",ROUND(PRODUCT(R35,AA7:AA34),0),ROUND(PRODUCT(R35,AA7:AA34),1))</f>
        <v>#DIV/0!</v>
      </c>
      <c r="S36" s="3326"/>
      <c r="T36" s="3326" t="e">
        <f>IF(F1="售价",ROUND(PRODUCT(T35,AB7:AB34),0),ROUND(PRODUCT(T35,AB7:AB34),1))</f>
        <v>#DIV/0!</v>
      </c>
      <c r="U36" s="3326"/>
      <c r="V36" s="3326" t="e">
        <f>IF(F1="售价",ROUND(PRODUCT(V35,AC7:AC34),0),ROUND(PRODUCT(V35,AC7:AC34),1))</f>
        <v>#DIV/0!</v>
      </c>
      <c r="W36" s="3326"/>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22" t="str">
        <f>A37</f>
        <v>估价对象XX用房的比较价值（楼面单价，元/平方米）</v>
      </c>
      <c r="Q37" s="3323"/>
      <c r="R37" s="3352" t="e">
        <f>IF(F1="售价",ROUND(IF(D36="简单平均",AVERAGE(R36:W36),R36*F36+T36*H36+V36*J36),0),ROUND(IF(D36="简单平均",AVERAGE(R36:V36),R36*F36+T36*H36+V36*J36),1))</f>
        <v>#DIV/0!</v>
      </c>
      <c r="S37" s="3352"/>
      <c r="T37" s="3352"/>
      <c r="U37" s="3352"/>
      <c r="V37" s="3352"/>
      <c r="W37" s="3352"/>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295" t="s">
        <v>2469</v>
      </c>
      <c r="S4" s="3296"/>
      <c r="T4" s="3295" t="s">
        <v>2470</v>
      </c>
      <c r="U4" s="3296"/>
      <c r="V4" s="3320" t="s">
        <v>2471</v>
      </c>
      <c r="W4" s="3320"/>
      <c r="X4" s="1541"/>
      <c r="Y4" s="3295" t="s">
        <v>2473</v>
      </c>
      <c r="Z4" s="3296"/>
      <c r="AA4" s="3290" t="s">
        <v>2469</v>
      </c>
      <c r="AB4" s="3291" t="s">
        <v>2470</v>
      </c>
      <c r="AC4" s="3290" t="s">
        <v>2471</v>
      </c>
    </row>
    <row r="5" spans="1:30" ht="15">
      <c r="A5" s="364"/>
      <c r="B5" s="365"/>
      <c r="C5" s="3301" t="s">
        <v>2364</v>
      </c>
      <c r="D5" s="3302"/>
      <c r="E5" s="3299" t="s">
        <v>2365</v>
      </c>
      <c r="F5" s="3300"/>
      <c r="G5" s="3301" t="s">
        <v>2366</v>
      </c>
      <c r="H5" s="3302"/>
      <c r="I5" s="3301" t="s">
        <v>2367</v>
      </c>
      <c r="J5" s="3302"/>
      <c r="K5" s="567"/>
      <c r="L5" s="2943"/>
      <c r="M5" s="2944"/>
      <c r="N5" s="2944"/>
      <c r="O5" s="2944"/>
      <c r="P5" s="3314"/>
      <c r="Q5" s="3315"/>
      <c r="R5" s="3297"/>
      <c r="S5" s="3298"/>
      <c r="T5" s="3297"/>
      <c r="U5" s="3298"/>
      <c r="V5" s="3320"/>
      <c r="W5" s="3320"/>
      <c r="X5" s="1541"/>
      <c r="Y5" s="3297"/>
      <c r="Z5" s="3298"/>
      <c r="AA5" s="3291"/>
      <c r="AB5" s="3291"/>
      <c r="AC5" s="3291"/>
    </row>
    <row r="6" spans="1:30" ht="15.75" thickBot="1">
      <c r="A6" s="366"/>
      <c r="B6" s="367"/>
      <c r="C6" s="3303" t="s">
        <v>2368</v>
      </c>
      <c r="D6" s="3304"/>
      <c r="E6" s="3305" t="s">
        <v>2368</v>
      </c>
      <c r="F6" s="3306"/>
      <c r="G6" s="3303" t="s">
        <v>2368</v>
      </c>
      <c r="H6" s="3304"/>
      <c r="I6" s="3303" t="s">
        <v>2368</v>
      </c>
      <c r="J6" s="3304"/>
      <c r="K6" s="567" t="s">
        <v>2369</v>
      </c>
      <c r="L6" s="2943"/>
      <c r="M6" s="2944"/>
      <c r="N6" s="2944"/>
      <c r="O6" s="2944"/>
      <c r="P6" s="3316"/>
      <c r="Q6" s="3317"/>
      <c r="R6" s="3297"/>
      <c r="S6" s="3298"/>
      <c r="T6" s="3318"/>
      <c r="U6" s="3319"/>
      <c r="V6" s="3320"/>
      <c r="W6" s="3320"/>
      <c r="X6" s="1541"/>
      <c r="Y6" s="3318"/>
      <c r="Z6" s="3319"/>
      <c r="AA6" s="3292"/>
      <c r="AB6" s="3292"/>
      <c r="AC6" s="3292"/>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293" t="s">
        <v>2371</v>
      </c>
      <c r="Q7" s="3321"/>
      <c r="R7" s="710" t="s">
        <v>17</v>
      </c>
      <c r="S7" s="711">
        <f t="shared" ref="S7:S15" si="0">F7</f>
        <v>0</v>
      </c>
      <c r="T7" s="710" t="s">
        <v>17</v>
      </c>
      <c r="U7" s="711">
        <f t="shared" ref="U7:U15" si="1">H7</f>
        <v>0</v>
      </c>
      <c r="V7" s="710" t="s">
        <v>17</v>
      </c>
      <c r="W7" s="711">
        <f t="shared" ref="W7:W15" si="2">J7</f>
        <v>0</v>
      </c>
      <c r="X7" s="712"/>
      <c r="Y7" s="3293" t="s">
        <v>2371</v>
      </c>
      <c r="Z7" s="3294"/>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3" t="s">
        <v>2374</v>
      </c>
      <c r="Q8" s="3294"/>
      <c r="R8" s="710" t="s">
        <v>17</v>
      </c>
      <c r="S8" s="711">
        <f t="shared" si="0"/>
        <v>0</v>
      </c>
      <c r="T8" s="710" t="s">
        <v>17</v>
      </c>
      <c r="U8" s="711">
        <f t="shared" si="1"/>
        <v>0</v>
      </c>
      <c r="V8" s="710" t="s">
        <v>17</v>
      </c>
      <c r="W8" s="711">
        <f t="shared" si="2"/>
        <v>0</v>
      </c>
      <c r="X8" s="712"/>
      <c r="Y8" s="3293" t="s">
        <v>2374</v>
      </c>
      <c r="Z8" s="3294"/>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25" t="s">
        <v>2377</v>
      </c>
      <c r="Q9" s="1529" t="str">
        <f t="shared" ref="Q9:Q15" si="6">B9</f>
        <v>用途</v>
      </c>
      <c r="R9" s="710" t="s">
        <v>17</v>
      </c>
      <c r="S9" s="711">
        <f t="shared" si="0"/>
        <v>100</v>
      </c>
      <c r="T9" s="710" t="s">
        <v>17</v>
      </c>
      <c r="U9" s="711">
        <f t="shared" si="1"/>
        <v>100</v>
      </c>
      <c r="V9" s="710" t="s">
        <v>17</v>
      </c>
      <c r="W9" s="711">
        <f t="shared" si="2"/>
        <v>100</v>
      </c>
      <c r="X9" s="712"/>
      <c r="Y9" s="3235"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112</v>
      </c>
      <c r="G10" s="422"/>
      <c r="H10" s="132">
        <f>ROUND(100/'数据-取费表'!G16,0)</f>
        <v>112</v>
      </c>
      <c r="I10" s="422"/>
      <c r="J10" s="132">
        <f>ROUND(100/'数据-取费表'!G16,0)</f>
        <v>112</v>
      </c>
      <c r="K10" s="628"/>
      <c r="L10" s="2947"/>
      <c r="M10" s="2948"/>
      <c r="N10" s="2948"/>
      <c r="O10" s="3001"/>
      <c r="P10" s="3325"/>
      <c r="Q10" s="1529" t="str">
        <f t="shared" si="6"/>
        <v>土地使用年限（年）</v>
      </c>
      <c r="R10" s="710" t="s">
        <v>17</v>
      </c>
      <c r="S10" s="711">
        <f t="shared" si="0"/>
        <v>112</v>
      </c>
      <c r="T10" s="710" t="s">
        <v>17</v>
      </c>
      <c r="U10" s="711">
        <f t="shared" si="1"/>
        <v>112</v>
      </c>
      <c r="V10" s="710" t="s">
        <v>17</v>
      </c>
      <c r="W10" s="711">
        <f t="shared" si="2"/>
        <v>112</v>
      </c>
      <c r="X10" s="712"/>
      <c r="Y10" s="3235"/>
      <c r="Z10" s="55" t="str">
        <f t="shared" si="7"/>
        <v>土地使用年限（年）</v>
      </c>
      <c r="AA10" s="713">
        <f t="shared" si="3"/>
        <v>0.8928571428571429</v>
      </c>
      <c r="AB10" s="713">
        <f t="shared" si="4"/>
        <v>0.8928571428571429</v>
      </c>
      <c r="AC10" s="713">
        <f t="shared" si="5"/>
        <v>0.8928571428571429</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5"/>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5"/>
      <c r="Q12" s="1529" t="str">
        <f t="shared" si="6"/>
        <v>配建</v>
      </c>
      <c r="R12" s="710" t="s">
        <v>17</v>
      </c>
      <c r="S12" s="711">
        <f t="shared" si="0"/>
        <v>100</v>
      </c>
      <c r="T12" s="710" t="s">
        <v>17</v>
      </c>
      <c r="U12" s="711">
        <f t="shared" si="1"/>
        <v>100</v>
      </c>
      <c r="V12" s="710" t="s">
        <v>17</v>
      </c>
      <c r="W12" s="711">
        <f t="shared" si="2"/>
        <v>100</v>
      </c>
      <c r="X12" s="712"/>
      <c r="Y12" s="3235"/>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5"/>
      <c r="Q13" s="1529">
        <f t="shared" si="6"/>
        <v>111</v>
      </c>
      <c r="R13" s="710" t="s">
        <v>17</v>
      </c>
      <c r="S13" s="711">
        <f t="shared" si="0"/>
        <v>100</v>
      </c>
      <c r="T13" s="710" t="s">
        <v>17</v>
      </c>
      <c r="U13" s="711">
        <f t="shared" si="1"/>
        <v>100</v>
      </c>
      <c r="V13" s="710" t="s">
        <v>17</v>
      </c>
      <c r="W13" s="711">
        <f t="shared" si="2"/>
        <v>100</v>
      </c>
      <c r="X13" s="712"/>
      <c r="Y13" s="3235"/>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5"/>
      <c r="Q14" s="1529">
        <f t="shared" si="6"/>
        <v>111</v>
      </c>
      <c r="R14" s="710" t="s">
        <v>17</v>
      </c>
      <c r="S14" s="711">
        <f t="shared" si="0"/>
        <v>100</v>
      </c>
      <c r="T14" s="710" t="s">
        <v>17</v>
      </c>
      <c r="U14" s="711">
        <f t="shared" si="1"/>
        <v>100</v>
      </c>
      <c r="V14" s="710" t="s">
        <v>17</v>
      </c>
      <c r="W14" s="711">
        <f t="shared" si="2"/>
        <v>100</v>
      </c>
      <c r="X14" s="712"/>
      <c r="Y14" s="3235"/>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7" t="s">
        <v>2382</v>
      </c>
      <c r="Q15" s="1538" t="str">
        <f t="shared" si="6"/>
        <v>居住社区成熟度</v>
      </c>
      <c r="R15" s="714" t="s">
        <v>17</v>
      </c>
      <c r="S15" s="715">
        <f t="shared" si="0"/>
        <v>100</v>
      </c>
      <c r="T15" s="714" t="s">
        <v>17</v>
      </c>
      <c r="U15" s="715">
        <f t="shared" si="1"/>
        <v>100</v>
      </c>
      <c r="V15" s="714" t="s">
        <v>17</v>
      </c>
      <c r="W15" s="715">
        <f t="shared" si="2"/>
        <v>100</v>
      </c>
      <c r="X15" s="1541"/>
      <c r="Y15" s="3327"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28"/>
      <c r="Q16" s="1538"/>
      <c r="R16" s="714"/>
      <c r="S16" s="715"/>
      <c r="T16" s="714"/>
      <c r="U16" s="715"/>
      <c r="V16" s="714"/>
      <c r="W16" s="715"/>
      <c r="X16" s="1541"/>
      <c r="Y16" s="3328"/>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8"/>
      <c r="Q17" s="1538" t="str">
        <f>B17</f>
        <v>商业繁华度</v>
      </c>
      <c r="R17" s="714" t="s">
        <v>17</v>
      </c>
      <c r="S17" s="715">
        <f>F17</f>
        <v>100</v>
      </c>
      <c r="T17" s="714" t="s">
        <v>17</v>
      </c>
      <c r="U17" s="715">
        <f>H17</f>
        <v>100</v>
      </c>
      <c r="V17" s="714" t="s">
        <v>17</v>
      </c>
      <c r="W17" s="715">
        <f>J17</f>
        <v>100</v>
      </c>
      <c r="X17" s="1541"/>
      <c r="Y17" s="3328"/>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28"/>
      <c r="Q18" s="1538"/>
      <c r="R18" s="714"/>
      <c r="S18" s="715"/>
      <c r="T18" s="714"/>
      <c r="U18" s="715"/>
      <c r="V18" s="714"/>
      <c r="W18" s="715"/>
      <c r="X18" s="1541"/>
      <c r="Y18" s="3328"/>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8"/>
      <c r="Q19" s="1538" t="str">
        <f>B19</f>
        <v>办公集聚程度</v>
      </c>
      <c r="R19" s="714" t="s">
        <v>17</v>
      </c>
      <c r="S19" s="715">
        <f>F19</f>
        <v>100</v>
      </c>
      <c r="T19" s="714" t="s">
        <v>17</v>
      </c>
      <c r="U19" s="715">
        <f>H19</f>
        <v>100</v>
      </c>
      <c r="V19" s="714" t="s">
        <v>17</v>
      </c>
      <c r="W19" s="715">
        <f>J19</f>
        <v>100</v>
      </c>
      <c r="X19" s="1541"/>
      <c r="Y19" s="332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28"/>
      <c r="Q20" s="1538"/>
      <c r="R20" s="714"/>
      <c r="S20" s="715"/>
      <c r="T20" s="714"/>
      <c r="U20" s="715"/>
      <c r="V20" s="714"/>
      <c r="W20" s="715"/>
      <c r="X20" s="1541"/>
      <c r="Y20" s="3328"/>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8"/>
      <c r="Q21" s="1538" t="str">
        <f>B21</f>
        <v>交通便捷度</v>
      </c>
      <c r="R21" s="714" t="s">
        <v>17</v>
      </c>
      <c r="S21" s="715">
        <f>F21</f>
        <v>100</v>
      </c>
      <c r="T21" s="714" t="s">
        <v>17</v>
      </c>
      <c r="U21" s="715">
        <f>H21</f>
        <v>100</v>
      </c>
      <c r="V21" s="714" t="s">
        <v>17</v>
      </c>
      <c r="W21" s="715">
        <f>J21</f>
        <v>100</v>
      </c>
      <c r="X21" s="1541"/>
      <c r="Y21" s="3328"/>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28"/>
      <c r="Q22" s="1538"/>
      <c r="R22" s="714"/>
      <c r="S22" s="715"/>
      <c r="T22" s="714"/>
      <c r="U22" s="715"/>
      <c r="V22" s="714"/>
      <c r="W22" s="715"/>
      <c r="X22" s="1541"/>
      <c r="Y22" s="3328"/>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8"/>
      <c r="Q23" s="1538" t="str">
        <f t="shared" ref="Q23:Q37" si="8">B23</f>
        <v>区域土地利用方向</v>
      </c>
      <c r="R23" s="714" t="s">
        <v>17</v>
      </c>
      <c r="S23" s="715">
        <f>F23</f>
        <v>100</v>
      </c>
      <c r="T23" s="714" t="s">
        <v>17</v>
      </c>
      <c r="U23" s="715">
        <f>H23</f>
        <v>100</v>
      </c>
      <c r="V23" s="714" t="s">
        <v>17</v>
      </c>
      <c r="W23" s="715">
        <f>J23</f>
        <v>100</v>
      </c>
      <c r="X23" s="1541"/>
      <c r="Y23" s="3328"/>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28"/>
      <c r="Q24" s="1538"/>
      <c r="R24" s="714"/>
      <c r="S24" s="715"/>
      <c r="T24" s="714"/>
      <c r="U24" s="715"/>
      <c r="V24" s="714"/>
      <c r="W24" s="715"/>
      <c r="X24" s="1541"/>
      <c r="Y24" s="3328"/>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8"/>
      <c r="Q25" s="1538" t="str">
        <f t="shared" si="8"/>
        <v>自然及人文环境状况</v>
      </c>
      <c r="R25" s="714" t="s">
        <v>17</v>
      </c>
      <c r="S25" s="715">
        <f>F25</f>
        <v>100</v>
      </c>
      <c r="T25" s="714" t="s">
        <v>17</v>
      </c>
      <c r="U25" s="715">
        <f>H25</f>
        <v>100</v>
      </c>
      <c r="V25" s="714" t="s">
        <v>17</v>
      </c>
      <c r="W25" s="715">
        <f>J25</f>
        <v>100</v>
      </c>
      <c r="X25" s="1541"/>
      <c r="Y25" s="3328"/>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28"/>
      <c r="Q26" s="1538"/>
      <c r="R26" s="714"/>
      <c r="S26" s="715"/>
      <c r="T26" s="714"/>
      <c r="U26" s="715"/>
      <c r="V26" s="714"/>
      <c r="W26" s="715"/>
      <c r="X26" s="1541"/>
      <c r="Y26" s="3328"/>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8"/>
      <c r="Q27" s="1529" t="str">
        <f t="shared" si="8"/>
        <v>公共配套设施</v>
      </c>
      <c r="R27" s="710" t="s">
        <v>17</v>
      </c>
      <c r="S27" s="711">
        <f>F27</f>
        <v>100</v>
      </c>
      <c r="T27" s="710" t="s">
        <v>17</v>
      </c>
      <c r="U27" s="711">
        <f>H27</f>
        <v>100</v>
      </c>
      <c r="V27" s="710" t="s">
        <v>17</v>
      </c>
      <c r="W27" s="711">
        <f>J27</f>
        <v>100</v>
      </c>
      <c r="X27" s="712"/>
      <c r="Y27" s="3328"/>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28"/>
      <c r="Q28" s="1529"/>
      <c r="R28" s="710"/>
      <c r="S28" s="711"/>
      <c r="T28" s="710"/>
      <c r="U28" s="711"/>
      <c r="V28" s="710"/>
      <c r="W28" s="711"/>
      <c r="X28" s="712"/>
      <c r="Y28" s="3328"/>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8"/>
      <c r="Q29" s="1529" t="str">
        <f t="shared" ref="Q29" si="9">B29</f>
        <v>基础设施水平</v>
      </c>
      <c r="R29" s="710" t="s">
        <v>17</v>
      </c>
      <c r="S29" s="711">
        <f>F29</f>
        <v>100</v>
      </c>
      <c r="T29" s="710" t="s">
        <v>17</v>
      </c>
      <c r="U29" s="711">
        <f>H29</f>
        <v>100</v>
      </c>
      <c r="V29" s="710" t="s">
        <v>17</v>
      </c>
      <c r="W29" s="711">
        <f>J29</f>
        <v>100</v>
      </c>
      <c r="X29" s="712"/>
      <c r="Y29" s="3328"/>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28"/>
      <c r="Q30" s="1529"/>
      <c r="R30" s="710"/>
      <c r="S30" s="711"/>
      <c r="T30" s="710"/>
      <c r="U30" s="711"/>
      <c r="V30" s="710"/>
      <c r="W30" s="711"/>
      <c r="X30" s="712"/>
      <c r="Y30" s="3328"/>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28"/>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8"/>
      <c r="Q32" s="1538" t="str">
        <f t="shared" si="8"/>
        <v>毗邻道路的类型与等级</v>
      </c>
      <c r="R32" s="714" t="s">
        <v>17</v>
      </c>
      <c r="S32" s="715">
        <f t="shared" si="10"/>
        <v>100</v>
      </c>
      <c r="T32" s="714" t="s">
        <v>17</v>
      </c>
      <c r="U32" s="715">
        <f t="shared" si="11"/>
        <v>100</v>
      </c>
      <c r="V32" s="714" t="s">
        <v>17</v>
      </c>
      <c r="W32" s="715">
        <f t="shared" si="12"/>
        <v>100</v>
      </c>
      <c r="X32" s="1541"/>
      <c r="Y32" s="332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28"/>
      <c r="Q33" s="1538"/>
      <c r="R33" s="714"/>
      <c r="S33" s="715"/>
      <c r="T33" s="714"/>
      <c r="U33" s="715"/>
      <c r="V33" s="714"/>
      <c r="W33" s="715"/>
      <c r="X33" s="1541"/>
      <c r="Y33" s="3328"/>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8"/>
      <c r="Q34" s="1538" t="str">
        <f t="shared" si="8"/>
        <v>土地级别</v>
      </c>
      <c r="R34" s="714" t="s">
        <v>17</v>
      </c>
      <c r="S34" s="715">
        <f t="shared" si="10"/>
        <v>100</v>
      </c>
      <c r="T34" s="714" t="s">
        <v>17</v>
      </c>
      <c r="U34" s="715">
        <f t="shared" si="11"/>
        <v>100</v>
      </c>
      <c r="V34" s="714" t="s">
        <v>17</v>
      </c>
      <c r="W34" s="715">
        <f t="shared" si="12"/>
        <v>100</v>
      </c>
      <c r="X34" s="1541"/>
      <c r="Y34" s="332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8"/>
      <c r="Q35" s="1538">
        <f t="shared" si="8"/>
        <v>111</v>
      </c>
      <c r="R35" s="714" t="s">
        <v>17</v>
      </c>
      <c r="S35" s="715">
        <f t="shared" si="10"/>
        <v>100</v>
      </c>
      <c r="T35" s="714" t="s">
        <v>17</v>
      </c>
      <c r="U35" s="715">
        <f t="shared" si="11"/>
        <v>100</v>
      </c>
      <c r="V35" s="714" t="s">
        <v>17</v>
      </c>
      <c r="W35" s="715">
        <f t="shared" si="12"/>
        <v>100</v>
      </c>
      <c r="X35" s="1541"/>
      <c r="Y35" s="332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1" t="s">
        <v>2387</v>
      </c>
      <c r="Q36" s="1538">
        <f t="shared" si="8"/>
        <v>111</v>
      </c>
      <c r="R36" s="714" t="s">
        <v>17</v>
      </c>
      <c r="S36" s="715">
        <f t="shared" si="10"/>
        <v>100</v>
      </c>
      <c r="T36" s="714" t="s">
        <v>17</v>
      </c>
      <c r="U36" s="715">
        <f t="shared" si="11"/>
        <v>100</v>
      </c>
      <c r="V36" s="714" t="s">
        <v>17</v>
      </c>
      <c r="W36" s="715">
        <f t="shared" si="12"/>
        <v>100</v>
      </c>
      <c r="X36" s="1541"/>
      <c r="Y36" s="3332"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32"/>
      <c r="Q37" s="1538">
        <f t="shared" si="8"/>
        <v>111</v>
      </c>
      <c r="R37" s="717" t="s">
        <v>17</v>
      </c>
      <c r="S37" s="718">
        <f t="shared" si="10"/>
        <v>100</v>
      </c>
      <c r="T37" s="717" t="s">
        <v>17</v>
      </c>
      <c r="U37" s="718">
        <f t="shared" si="11"/>
        <v>100</v>
      </c>
      <c r="V37" s="717" t="s">
        <v>17</v>
      </c>
      <c r="W37" s="718">
        <f t="shared" si="12"/>
        <v>100</v>
      </c>
      <c r="X37" s="719"/>
      <c r="Y37" s="3332"/>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32"/>
      <c r="Q38" s="1538" t="str">
        <f>B38</f>
        <v>宗地面积</v>
      </c>
      <c r="R38" s="714" t="s">
        <v>17</v>
      </c>
      <c r="S38" s="715" t="e">
        <f t="shared" si="10"/>
        <v>#N/A</v>
      </c>
      <c r="T38" s="714" t="s">
        <v>17</v>
      </c>
      <c r="U38" s="715" t="e">
        <f t="shared" si="11"/>
        <v>#N/A</v>
      </c>
      <c r="V38" s="714" t="s">
        <v>17</v>
      </c>
      <c r="W38" s="715" t="e">
        <f t="shared" si="12"/>
        <v>#N/A</v>
      </c>
      <c r="X38" s="1541"/>
      <c r="Y38" s="3332"/>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32"/>
      <c r="Q39" s="1538" t="str">
        <f t="shared" ref="Q39:Q45" si="14">B39</f>
        <v>宗地形状</v>
      </c>
      <c r="R39" s="714" t="s">
        <v>17</v>
      </c>
      <c r="S39" s="715">
        <f t="shared" si="10"/>
        <v>100</v>
      </c>
      <c r="T39" s="714" t="s">
        <v>17</v>
      </c>
      <c r="U39" s="715">
        <f t="shared" si="11"/>
        <v>100</v>
      </c>
      <c r="V39" s="714" t="s">
        <v>17</v>
      </c>
      <c r="W39" s="715">
        <f t="shared" si="12"/>
        <v>100</v>
      </c>
      <c r="X39" s="1541"/>
      <c r="Y39" s="3332"/>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32"/>
      <c r="Q40" s="1538" t="str">
        <f t="shared" si="14"/>
        <v>临街宽度及深度</v>
      </c>
      <c r="R40" s="714" t="s">
        <v>17</v>
      </c>
      <c r="S40" s="715">
        <f t="shared" si="10"/>
        <v>100</v>
      </c>
      <c r="T40" s="714" t="s">
        <v>17</v>
      </c>
      <c r="U40" s="715">
        <f t="shared" si="11"/>
        <v>100</v>
      </c>
      <c r="V40" s="714" t="s">
        <v>17</v>
      </c>
      <c r="W40" s="715">
        <f t="shared" si="12"/>
        <v>100</v>
      </c>
      <c r="X40" s="1541"/>
      <c r="Y40" s="3332"/>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32"/>
      <c r="Q41" s="1538" t="str">
        <f t="shared" si="14"/>
        <v>宗地开发程度</v>
      </c>
      <c r="R41" s="710" t="s">
        <v>17</v>
      </c>
      <c r="S41" s="711">
        <f t="shared" si="10"/>
        <v>100</v>
      </c>
      <c r="T41" s="710" t="s">
        <v>17</v>
      </c>
      <c r="U41" s="711">
        <f t="shared" si="11"/>
        <v>100</v>
      </c>
      <c r="V41" s="710" t="s">
        <v>17</v>
      </c>
      <c r="W41" s="711">
        <f t="shared" si="12"/>
        <v>100</v>
      </c>
      <c r="X41" s="712"/>
      <c r="Y41" s="3332"/>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32" t="s">
        <v>2387</v>
      </c>
      <c r="Q42" s="1538" t="str">
        <f t="shared" si="14"/>
        <v>工程地质条件</v>
      </c>
      <c r="R42" s="714" t="s">
        <v>17</v>
      </c>
      <c r="S42" s="715">
        <f t="shared" si="10"/>
        <v>100</v>
      </c>
      <c r="T42" s="714" t="s">
        <v>17</v>
      </c>
      <c r="U42" s="715">
        <f t="shared" si="11"/>
        <v>100</v>
      </c>
      <c r="V42" s="714" t="s">
        <v>17</v>
      </c>
      <c r="W42" s="715">
        <f t="shared" si="12"/>
        <v>100</v>
      </c>
      <c r="X42" s="1541"/>
      <c r="Y42" s="3332"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32"/>
      <c r="Q43" s="1538">
        <f t="shared" si="14"/>
        <v>111</v>
      </c>
      <c r="R43" s="714" t="s">
        <v>17</v>
      </c>
      <c r="S43" s="715">
        <f t="shared" si="10"/>
        <v>100</v>
      </c>
      <c r="T43" s="714" t="s">
        <v>17</v>
      </c>
      <c r="U43" s="715">
        <f t="shared" si="11"/>
        <v>100</v>
      </c>
      <c r="V43" s="714" t="s">
        <v>17</v>
      </c>
      <c r="W43" s="715">
        <f t="shared" si="12"/>
        <v>100</v>
      </c>
      <c r="X43" s="1541"/>
      <c r="Y43" s="3332"/>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32"/>
      <c r="Q44" s="1538">
        <f t="shared" si="14"/>
        <v>111</v>
      </c>
      <c r="R44" s="714" t="s">
        <v>17</v>
      </c>
      <c r="S44" s="715">
        <f t="shared" si="10"/>
        <v>100</v>
      </c>
      <c r="T44" s="714" t="s">
        <v>17</v>
      </c>
      <c r="U44" s="715">
        <f t="shared" si="11"/>
        <v>100</v>
      </c>
      <c r="V44" s="714" t="s">
        <v>17</v>
      </c>
      <c r="W44" s="715">
        <f t="shared" si="12"/>
        <v>100</v>
      </c>
      <c r="X44" s="1541"/>
      <c r="Y44" s="3332"/>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32"/>
      <c r="Q45" s="1538">
        <f t="shared" si="14"/>
        <v>111</v>
      </c>
      <c r="R45" s="717" t="s">
        <v>17</v>
      </c>
      <c r="S45" s="718">
        <f t="shared" si="10"/>
        <v>100</v>
      </c>
      <c r="T45" s="717" t="s">
        <v>17</v>
      </c>
      <c r="U45" s="718">
        <f t="shared" si="11"/>
        <v>100</v>
      </c>
      <c r="V45" s="717" t="s">
        <v>17</v>
      </c>
      <c r="W45" s="718">
        <f t="shared" si="12"/>
        <v>100</v>
      </c>
      <c r="X45" s="719"/>
      <c r="Y45" s="3332"/>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25" t="str">
        <f>A46</f>
        <v>成交单价</v>
      </c>
      <c r="Q46" s="3325"/>
      <c r="R46" s="3320">
        <f>E46</f>
        <v>0</v>
      </c>
      <c r="S46" s="3320"/>
      <c r="T46" s="3320">
        <f>G46</f>
        <v>0</v>
      </c>
      <c r="U46" s="3320"/>
      <c r="V46" s="3320">
        <f>I46</f>
        <v>0</v>
      </c>
      <c r="W46" s="3320"/>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25" t="str">
        <f>A47</f>
        <v>比较价值（元/平方米）</v>
      </c>
      <c r="Q47" s="3325"/>
      <c r="R47" s="3353" t="e">
        <f>ROUND(PRODUCT(R46,AA7:AA45),0)</f>
        <v>#DIV/0!</v>
      </c>
      <c r="S47" s="3353"/>
      <c r="T47" s="3353" t="e">
        <f>ROUND(PRODUCT(T46,AB7:AB45),0)</f>
        <v>#DIV/0!</v>
      </c>
      <c r="U47" s="3353"/>
      <c r="V47" s="3353" t="e">
        <f>ROUND(PRODUCT(V46,AC7:AC45),0)</f>
        <v>#DIV/0!</v>
      </c>
      <c r="W47" s="3353"/>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22" t="str">
        <f>A48</f>
        <v>估价对象XX用房的比较价值（楼面单价，元/平方米）</v>
      </c>
      <c r="Q48" s="3323"/>
      <c r="R48" s="3354" t="e">
        <f>ROUND(IF(D47="简单平均",AVERAGE(R47:W47),R47*F47+T47*H47+V47*J47),0)</f>
        <v>#DIV/0!</v>
      </c>
      <c r="S48" s="3354"/>
      <c r="T48" s="3354"/>
      <c r="U48" s="3354"/>
      <c r="V48" s="3354"/>
      <c r="W48" s="3354"/>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08" t="s">
        <v>2586</v>
      </c>
      <c r="H55" s="3355"/>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1266.6499999999999</v>
      </c>
      <c r="F56" s="1017" t="e">
        <f t="shared" ref="F56:F65" si="15">ROUND(B56*E56/10000,0)</f>
        <v>#DIV/0!</v>
      </c>
      <c r="G56" s="3307"/>
      <c r="H56" s="332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56"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56"/>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56"/>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56"/>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1266.6499999999999</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08" t="s">
        <v>2468</v>
      </c>
      <c r="D4" s="3309"/>
      <c r="E4" s="3310" t="s">
        <v>2469</v>
      </c>
      <c r="F4" s="3311"/>
      <c r="G4" s="3308" t="s">
        <v>2470</v>
      </c>
      <c r="H4" s="3309"/>
      <c r="I4" s="3308" t="s">
        <v>2471</v>
      </c>
      <c r="J4" s="3309"/>
      <c r="K4" s="567" t="s">
        <v>2472</v>
      </c>
      <c r="L4" s="2943"/>
      <c r="M4" s="2944"/>
      <c r="N4" s="2944"/>
      <c r="O4" s="2944"/>
      <c r="P4" s="3312" t="s">
        <v>2473</v>
      </c>
      <c r="Q4" s="3313"/>
      <c r="R4" s="3295" t="s">
        <v>2469</v>
      </c>
      <c r="S4" s="3296"/>
      <c r="T4" s="3295" t="s">
        <v>2470</v>
      </c>
      <c r="U4" s="3296"/>
      <c r="V4" s="3320" t="s">
        <v>2471</v>
      </c>
      <c r="W4" s="3320"/>
      <c r="X4" s="1541"/>
      <c r="Y4" s="3295" t="s">
        <v>2473</v>
      </c>
      <c r="Z4" s="3296"/>
      <c r="AA4" s="3290" t="s">
        <v>2469</v>
      </c>
      <c r="AB4" s="3291" t="s">
        <v>2470</v>
      </c>
      <c r="AC4" s="3290" t="s">
        <v>2471</v>
      </c>
    </row>
    <row r="5" spans="1:29" ht="15">
      <c r="A5" s="364"/>
      <c r="B5" s="365"/>
      <c r="C5" s="3301" t="s">
        <v>2364</v>
      </c>
      <c r="D5" s="3302"/>
      <c r="E5" s="3299" t="s">
        <v>2365</v>
      </c>
      <c r="F5" s="3300"/>
      <c r="G5" s="3301" t="s">
        <v>2366</v>
      </c>
      <c r="H5" s="3302"/>
      <c r="I5" s="3301" t="s">
        <v>2367</v>
      </c>
      <c r="J5" s="3302"/>
      <c r="K5" s="567"/>
      <c r="L5" s="2943"/>
      <c r="M5" s="2944"/>
      <c r="N5" s="2944"/>
      <c r="O5" s="2944"/>
      <c r="P5" s="3314"/>
      <c r="Q5" s="3315"/>
      <c r="R5" s="3297"/>
      <c r="S5" s="3298"/>
      <c r="T5" s="3297"/>
      <c r="U5" s="3298"/>
      <c r="V5" s="3320"/>
      <c r="W5" s="3320"/>
      <c r="X5" s="1541"/>
      <c r="Y5" s="3297"/>
      <c r="Z5" s="3298"/>
      <c r="AA5" s="3291"/>
      <c r="AB5" s="3291"/>
      <c r="AC5" s="3291"/>
    </row>
    <row r="6" spans="1:29" ht="15.75" thickBot="1">
      <c r="A6" s="366"/>
      <c r="B6" s="367"/>
      <c r="C6" s="3357" t="s">
        <v>2619</v>
      </c>
      <c r="D6" s="3358"/>
      <c r="E6" s="3359" t="s">
        <v>2619</v>
      </c>
      <c r="F6" s="3360"/>
      <c r="G6" s="3357" t="s">
        <v>2619</v>
      </c>
      <c r="H6" s="3358"/>
      <c r="I6" s="3357" t="s">
        <v>2619</v>
      </c>
      <c r="J6" s="3358"/>
      <c r="K6" s="567" t="s">
        <v>2369</v>
      </c>
      <c r="L6" s="2943"/>
      <c r="M6" s="2944"/>
      <c r="N6" s="2944"/>
      <c r="O6" s="2944"/>
      <c r="P6" s="3316"/>
      <c r="Q6" s="3317"/>
      <c r="R6" s="3297"/>
      <c r="S6" s="3298"/>
      <c r="T6" s="3318"/>
      <c r="U6" s="3319"/>
      <c r="V6" s="3320"/>
      <c r="W6" s="3320"/>
      <c r="X6" s="1541"/>
      <c r="Y6" s="3318"/>
      <c r="Z6" s="3319"/>
      <c r="AA6" s="3292"/>
      <c r="AB6" s="3292"/>
      <c r="AC6" s="3292"/>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293" t="s">
        <v>2371</v>
      </c>
      <c r="Q7" s="3321"/>
      <c r="R7" s="710" t="s">
        <v>17</v>
      </c>
      <c r="S7" s="711">
        <f t="shared" ref="S7:S15" si="0">F7</f>
        <v>0</v>
      </c>
      <c r="T7" s="710" t="s">
        <v>17</v>
      </c>
      <c r="U7" s="711">
        <f t="shared" ref="U7:U15" si="1">H7</f>
        <v>0</v>
      </c>
      <c r="V7" s="710" t="s">
        <v>17</v>
      </c>
      <c r="W7" s="711">
        <f t="shared" ref="W7:W15" si="2">J7</f>
        <v>0</v>
      </c>
      <c r="X7" s="712"/>
      <c r="Y7" s="3293" t="s">
        <v>2371</v>
      </c>
      <c r="Z7" s="3294"/>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293" t="s">
        <v>2374</v>
      </c>
      <c r="Q8" s="3294"/>
      <c r="R8" s="710" t="s">
        <v>17</v>
      </c>
      <c r="S8" s="711">
        <f t="shared" si="0"/>
        <v>0</v>
      </c>
      <c r="T8" s="710" t="s">
        <v>17</v>
      </c>
      <c r="U8" s="711">
        <f t="shared" si="1"/>
        <v>0</v>
      </c>
      <c r="V8" s="710" t="s">
        <v>17</v>
      </c>
      <c r="W8" s="711">
        <f t="shared" si="2"/>
        <v>0</v>
      </c>
      <c r="X8" s="712"/>
      <c r="Y8" s="3293" t="s">
        <v>2374</v>
      </c>
      <c r="Z8" s="3294"/>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25" t="s">
        <v>2377</v>
      </c>
      <c r="Q9" s="1529" t="str">
        <f t="shared" ref="Q9:Q15" si="6">B9</f>
        <v>用途</v>
      </c>
      <c r="R9" s="710" t="s">
        <v>17</v>
      </c>
      <c r="S9" s="711">
        <f t="shared" si="0"/>
        <v>100</v>
      </c>
      <c r="T9" s="710" t="s">
        <v>17</v>
      </c>
      <c r="U9" s="711">
        <f t="shared" si="1"/>
        <v>100</v>
      </c>
      <c r="V9" s="710" t="s">
        <v>17</v>
      </c>
      <c r="W9" s="711">
        <f t="shared" si="2"/>
        <v>100</v>
      </c>
      <c r="X9" s="712"/>
      <c r="Y9" s="3235"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112</v>
      </c>
      <c r="G10" s="391"/>
      <c r="H10" s="132">
        <f>ROUND(100/'数据-取费表'!G16,0)</f>
        <v>112</v>
      </c>
      <c r="I10" s="391"/>
      <c r="J10" s="132">
        <f>ROUND(100/'数据-取费表'!G16,0)</f>
        <v>112</v>
      </c>
      <c r="K10" s="628"/>
      <c r="L10" s="2947"/>
      <c r="M10" s="2948"/>
      <c r="N10" s="2948"/>
      <c r="O10" s="3001"/>
      <c r="P10" s="3325"/>
      <c r="Q10" s="1529" t="str">
        <f t="shared" si="6"/>
        <v>土地使用年限（年）</v>
      </c>
      <c r="R10" s="710" t="s">
        <v>17</v>
      </c>
      <c r="S10" s="711">
        <f t="shared" si="0"/>
        <v>112</v>
      </c>
      <c r="T10" s="710" t="s">
        <v>17</v>
      </c>
      <c r="U10" s="711">
        <f t="shared" si="1"/>
        <v>112</v>
      </c>
      <c r="V10" s="710" t="s">
        <v>17</v>
      </c>
      <c r="W10" s="711">
        <f t="shared" si="2"/>
        <v>112</v>
      </c>
      <c r="X10" s="712"/>
      <c r="Y10" s="3235"/>
      <c r="Z10" s="55" t="str">
        <f t="shared" si="7"/>
        <v>土地使用年限（年）</v>
      </c>
      <c r="AA10" s="713">
        <f t="shared" si="3"/>
        <v>0.8928571428571429</v>
      </c>
      <c r="AB10" s="713">
        <f t="shared" si="4"/>
        <v>0.8928571428571429</v>
      </c>
      <c r="AC10" s="713">
        <f t="shared" si="5"/>
        <v>0.8928571428571429</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5"/>
      <c r="Q11" s="1529" t="str">
        <f t="shared" si="6"/>
        <v>容积率</v>
      </c>
      <c r="R11" s="710" t="s">
        <v>17</v>
      </c>
      <c r="S11" s="711" t="e">
        <f t="shared" si="0"/>
        <v>#N/A</v>
      </c>
      <c r="T11" s="710" t="s">
        <v>17</v>
      </c>
      <c r="U11" s="711" t="e">
        <f t="shared" si="1"/>
        <v>#N/A</v>
      </c>
      <c r="V11" s="710" t="s">
        <v>17</v>
      </c>
      <c r="W11" s="711" t="e">
        <f t="shared" si="2"/>
        <v>#N/A</v>
      </c>
      <c r="X11" s="712"/>
      <c r="Y11" s="3235"/>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5"/>
      <c r="Q12" s="1529">
        <f t="shared" si="6"/>
        <v>111</v>
      </c>
      <c r="R12" s="710" t="s">
        <v>17</v>
      </c>
      <c r="S12" s="711">
        <f t="shared" si="0"/>
        <v>100</v>
      </c>
      <c r="T12" s="710" t="s">
        <v>17</v>
      </c>
      <c r="U12" s="711">
        <f t="shared" si="1"/>
        <v>100</v>
      </c>
      <c r="V12" s="710" t="s">
        <v>17</v>
      </c>
      <c r="W12" s="711">
        <f t="shared" si="2"/>
        <v>100</v>
      </c>
      <c r="X12" s="712"/>
      <c r="Y12" s="3235"/>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5"/>
      <c r="Q13" s="1529">
        <f t="shared" si="6"/>
        <v>111</v>
      </c>
      <c r="R13" s="710" t="s">
        <v>17</v>
      </c>
      <c r="S13" s="711">
        <f t="shared" si="0"/>
        <v>100</v>
      </c>
      <c r="T13" s="710" t="s">
        <v>17</v>
      </c>
      <c r="U13" s="711">
        <f t="shared" si="1"/>
        <v>100</v>
      </c>
      <c r="V13" s="710" t="s">
        <v>17</v>
      </c>
      <c r="W13" s="711">
        <f t="shared" si="2"/>
        <v>100</v>
      </c>
      <c r="X13" s="712"/>
      <c r="Y13" s="3235"/>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5"/>
      <c r="Q14" s="1529">
        <f t="shared" si="6"/>
        <v>111</v>
      </c>
      <c r="R14" s="710" t="s">
        <v>17</v>
      </c>
      <c r="S14" s="711">
        <f t="shared" si="0"/>
        <v>100</v>
      </c>
      <c r="T14" s="710" t="s">
        <v>17</v>
      </c>
      <c r="U14" s="711">
        <f t="shared" si="1"/>
        <v>100</v>
      </c>
      <c r="V14" s="710" t="s">
        <v>17</v>
      </c>
      <c r="W14" s="711">
        <f t="shared" si="2"/>
        <v>100</v>
      </c>
      <c r="X14" s="712"/>
      <c r="Y14" s="3235"/>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7" t="s">
        <v>2382</v>
      </c>
      <c r="Q15" s="1538" t="str">
        <f t="shared" si="6"/>
        <v>产业集聚程度</v>
      </c>
      <c r="R15" s="714" t="s">
        <v>17</v>
      </c>
      <c r="S15" s="715">
        <f t="shared" si="0"/>
        <v>100</v>
      </c>
      <c r="T15" s="714" t="s">
        <v>17</v>
      </c>
      <c r="U15" s="715">
        <f t="shared" si="1"/>
        <v>100</v>
      </c>
      <c r="V15" s="714" t="s">
        <v>17</v>
      </c>
      <c r="W15" s="715">
        <f t="shared" si="2"/>
        <v>100</v>
      </c>
      <c r="X15" s="1541"/>
      <c r="Y15" s="3327"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28"/>
      <c r="Q16" s="1538"/>
      <c r="R16" s="714"/>
      <c r="S16" s="715"/>
      <c r="T16" s="714"/>
      <c r="U16" s="715"/>
      <c r="V16" s="714"/>
      <c r="W16" s="715"/>
      <c r="X16" s="1541"/>
      <c r="Y16" s="3328"/>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8"/>
      <c r="Q17" s="1538" t="str">
        <f>B17</f>
        <v>交通便捷度</v>
      </c>
      <c r="R17" s="714" t="s">
        <v>17</v>
      </c>
      <c r="S17" s="715">
        <f>F17</f>
        <v>100</v>
      </c>
      <c r="T17" s="714" t="s">
        <v>17</v>
      </c>
      <c r="U17" s="715">
        <f>H17</f>
        <v>100</v>
      </c>
      <c r="V17" s="714" t="s">
        <v>17</v>
      </c>
      <c r="W17" s="715">
        <f>J17</f>
        <v>100</v>
      </c>
      <c r="X17" s="1541"/>
      <c r="Y17" s="332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28"/>
      <c r="Q18" s="1538"/>
      <c r="R18" s="714"/>
      <c r="S18" s="715"/>
      <c r="T18" s="714"/>
      <c r="U18" s="715"/>
      <c r="V18" s="714"/>
      <c r="W18" s="715"/>
      <c r="X18" s="1541"/>
      <c r="Y18" s="3328"/>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8"/>
      <c r="Q19" s="1538" t="str">
        <f t="shared" ref="Q19:Q33" si="8">B19</f>
        <v>区域土地利用方向</v>
      </c>
      <c r="R19" s="714" t="s">
        <v>17</v>
      </c>
      <c r="S19" s="715">
        <f>F19</f>
        <v>100</v>
      </c>
      <c r="T19" s="714" t="s">
        <v>17</v>
      </c>
      <c r="U19" s="715">
        <f>H19</f>
        <v>100</v>
      </c>
      <c r="V19" s="714" t="s">
        <v>17</v>
      </c>
      <c r="W19" s="715">
        <f>J19</f>
        <v>100</v>
      </c>
      <c r="X19" s="1541"/>
      <c r="Y19" s="332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28"/>
      <c r="Q20" s="1538"/>
      <c r="R20" s="714"/>
      <c r="S20" s="715"/>
      <c r="T20" s="714"/>
      <c r="U20" s="715"/>
      <c r="V20" s="714"/>
      <c r="W20" s="715"/>
      <c r="X20" s="1541"/>
      <c r="Y20" s="3328"/>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8"/>
      <c r="Q21" s="1538" t="str">
        <f t="shared" si="8"/>
        <v>环境状况</v>
      </c>
      <c r="R21" s="714" t="s">
        <v>17</v>
      </c>
      <c r="S21" s="715">
        <f>F21</f>
        <v>100</v>
      </c>
      <c r="T21" s="714" t="s">
        <v>17</v>
      </c>
      <c r="U21" s="715">
        <f>H21</f>
        <v>100</v>
      </c>
      <c r="V21" s="714" t="s">
        <v>17</v>
      </c>
      <c r="W21" s="715">
        <f>J21</f>
        <v>100</v>
      </c>
      <c r="X21" s="1541"/>
      <c r="Y21" s="332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28"/>
      <c r="Q22" s="1538"/>
      <c r="R22" s="714"/>
      <c r="S22" s="715"/>
      <c r="T22" s="714"/>
      <c r="U22" s="715"/>
      <c r="V22" s="714"/>
      <c r="W22" s="715"/>
      <c r="X22" s="1541"/>
      <c r="Y22" s="3328"/>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8"/>
      <c r="Q23" s="1529" t="str">
        <f t="shared" si="8"/>
        <v>公共配套设施</v>
      </c>
      <c r="R23" s="710" t="s">
        <v>17</v>
      </c>
      <c r="S23" s="711">
        <f>F23</f>
        <v>100</v>
      </c>
      <c r="T23" s="710" t="s">
        <v>17</v>
      </c>
      <c r="U23" s="711">
        <f>H23</f>
        <v>100</v>
      </c>
      <c r="V23" s="710" t="s">
        <v>17</v>
      </c>
      <c r="W23" s="711">
        <f>J23</f>
        <v>100</v>
      </c>
      <c r="X23" s="712"/>
      <c r="Y23" s="3328"/>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28"/>
      <c r="Q24" s="1529"/>
      <c r="R24" s="710"/>
      <c r="S24" s="711"/>
      <c r="T24" s="710"/>
      <c r="U24" s="711"/>
      <c r="V24" s="710"/>
      <c r="W24" s="711"/>
      <c r="X24" s="712"/>
      <c r="Y24" s="3328"/>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8"/>
      <c r="Q25" s="1529" t="str">
        <f t="shared" ref="Q25" si="9">B25</f>
        <v>基础设施水平</v>
      </c>
      <c r="R25" s="710" t="s">
        <v>17</v>
      </c>
      <c r="S25" s="711">
        <f>F25</f>
        <v>100</v>
      </c>
      <c r="T25" s="710" t="s">
        <v>17</v>
      </c>
      <c r="U25" s="711">
        <f>H25</f>
        <v>100</v>
      </c>
      <c r="V25" s="710" t="s">
        <v>17</v>
      </c>
      <c r="W25" s="711">
        <f>J25</f>
        <v>100</v>
      </c>
      <c r="X25" s="712"/>
      <c r="Y25" s="3328"/>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28"/>
      <c r="Q26" s="1529"/>
      <c r="R26" s="710"/>
      <c r="S26" s="711"/>
      <c r="T26" s="710"/>
      <c r="U26" s="711"/>
      <c r="V26" s="710"/>
      <c r="W26" s="711"/>
      <c r="X26" s="712"/>
      <c r="Y26" s="3328"/>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28"/>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8"/>
      <c r="Q28" s="1538" t="str">
        <f t="shared" si="8"/>
        <v>毗邻道路的类型与等级</v>
      </c>
      <c r="R28" s="714" t="s">
        <v>17</v>
      </c>
      <c r="S28" s="715">
        <f t="shared" si="10"/>
        <v>100</v>
      </c>
      <c r="T28" s="714" t="s">
        <v>17</v>
      </c>
      <c r="U28" s="715">
        <f t="shared" si="11"/>
        <v>100</v>
      </c>
      <c r="V28" s="714" t="s">
        <v>17</v>
      </c>
      <c r="W28" s="715">
        <f t="shared" si="12"/>
        <v>100</v>
      </c>
      <c r="X28" s="1541"/>
      <c r="Y28" s="332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28"/>
      <c r="Q29" s="1538"/>
      <c r="R29" s="714"/>
      <c r="S29" s="715"/>
      <c r="T29" s="714"/>
      <c r="U29" s="715"/>
      <c r="V29" s="714"/>
      <c r="W29" s="715"/>
      <c r="X29" s="1541"/>
      <c r="Y29" s="3328"/>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8"/>
      <c r="Q30" s="1538" t="str">
        <f t="shared" si="8"/>
        <v>土地级别</v>
      </c>
      <c r="R30" s="714" t="s">
        <v>17</v>
      </c>
      <c r="S30" s="715">
        <f t="shared" si="10"/>
        <v>100</v>
      </c>
      <c r="T30" s="714" t="s">
        <v>17</v>
      </c>
      <c r="U30" s="715">
        <f t="shared" si="11"/>
        <v>100</v>
      </c>
      <c r="V30" s="714" t="s">
        <v>17</v>
      </c>
      <c r="W30" s="715">
        <f t="shared" si="12"/>
        <v>100</v>
      </c>
      <c r="X30" s="1541"/>
      <c r="Y30" s="3328"/>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8"/>
      <c r="Q31" s="1538">
        <f t="shared" si="8"/>
        <v>111</v>
      </c>
      <c r="R31" s="714" t="s">
        <v>17</v>
      </c>
      <c r="S31" s="715">
        <f t="shared" si="10"/>
        <v>100</v>
      </c>
      <c r="T31" s="714" t="s">
        <v>17</v>
      </c>
      <c r="U31" s="715">
        <f t="shared" si="11"/>
        <v>100</v>
      </c>
      <c r="V31" s="714" t="s">
        <v>17</v>
      </c>
      <c r="W31" s="715">
        <f t="shared" si="12"/>
        <v>100</v>
      </c>
      <c r="X31" s="1541"/>
      <c r="Y31" s="3328"/>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1" t="s">
        <v>2387</v>
      </c>
      <c r="Q32" s="1538">
        <f t="shared" si="8"/>
        <v>111</v>
      </c>
      <c r="R32" s="714" t="s">
        <v>17</v>
      </c>
      <c r="S32" s="715">
        <f t="shared" si="10"/>
        <v>100</v>
      </c>
      <c r="T32" s="714" t="s">
        <v>17</v>
      </c>
      <c r="U32" s="715">
        <f t="shared" si="11"/>
        <v>100</v>
      </c>
      <c r="V32" s="714" t="s">
        <v>17</v>
      </c>
      <c r="W32" s="715">
        <f t="shared" si="12"/>
        <v>100</v>
      </c>
      <c r="X32" s="1541"/>
      <c r="Y32" s="3332"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32"/>
      <c r="Q33" s="1538">
        <f t="shared" si="8"/>
        <v>111</v>
      </c>
      <c r="R33" s="717" t="s">
        <v>17</v>
      </c>
      <c r="S33" s="718">
        <f t="shared" si="10"/>
        <v>100</v>
      </c>
      <c r="T33" s="717" t="s">
        <v>17</v>
      </c>
      <c r="U33" s="718">
        <f t="shared" si="11"/>
        <v>100</v>
      </c>
      <c r="V33" s="717" t="s">
        <v>17</v>
      </c>
      <c r="W33" s="718">
        <f t="shared" si="12"/>
        <v>100</v>
      </c>
      <c r="X33" s="719"/>
      <c r="Y33" s="3332"/>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32"/>
      <c r="Q34" s="1538" t="str">
        <f>B34</f>
        <v>宗地面积</v>
      </c>
      <c r="R34" s="714" t="s">
        <v>17</v>
      </c>
      <c r="S34" s="715" t="e">
        <f t="shared" si="10"/>
        <v>#N/A</v>
      </c>
      <c r="T34" s="714" t="s">
        <v>17</v>
      </c>
      <c r="U34" s="715" t="e">
        <f t="shared" si="11"/>
        <v>#N/A</v>
      </c>
      <c r="V34" s="714" t="s">
        <v>17</v>
      </c>
      <c r="W34" s="715" t="e">
        <f t="shared" si="12"/>
        <v>#N/A</v>
      </c>
      <c r="X34" s="1541"/>
      <c r="Y34" s="3332"/>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32"/>
      <c r="Q35" s="1538" t="str">
        <f t="shared" ref="Q35:Q40" si="14">B35</f>
        <v>宗地形状</v>
      </c>
      <c r="R35" s="714" t="s">
        <v>17</v>
      </c>
      <c r="S35" s="715">
        <f t="shared" si="10"/>
        <v>100</v>
      </c>
      <c r="T35" s="714" t="s">
        <v>17</v>
      </c>
      <c r="U35" s="715">
        <f t="shared" si="11"/>
        <v>100</v>
      </c>
      <c r="V35" s="714" t="s">
        <v>17</v>
      </c>
      <c r="W35" s="715">
        <f t="shared" si="12"/>
        <v>100</v>
      </c>
      <c r="X35" s="1541"/>
      <c r="Y35" s="3332"/>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32"/>
      <c r="Q36" s="1538" t="str">
        <f t="shared" si="14"/>
        <v>宗地开发程度</v>
      </c>
      <c r="R36" s="710" t="s">
        <v>17</v>
      </c>
      <c r="S36" s="711">
        <f t="shared" si="10"/>
        <v>100</v>
      </c>
      <c r="T36" s="710" t="s">
        <v>17</v>
      </c>
      <c r="U36" s="711">
        <f t="shared" si="11"/>
        <v>100</v>
      </c>
      <c r="V36" s="710" t="s">
        <v>17</v>
      </c>
      <c r="W36" s="711">
        <f t="shared" si="12"/>
        <v>100</v>
      </c>
      <c r="X36" s="712"/>
      <c r="Y36" s="3332"/>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32" t="s">
        <v>2387</v>
      </c>
      <c r="Q37" s="1538" t="str">
        <f t="shared" si="14"/>
        <v>工程地质条件</v>
      </c>
      <c r="R37" s="714" t="s">
        <v>17</v>
      </c>
      <c r="S37" s="715">
        <f t="shared" si="10"/>
        <v>100</v>
      </c>
      <c r="T37" s="714" t="s">
        <v>17</v>
      </c>
      <c r="U37" s="715">
        <f t="shared" si="11"/>
        <v>100</v>
      </c>
      <c r="V37" s="714" t="s">
        <v>17</v>
      </c>
      <c r="W37" s="715">
        <f t="shared" si="12"/>
        <v>100</v>
      </c>
      <c r="X37" s="1541"/>
      <c r="Y37" s="3332"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32"/>
      <c r="Q38" s="1538">
        <f t="shared" si="14"/>
        <v>111</v>
      </c>
      <c r="R38" s="714" t="s">
        <v>17</v>
      </c>
      <c r="S38" s="715">
        <f t="shared" si="10"/>
        <v>100</v>
      </c>
      <c r="T38" s="714" t="s">
        <v>17</v>
      </c>
      <c r="U38" s="715">
        <f t="shared" si="11"/>
        <v>100</v>
      </c>
      <c r="V38" s="714" t="s">
        <v>17</v>
      </c>
      <c r="W38" s="715">
        <f t="shared" si="12"/>
        <v>100</v>
      </c>
      <c r="X38" s="1541"/>
      <c r="Y38" s="3332"/>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32"/>
      <c r="Q39" s="1538">
        <f t="shared" si="14"/>
        <v>111</v>
      </c>
      <c r="R39" s="714" t="s">
        <v>17</v>
      </c>
      <c r="S39" s="715">
        <f t="shared" si="10"/>
        <v>100</v>
      </c>
      <c r="T39" s="714" t="s">
        <v>17</v>
      </c>
      <c r="U39" s="715">
        <f t="shared" si="11"/>
        <v>100</v>
      </c>
      <c r="V39" s="714" t="s">
        <v>17</v>
      </c>
      <c r="W39" s="715">
        <f t="shared" si="12"/>
        <v>100</v>
      </c>
      <c r="X39" s="1541"/>
      <c r="Y39" s="3332"/>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32"/>
      <c r="Q40" s="1538">
        <f t="shared" si="14"/>
        <v>111</v>
      </c>
      <c r="R40" s="717" t="s">
        <v>17</v>
      </c>
      <c r="S40" s="718">
        <f t="shared" si="10"/>
        <v>100</v>
      </c>
      <c r="T40" s="717" t="s">
        <v>17</v>
      </c>
      <c r="U40" s="718">
        <f t="shared" si="11"/>
        <v>100</v>
      </c>
      <c r="V40" s="717" t="s">
        <v>17</v>
      </c>
      <c r="W40" s="718">
        <f t="shared" si="12"/>
        <v>100</v>
      </c>
      <c r="X40" s="719"/>
      <c r="Y40" s="3332"/>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25" t="str">
        <f>A41</f>
        <v>成交单价</v>
      </c>
      <c r="Q41" s="3325"/>
      <c r="R41" s="3320">
        <f>E41</f>
        <v>0</v>
      </c>
      <c r="S41" s="3320"/>
      <c r="T41" s="3320">
        <f>G41</f>
        <v>0</v>
      </c>
      <c r="U41" s="3320"/>
      <c r="V41" s="3320">
        <f>I41</f>
        <v>0</v>
      </c>
      <c r="W41" s="3320"/>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25" t="str">
        <f>A42</f>
        <v>比较价值（元/平方米）</v>
      </c>
      <c r="Q42" s="3325"/>
      <c r="R42" s="3353" t="e">
        <f>ROUND(PRODUCT(R41,AA7:AA40),0)</f>
        <v>#DIV/0!</v>
      </c>
      <c r="S42" s="3353"/>
      <c r="T42" s="3353" t="e">
        <f>ROUND(PRODUCT(T41,AB7:AB40),0)</f>
        <v>#DIV/0!</v>
      </c>
      <c r="U42" s="3353"/>
      <c r="V42" s="3353" t="e">
        <f>ROUND(PRODUCT(V41,AC7:AC40),0)</f>
        <v>#DIV/0!</v>
      </c>
      <c r="W42" s="3353"/>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22" t="str">
        <f>A43</f>
        <v>估价对象XX用房的比较价值（楼面单价，元/平方米）</v>
      </c>
      <c r="Q43" s="3323"/>
      <c r="R43" s="3354" t="e">
        <f>ROUND(IF(D42="简单平均",AVERAGE(R42:W42),R42*F42+T42*H42+V42*J42),0)</f>
        <v>#DIV/0!</v>
      </c>
      <c r="S43" s="3354"/>
      <c r="T43" s="3354"/>
      <c r="U43" s="3354"/>
      <c r="V43" s="3354"/>
      <c r="W43" s="3354"/>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08" t="s">
        <v>2586</v>
      </c>
      <c r="H50" s="3355"/>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1266.6499999999999</v>
      </c>
      <c r="F51" s="647" t="e">
        <f t="shared" ref="F51:F60" si="15">ROUND(B51*E51/10000,0)</f>
        <v>#DIV/0!</v>
      </c>
      <c r="G51" s="3307"/>
      <c r="H51" s="332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56"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56"/>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56"/>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56"/>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0"/>
      <c r="B4" s="3381"/>
      <c r="C4" s="3381"/>
      <c r="D4" s="3382"/>
      <c r="E4" s="3382"/>
      <c r="F4" s="3382"/>
      <c r="G4" s="3382"/>
      <c r="H4" s="3382"/>
      <c r="I4" s="3382"/>
      <c r="J4" s="3383"/>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61"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384"/>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77" t="s">
        <v>2662</v>
      </c>
      <c r="X8" s="3378"/>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384"/>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79"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4"/>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7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4"/>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79"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61"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79"/>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5"/>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379"/>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385"/>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86"/>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61" t="s">
        <v>2705</v>
      </c>
      <c r="B16" s="2210" t="s">
        <v>2706</v>
      </c>
      <c r="C16" s="2372" t="e">
        <f>ROUND(IF(F17="与级别开发程度一致",0,(G17-E17)/C17),0)</f>
        <v>#DIV/0!</v>
      </c>
      <c r="D16" s="3374" t="s">
        <v>2710</v>
      </c>
      <c r="E16" s="3375"/>
      <c r="F16" s="3374" t="s">
        <v>2707</v>
      </c>
      <c r="G16" s="3375"/>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62"/>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71"/>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7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72"/>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72"/>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73"/>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7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63" t="s">
        <v>2793</v>
      </c>
      <c r="B90" s="3363"/>
      <c r="C90" s="3363"/>
      <c r="D90" s="3363"/>
      <c r="E90" s="3363"/>
      <c r="F90" s="3363"/>
      <c r="G90" s="3363"/>
      <c r="H90" s="3363"/>
      <c r="I90" s="3363"/>
      <c r="J90" s="3363"/>
      <c r="K90" s="2344"/>
      <c r="L90" s="2344"/>
      <c r="M90" s="2344"/>
      <c r="N90" s="2344"/>
    </row>
    <row r="91" spans="1:37">
      <c r="A91" s="3365" t="s">
        <v>2794</v>
      </c>
      <c r="B91" s="3365" t="s">
        <v>2795</v>
      </c>
      <c r="C91" s="2298" t="s">
        <v>2796</v>
      </c>
      <c r="D91" s="2299"/>
      <c r="E91" s="2299"/>
      <c r="F91" s="2299"/>
      <c r="G91" s="2299"/>
      <c r="H91" s="2299"/>
      <c r="I91" s="2299"/>
      <c r="J91" s="2345"/>
      <c r="K91" s="2346"/>
      <c r="L91" s="2346"/>
      <c r="M91" s="2346"/>
      <c r="N91" s="2346"/>
    </row>
    <row r="92" spans="1:37">
      <c r="A92" s="3365"/>
      <c r="B92" s="3365"/>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66"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6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6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6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6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6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67"/>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6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66"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67"/>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67"/>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67"/>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67"/>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67"/>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67"/>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67"/>
      <c r="B108" s="3369"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68"/>
      <c r="B109" s="3370"/>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64" t="s">
        <v>2801</v>
      </c>
      <c r="B110" s="3364"/>
      <c r="C110" s="3364"/>
      <c r="D110" s="3364"/>
      <c r="E110" s="3364"/>
      <c r="F110" s="3364"/>
      <c r="G110" s="3364"/>
      <c r="H110" s="3364"/>
      <c r="I110" s="3364"/>
      <c r="J110" s="3364"/>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7" t="s">
        <v>614</v>
      </c>
      <c r="C61" s="757" t="s">
        <v>615</v>
      </c>
      <c r="D61" s="757" t="s">
        <v>616</v>
      </c>
      <c r="E61" s="834">
        <v>0.5</v>
      </c>
      <c r="F61" s="821">
        <v>80</v>
      </c>
    </row>
    <row r="62" spans="1:8" s="817" customFormat="1" ht="24">
      <c r="A62" s="821">
        <v>2</v>
      </c>
      <c r="B62" s="3387"/>
      <c r="C62" s="757" t="s">
        <v>617</v>
      </c>
      <c r="D62" s="757" t="s">
        <v>618</v>
      </c>
      <c r="E62" s="834">
        <v>0.5</v>
      </c>
      <c r="F62" s="821">
        <v>80</v>
      </c>
    </row>
    <row r="63" spans="1:8" s="817" customFormat="1" ht="36">
      <c r="A63" s="821">
        <v>3</v>
      </c>
      <c r="B63" s="3387"/>
      <c r="C63" s="757" t="s">
        <v>619</v>
      </c>
      <c r="D63" s="757" t="s">
        <v>620</v>
      </c>
      <c r="E63" s="834">
        <v>0.5</v>
      </c>
      <c r="F63" s="821">
        <v>80</v>
      </c>
    </row>
    <row r="64" spans="1:8" s="817" customFormat="1" ht="36">
      <c r="A64" s="821">
        <v>4</v>
      </c>
      <c r="B64" s="3387"/>
      <c r="C64" s="757" t="s">
        <v>621</v>
      </c>
      <c r="D64" s="757" t="s">
        <v>622</v>
      </c>
      <c r="E64" s="834">
        <v>0.4</v>
      </c>
      <c r="F64" s="821">
        <v>60</v>
      </c>
    </row>
    <row r="65" spans="1:6" s="817" customFormat="1" ht="36">
      <c r="A65" s="821">
        <v>5</v>
      </c>
      <c r="B65" s="3387"/>
      <c r="C65" s="757" t="s">
        <v>623</v>
      </c>
      <c r="D65" s="757" t="s">
        <v>624</v>
      </c>
      <c r="E65" s="834">
        <v>0.2</v>
      </c>
      <c r="F65" s="821">
        <v>30</v>
      </c>
    </row>
    <row r="66" spans="1:6" s="817" customFormat="1" ht="36">
      <c r="A66" s="821">
        <v>6</v>
      </c>
      <c r="B66" s="3387"/>
      <c r="C66" s="757" t="s">
        <v>625</v>
      </c>
      <c r="D66" s="757" t="s">
        <v>626</v>
      </c>
      <c r="E66" s="834">
        <v>0.3</v>
      </c>
      <c r="F66" s="821">
        <v>50</v>
      </c>
    </row>
    <row r="67" spans="1:6" s="817" customFormat="1" ht="36">
      <c r="A67" s="821">
        <v>7</v>
      </c>
      <c r="B67" s="3387"/>
      <c r="C67" s="757" t="s">
        <v>627</v>
      </c>
      <c r="D67" s="757" t="s">
        <v>628</v>
      </c>
      <c r="E67" s="834">
        <v>0.2</v>
      </c>
      <c r="F67" s="821">
        <v>30</v>
      </c>
    </row>
    <row r="68" spans="1:6" s="817" customFormat="1" ht="36">
      <c r="A68" s="821">
        <v>8</v>
      </c>
      <c r="B68" s="3387"/>
      <c r="C68" s="757" t="s">
        <v>629</v>
      </c>
      <c r="D68" s="757" t="s">
        <v>630</v>
      </c>
      <c r="E68" s="834">
        <v>0.2</v>
      </c>
      <c r="F68" s="821">
        <v>30</v>
      </c>
    </row>
    <row r="69" spans="1:6" s="817" customFormat="1" ht="36">
      <c r="A69" s="821">
        <v>9</v>
      </c>
      <c r="B69" s="3387"/>
      <c r="C69" s="757" t="s">
        <v>631</v>
      </c>
      <c r="D69" s="757" t="s">
        <v>632</v>
      </c>
      <c r="E69" s="834">
        <v>0.2</v>
      </c>
      <c r="F69" s="821">
        <v>30</v>
      </c>
    </row>
    <row r="70" spans="1:6" s="817" customFormat="1" ht="48">
      <c r="A70" s="821">
        <v>10</v>
      </c>
      <c r="B70" s="3387"/>
      <c r="C70" s="757" t="s">
        <v>633</v>
      </c>
      <c r="D70" s="757" t="s">
        <v>634</v>
      </c>
      <c r="E70" s="834">
        <v>0.2</v>
      </c>
      <c r="F70" s="821">
        <v>30</v>
      </c>
    </row>
    <row r="71" spans="1:6" s="817" customFormat="1" ht="48">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24">
      <c r="A73" s="821">
        <v>13</v>
      </c>
      <c r="B73" s="3387"/>
      <c r="C73" s="757" t="s">
        <v>639</v>
      </c>
      <c r="D73" s="757" t="s">
        <v>640</v>
      </c>
      <c r="E73" s="834">
        <v>0.4</v>
      </c>
      <c r="F73" s="821">
        <v>60</v>
      </c>
    </row>
    <row r="74" spans="1:6" s="817" customFormat="1" ht="24">
      <c r="A74" s="821">
        <v>14</v>
      </c>
      <c r="B74" s="3387"/>
      <c r="C74" s="757" t="s">
        <v>641</v>
      </c>
      <c r="D74" s="757" t="s">
        <v>642</v>
      </c>
      <c r="E74" s="834">
        <v>0.2</v>
      </c>
      <c r="F74" s="821">
        <v>30</v>
      </c>
    </row>
    <row r="75" spans="1:6" s="817" customFormat="1" ht="24">
      <c r="A75" s="821">
        <v>15</v>
      </c>
      <c r="B75" s="3387"/>
      <c r="C75" s="757" t="s">
        <v>643</v>
      </c>
      <c r="D75" s="757" t="s">
        <v>644</v>
      </c>
      <c r="E75" s="834">
        <v>0.2</v>
      </c>
      <c r="F75" s="821">
        <v>30</v>
      </c>
    </row>
    <row r="76" spans="1:6" s="817" customFormat="1" ht="24">
      <c r="A76" s="821">
        <v>16</v>
      </c>
      <c r="B76" s="3387" t="s">
        <v>645</v>
      </c>
      <c r="C76" s="757" t="s">
        <v>646</v>
      </c>
      <c r="D76" s="757" t="s">
        <v>647</v>
      </c>
      <c r="E76" s="834">
        <v>0.5</v>
      </c>
      <c r="F76" s="821">
        <v>80</v>
      </c>
    </row>
    <row r="77" spans="1:6" s="817" customFormat="1" ht="24">
      <c r="A77" s="821">
        <v>17</v>
      </c>
      <c r="B77" s="3387"/>
      <c r="C77" s="757" t="s">
        <v>648</v>
      </c>
      <c r="D77" s="757" t="s">
        <v>649</v>
      </c>
      <c r="E77" s="834">
        <v>0.5</v>
      </c>
      <c r="F77" s="821">
        <v>80</v>
      </c>
    </row>
    <row r="78" spans="1:6" s="817" customFormat="1" ht="24">
      <c r="A78" s="821">
        <v>18</v>
      </c>
      <c r="B78" s="3387"/>
      <c r="C78" s="757" t="s">
        <v>650</v>
      </c>
      <c r="D78" s="757" t="s">
        <v>651</v>
      </c>
      <c r="E78" s="834">
        <v>0.2</v>
      </c>
      <c r="F78" s="821">
        <v>30</v>
      </c>
    </row>
    <row r="79" spans="1:6" s="817" customFormat="1" ht="24">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48">
      <c r="A82" s="821">
        <v>22</v>
      </c>
      <c r="B82" s="3387"/>
      <c r="C82" s="757" t="s">
        <v>658</v>
      </c>
      <c r="D82" s="757" t="s">
        <v>659</v>
      </c>
      <c r="E82" s="834">
        <v>0.2</v>
      </c>
      <c r="F82" s="821">
        <v>30</v>
      </c>
    </row>
    <row r="83" spans="1:6" s="817" customFormat="1" ht="48">
      <c r="A83" s="821">
        <v>23</v>
      </c>
      <c r="B83" s="3387"/>
      <c r="C83" s="757" t="s">
        <v>660</v>
      </c>
      <c r="D83" s="757" t="s">
        <v>661</v>
      </c>
      <c r="E83" s="834">
        <v>0.2</v>
      </c>
      <c r="F83" s="821">
        <v>30</v>
      </c>
    </row>
    <row r="84" spans="1:6" s="817" customFormat="1" ht="36">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24">
      <c r="A89" s="821">
        <v>29</v>
      </c>
      <c r="B89" s="3387"/>
      <c r="C89" s="757" t="s">
        <v>672</v>
      </c>
      <c r="D89" s="757" t="s">
        <v>673</v>
      </c>
      <c r="E89" s="834">
        <v>0.2</v>
      </c>
      <c r="F89" s="821">
        <v>30</v>
      </c>
    </row>
    <row r="90" spans="1:6" s="817" customFormat="1" ht="24">
      <c r="A90" s="821">
        <v>30</v>
      </c>
      <c r="B90" s="3387"/>
      <c r="C90" s="757" t="s">
        <v>674</v>
      </c>
      <c r="D90" s="757" t="s">
        <v>675</v>
      </c>
      <c r="E90" s="834">
        <v>0.2</v>
      </c>
      <c r="F90" s="821">
        <v>30</v>
      </c>
    </row>
    <row r="91" spans="1:6" s="817" customFormat="1" ht="36">
      <c r="A91" s="821">
        <v>31</v>
      </c>
      <c r="B91" s="3387"/>
      <c r="C91" s="757" t="s">
        <v>676</v>
      </c>
      <c r="D91" s="757" t="s">
        <v>677</v>
      </c>
      <c r="E91" s="834">
        <v>0.2</v>
      </c>
      <c r="F91" s="821">
        <v>30</v>
      </c>
    </row>
    <row r="92" spans="1:6" s="817" customFormat="1" ht="24">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48">
      <c r="A94" s="821">
        <v>34</v>
      </c>
      <c r="B94" s="3387"/>
      <c r="C94" s="821" t="s">
        <v>683</v>
      </c>
      <c r="D94" s="757" t="s">
        <v>684</v>
      </c>
      <c r="E94" s="834">
        <v>0.2</v>
      </c>
      <c r="F94" s="821">
        <v>30</v>
      </c>
    </row>
    <row r="95" spans="1:6" s="817" customFormat="1" ht="36">
      <c r="A95" s="821">
        <v>35</v>
      </c>
      <c r="B95" s="3387"/>
      <c r="C95" s="821" t="s">
        <v>685</v>
      </c>
      <c r="D95" s="757" t="s">
        <v>686</v>
      </c>
      <c r="E95" s="834">
        <v>0.2</v>
      </c>
      <c r="F95" s="821">
        <v>30</v>
      </c>
    </row>
    <row r="96" spans="1:6" s="817" customFormat="1" ht="48">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24">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7" t="s">
        <v>708</v>
      </c>
      <c r="C105" s="821" t="s">
        <v>709</v>
      </c>
      <c r="D105" s="757" t="s">
        <v>710</v>
      </c>
      <c r="E105" s="834">
        <v>0.2</v>
      </c>
      <c r="F105" s="821">
        <v>30</v>
      </c>
    </row>
    <row r="106" spans="1:6" s="817" customFormat="1" ht="36">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36">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7" t="s">
        <v>724</v>
      </c>
      <c r="C111" s="821" t="s">
        <v>725</v>
      </c>
      <c r="D111" s="757" t="s">
        <v>726</v>
      </c>
      <c r="E111" s="834">
        <v>0.2</v>
      </c>
      <c r="F111" s="821">
        <v>30</v>
      </c>
    </row>
    <row r="112" spans="1:6" s="817" customFormat="1" ht="24">
      <c r="A112" s="821">
        <v>52</v>
      </c>
      <c r="B112" s="3387"/>
      <c r="C112" s="821" t="s">
        <v>727</v>
      </c>
      <c r="D112" s="757" t="s">
        <v>728</v>
      </c>
      <c r="E112" s="834">
        <v>0.2</v>
      </c>
      <c r="F112" s="821">
        <v>30</v>
      </c>
    </row>
    <row r="113" spans="1:6" s="817" customFormat="1" ht="24">
      <c r="A113" s="821">
        <v>53</v>
      </c>
      <c r="B113" s="33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5"/>
      <c r="C2" s="3075"/>
      <c r="D2" s="3075"/>
      <c r="E2" s="3075"/>
    </row>
    <row r="3" spans="1:5" ht="18">
      <c r="A3" s="3076" t="str">
        <f>IF(项目基本情况!B9="房地产市场价值","估价结果一览表（市场价值不需“结果表-1”）","估价结果一览表")</f>
        <v>估价结果一览表（市场价值不需“结果表-1”）</v>
      </c>
      <c r="B3" s="3076"/>
      <c r="C3" s="3076"/>
      <c r="D3" s="3076"/>
      <c r="E3" s="3076"/>
    </row>
    <row r="4" spans="1:5" ht="19.5" thickBot="1">
      <c r="A4" s="1680"/>
      <c r="B4" s="3074" t="s">
        <v>1595</v>
      </c>
      <c r="C4" s="3074"/>
      <c r="D4" s="3074"/>
      <c r="E4" s="1680"/>
    </row>
    <row r="5" spans="1:5" ht="16.5" thickTop="1">
      <c r="A5" s="1678"/>
      <c r="B5" s="3072" t="s">
        <v>1587</v>
      </c>
      <c r="C5" s="1681" t="s">
        <v>1588</v>
      </c>
      <c r="D5" s="959">
        <f ca="1">结果表!H101</f>
        <v>435</v>
      </c>
      <c r="E5" s="1678"/>
    </row>
    <row r="6" spans="1:5" ht="15.75">
      <c r="A6" s="1678"/>
      <c r="B6" s="3072"/>
      <c r="C6" s="1681" t="s">
        <v>1589</v>
      </c>
      <c r="D6" s="959" t="str">
        <f ca="1">NUMBERSTRING(INT(D5*10000),2)&amp;"元整"</f>
        <v>肆佰叁拾伍万元整</v>
      </c>
      <c r="E6" s="1678"/>
    </row>
    <row r="7" spans="1:5" ht="15.75">
      <c r="A7" s="1678"/>
      <c r="B7" s="3077"/>
      <c r="C7" s="1682" t="s">
        <v>1590</v>
      </c>
      <c r="D7" s="960">
        <f ca="1">结果表!H102</f>
        <v>34610</v>
      </c>
      <c r="E7" s="1678"/>
    </row>
    <row r="8" spans="1:5" ht="15.75">
      <c r="A8" s="1678"/>
      <c r="B8" s="3078" t="str">
        <f>结果表!E103</f>
        <v>2.估价师知悉的法定优先受偿款</v>
      </c>
      <c r="C8" s="1683" t="s">
        <v>1591</v>
      </c>
      <c r="D8" s="960">
        <f>结果表!H103</f>
        <v>0</v>
      </c>
      <c r="E8" s="1678"/>
    </row>
    <row r="9" spans="1:5" ht="15.75">
      <c r="A9" s="1678"/>
      <c r="B9" s="308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71" t="str">
        <f>结果表!E107</f>
        <v>3.房地产抵押价值</v>
      </c>
      <c r="C13" s="1686" t="s">
        <v>1588</v>
      </c>
      <c r="D13" s="962">
        <f ca="1">结果表!H107</f>
        <v>435</v>
      </c>
      <c r="E13" s="1678"/>
    </row>
    <row r="14" spans="1:5" ht="15.75">
      <c r="A14" s="1678"/>
      <c r="B14" s="3072"/>
      <c r="C14" s="1681" t="s">
        <v>1589</v>
      </c>
      <c r="D14" s="959" t="str">
        <f ca="1">NUMBERSTRING(INT(D13*10000),2)&amp;"元整"</f>
        <v>肆佰叁拾伍万元整</v>
      </c>
      <c r="E14" s="1678"/>
    </row>
    <row r="15" spans="1:5" ht="15">
      <c r="A15" s="1678"/>
      <c r="B15" s="3077"/>
      <c r="C15" s="1682" t="s">
        <v>1599</v>
      </c>
      <c r="D15" s="968">
        <f ca="1">结果表!H108</f>
        <v>3434</v>
      </c>
      <c r="E15" s="1678"/>
    </row>
    <row r="16" spans="1:5" ht="15">
      <c r="A16" s="1678"/>
      <c r="B16" s="3078" t="str">
        <f>结果表!E109</f>
        <v>——</v>
      </c>
      <c r="C16" s="1686" t="s">
        <v>1600</v>
      </c>
      <c r="D16" s="1687" t="str">
        <f>结果表!H109</f>
        <v>——</v>
      </c>
      <c r="E16" s="1678"/>
    </row>
    <row r="17" spans="1:5" ht="15.75">
      <c r="A17" s="1678"/>
      <c r="B17" s="3079"/>
      <c r="C17" s="1681" t="s">
        <v>1601</v>
      </c>
      <c r="D17" s="959" t="e">
        <f>NUMBERSTRING(INT(D16*10000),2)&amp;"元整"</f>
        <v>#VALUE!</v>
      </c>
      <c r="E17" s="1678"/>
    </row>
    <row r="18" spans="1:5" ht="15">
      <c r="A18" s="1678"/>
      <c r="B18" s="3080"/>
      <c r="C18" s="1682" t="s">
        <v>1590</v>
      </c>
      <c r="D18" s="968" t="str">
        <f>结果表!H110</f>
        <v>——</v>
      </c>
      <c r="E18" s="1678"/>
    </row>
    <row r="19" spans="1:5" ht="15.75">
      <c r="A19" s="1678"/>
      <c r="B19" s="3071" t="str">
        <f>结果表!E111</f>
        <v>——</v>
      </c>
      <c r="C19" s="1686" t="s">
        <v>1588</v>
      </c>
      <c r="D19" s="960" t="str">
        <f>结果表!H111</f>
        <v>——</v>
      </c>
      <c r="E19" s="1678"/>
    </row>
    <row r="20" spans="1:5" ht="15.75">
      <c r="A20" s="1678"/>
      <c r="B20" s="3072"/>
      <c r="C20" s="1681" t="s">
        <v>1601</v>
      </c>
      <c r="D20" s="959" t="e">
        <f>NUMBERSTRING(INT(D19*10000),2)&amp;"元整"</f>
        <v>#VALUE!</v>
      </c>
      <c r="E20" s="1678"/>
    </row>
    <row r="21" spans="1:5" ht="15.75" thickBot="1">
      <c r="A21" s="1678"/>
      <c r="B21" s="3073"/>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93" t="s">
        <v>1117</v>
      </c>
      <c r="C1" s="3393"/>
      <c r="D1" s="3393"/>
      <c r="E1" s="3393"/>
      <c r="F1" s="3393"/>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91">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91"/>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91"/>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8"/>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94">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91"/>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91"/>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8"/>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94">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91"/>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91"/>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92"/>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90">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91"/>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91"/>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92"/>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90">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91"/>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91"/>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92"/>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95">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96"/>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96"/>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97"/>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90">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91"/>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91"/>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92"/>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90">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91">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91">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92">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90">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91">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91">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92">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90">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91">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91">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92">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90">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91">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91">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92">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90">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91">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91">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92">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90">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91">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91">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92">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90">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91">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91">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92">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90">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91">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91">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92">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90">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91">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91">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92">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90">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91">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91">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92">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Q18" sqref="Q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02" t="s">
        <v>2827</v>
      </c>
      <c r="D1" s="3403"/>
      <c r="E1" s="3403"/>
      <c r="F1" s="3403"/>
      <c r="G1" s="3403"/>
      <c r="H1" s="3403"/>
      <c r="I1" s="3403"/>
      <c r="J1" s="3403"/>
      <c r="K1" s="3403"/>
      <c r="L1" s="3403"/>
      <c r="M1" s="3403"/>
      <c r="N1" s="3403"/>
      <c r="O1" s="3403"/>
      <c r="P1" s="3403"/>
      <c r="Q1" s="3403"/>
      <c r="R1" s="3403"/>
      <c r="S1" s="3404"/>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2075</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34866</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399" t="s">
        <v>33</v>
      </c>
      <c r="D22" s="3400"/>
      <c r="E22" s="3400"/>
      <c r="F22" s="3400"/>
      <c r="G22" s="3400"/>
      <c r="H22" s="3400"/>
      <c r="I22" s="3400"/>
      <c r="J22" s="3400"/>
      <c r="K22" s="3400"/>
      <c r="L22" s="3400"/>
      <c r="M22" s="3400"/>
      <c r="N22" s="3400"/>
      <c r="O22" s="3400"/>
      <c r="P22" s="3400"/>
      <c r="Q22" s="3401"/>
      <c r="R22" s="672">
        <f ca="1">ROUND(S22*10000/B22,0)</f>
        <v>34866</v>
      </c>
      <c r="S22" s="24">
        <f ca="1">SUM(S24:S10000)</f>
        <v>2075</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34610</v>
      </c>
      <c r="S24" s="675">
        <f t="shared" ref="S24:S54" ca="1" si="11">ROUND(R24*B24/10000,0)</f>
        <v>435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34610</v>
      </c>
      <c r="S25" s="322">
        <f t="shared" ca="1" si="11"/>
        <v>479</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34610</v>
      </c>
      <c r="S26" s="322">
        <f t="shared" ca="1" si="11"/>
        <v>476</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34610</v>
      </c>
      <c r="S27" s="322">
        <f t="shared" ca="1" si="11"/>
        <v>420</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36704</v>
      </c>
      <c r="S28" s="322">
        <f t="shared" ca="1" si="11"/>
        <v>265</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30602</v>
      </c>
      <c r="C2" s="2" t="s">
        <v>133</v>
      </c>
      <c r="D2" s="205"/>
      <c r="E2" s="205"/>
      <c r="F2" s="205"/>
      <c r="G2" s="205"/>
    </row>
    <row r="3" spans="1:7" s="206" customFormat="1" ht="18" customHeight="1" thickBot="1">
      <c r="A3" s="209" t="s">
        <v>85</v>
      </c>
      <c r="B3" s="210">
        <f ca="1">ROUND(B2*10000/'数据-汇总表'!E3,0)</f>
        <v>241598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1266.6499999999999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1266.6499999999999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1503</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30169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v>
      </c>
      <c r="D34" s="223"/>
      <c r="E34" s="226"/>
      <c r="F34" s="263">
        <f>IF('数据-取费表'!B24=0,1,'数据-取费表'!N16)</f>
        <v>1</v>
      </c>
      <c r="G34" s="225" t="s">
        <v>116</v>
      </c>
    </row>
    <row r="35" spans="1:7" ht="13.5" customHeight="1">
      <c r="A35" s="888" t="s">
        <v>796</v>
      </c>
      <c r="B35" s="221" t="s">
        <v>60</v>
      </c>
      <c r="C35" s="226">
        <f>ROUND(C34*F35,0)</f>
        <v>11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1266.6499999999999</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v>
      </c>
      <c r="D42" s="244"/>
      <c r="E42" s="244"/>
      <c r="F42" s="245"/>
      <c r="G42" s="3259" t="s">
        <v>121</v>
      </c>
    </row>
    <row r="43" spans="1:7" ht="13.5" customHeight="1">
      <c r="A43" s="888" t="s">
        <v>792</v>
      </c>
      <c r="B43" s="221" t="s">
        <v>1032</v>
      </c>
      <c r="C43" s="244">
        <f ca="1">ROUND(IF('数据-取费表'!B22&lt;=1,C39*F22*'数据-取费表'!B21/2,C39*(POWER((1+F22),'数据-取费表'!B21/2)-1)),0)</f>
        <v>0</v>
      </c>
      <c r="D43" s="244"/>
      <c r="E43" s="244"/>
      <c r="F43" s="245"/>
      <c r="G43" s="3260"/>
    </row>
    <row r="44" spans="1:7" ht="13.5" customHeight="1">
      <c r="A44" s="888" t="s">
        <v>793</v>
      </c>
      <c r="B44" s="221" t="s">
        <v>1034</v>
      </c>
      <c r="C44" s="244">
        <f ca="1">ROUND(IF('数据-取费表'!B22&lt;=1,C40*F22*'数据-取费表'!B21/2,C40*(POWER((1+F22),'数据-取费表'!B21/2)-1)),4)</f>
        <v>6.9999999999999999E-4</v>
      </c>
      <c r="D44" s="244"/>
      <c r="E44" s="244"/>
      <c r="F44" s="245"/>
      <c r="G44" s="3261"/>
    </row>
    <row r="45" spans="1:7" s="220" customFormat="1" ht="13.5" customHeight="1">
      <c r="A45" s="885" t="s">
        <v>786</v>
      </c>
      <c r="B45" s="250" t="s">
        <v>112</v>
      </c>
      <c r="C45" s="251">
        <f>C46</f>
        <v>101</v>
      </c>
      <c r="D45" s="241">
        <f>C47</f>
        <v>5.0000000000000001E-3</v>
      </c>
      <c r="E45" s="242" t="s">
        <v>129</v>
      </c>
      <c r="F45" s="252"/>
      <c r="G45" s="253" t="s">
        <v>1040</v>
      </c>
    </row>
    <row r="46" spans="1:7" s="220" customFormat="1" ht="13.5" customHeight="1">
      <c r="A46" s="888" t="s">
        <v>794</v>
      </c>
      <c r="B46" s="254" t="s">
        <v>1033</v>
      </c>
      <c r="C46" s="255">
        <f>ROUND((C33+C39)*F27,0)</f>
        <v>101</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562</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433</v>
      </c>
      <c r="D51" s="238"/>
      <c r="E51" s="238"/>
      <c r="F51" s="270"/>
      <c r="G51" s="240" t="s">
        <v>64</v>
      </c>
    </row>
    <row r="52" spans="1:7" s="214" customFormat="1" ht="16.5" thickBot="1">
      <c r="A52" s="271" t="s">
        <v>65</v>
      </c>
      <c r="B52" s="272"/>
      <c r="C52" s="273">
        <f ca="1">C31+C51</f>
        <v>30602</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5" t="s">
        <v>839</v>
      </c>
      <c r="B1" s="34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1" t="str">
        <f>IF(项目基本情况!B9="房地产市场价值","估价结果一览表","结果表-2")</f>
        <v>估价结果一览表</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房地产市场价值</v>
      </c>
      <c r="I2" s="3082"/>
    </row>
    <row r="3" spans="1:9" ht="15">
      <c r="A3" s="3083"/>
      <c r="B3" s="3083"/>
      <c r="C3" s="3083"/>
      <c r="D3" s="963" t="s">
        <v>1603</v>
      </c>
      <c r="E3" s="963" t="s">
        <v>1609</v>
      </c>
      <c r="F3" s="963" t="s">
        <v>1603</v>
      </c>
      <c r="G3" s="963" t="s">
        <v>1604</v>
      </c>
      <c r="H3" s="963" t="s">
        <v>1603</v>
      </c>
      <c r="I3" s="963" t="s">
        <v>1604</v>
      </c>
    </row>
    <row r="4" spans="1:9" ht="15">
      <c r="A4" s="1692" t="str">
        <f>项目基本情况!S2</f>
        <v>北京市房地产</v>
      </c>
      <c r="B4" s="963">
        <f>项目基本情况!C17</f>
        <v>1266.6499999999999</v>
      </c>
      <c r="C4" s="963">
        <f>项目基本情况!C18</f>
        <v>0</v>
      </c>
      <c r="D4" s="963" t="e">
        <f ca="1">结果表!D118</f>
        <v>#REF!</v>
      </c>
      <c r="E4" s="963" t="e">
        <f ca="1">结果表!E118</f>
        <v>#REF!</v>
      </c>
      <c r="F4" s="963" t="e">
        <f ca="1">结果表!F118</f>
        <v>#REF!</v>
      </c>
      <c r="G4" s="963" t="e">
        <f ca="1">结果表!G118</f>
        <v>#REF!</v>
      </c>
      <c r="H4" s="963">
        <f ca="1">结果表!H118</f>
        <v>435</v>
      </c>
      <c r="I4" s="963">
        <f ca="1">结果表!I118</f>
        <v>34610</v>
      </c>
    </row>
    <row r="5" spans="1:9" ht="30" customHeight="1">
      <c r="A5" s="3083" t="s">
        <v>1605</v>
      </c>
      <c r="B5" s="3083"/>
      <c r="C5" s="3083"/>
      <c r="D5" s="3084" t="e">
        <f ca="1">结果表!D119</f>
        <v>#REF!</v>
      </c>
      <c r="E5" s="3084"/>
      <c r="F5" s="3084" t="e">
        <f ca="1">结果表!F119</f>
        <v>#REF!</v>
      </c>
      <c r="G5" s="3084"/>
      <c r="H5" s="3084" t="str">
        <f ca="1">结果表!H119</f>
        <v>肆佰叁拾伍万元整</v>
      </c>
      <c r="I5" s="3084"/>
    </row>
    <row r="6" spans="1:9" ht="15.75">
      <c r="A6" s="3085" t="str">
        <f>结果表!A120</f>
        <v/>
      </c>
      <c r="B6" s="3085"/>
      <c r="C6" s="3085"/>
      <c r="D6" s="3085">
        <f>结果表!D120</f>
        <v>0</v>
      </c>
      <c r="E6" s="3085"/>
      <c r="F6" s="3085"/>
      <c r="G6" s="3085"/>
      <c r="H6" s="3085"/>
      <c r="I6" s="3085"/>
    </row>
    <row r="7" spans="1:9" ht="15">
      <c r="A7" s="3083" t="s">
        <v>1605</v>
      </c>
      <c r="B7" s="3083"/>
      <c r="C7" s="3083"/>
      <c r="D7" s="3086" t="str">
        <f>结果表!D121</f>
        <v>零元整</v>
      </c>
      <c r="E7" s="3087"/>
      <c r="F7" s="3087"/>
      <c r="G7" s="3087"/>
      <c r="H7" s="3087"/>
      <c r="I7" s="3088"/>
    </row>
    <row r="8" spans="1:9" ht="15.75">
      <c r="A8" s="3085" t="str">
        <f>结果表!A122</f>
        <v/>
      </c>
      <c r="B8" s="3085"/>
      <c r="C8" s="3085"/>
      <c r="D8" s="3085">
        <f ca="1">结果表!D122</f>
        <v>435</v>
      </c>
      <c r="E8" s="3085"/>
      <c r="F8" s="3085"/>
      <c r="G8" s="3085"/>
      <c r="H8" s="3085"/>
      <c r="I8" s="3085"/>
    </row>
    <row r="9" spans="1:9" ht="15">
      <c r="A9" s="3083" t="s">
        <v>1605</v>
      </c>
      <c r="B9" s="3083"/>
      <c r="C9" s="3083"/>
      <c r="D9" s="3084" t="str">
        <f ca="1">结果表!D123</f>
        <v>肆佰叁拾伍万元整</v>
      </c>
      <c r="E9" s="3084"/>
      <c r="F9" s="3084"/>
      <c r="G9" s="3084"/>
      <c r="H9" s="3084"/>
      <c r="I9" s="3084"/>
    </row>
    <row r="10" spans="1:9" ht="15.75">
      <c r="A10" s="3085" t="str">
        <f>结果表!A124</f>
        <v/>
      </c>
      <c r="B10" s="3085"/>
      <c r="C10" s="3085"/>
      <c r="D10" s="3085" t="str">
        <f>结果表!D124</f>
        <v>——</v>
      </c>
      <c r="E10" s="3085"/>
      <c r="F10" s="3085"/>
      <c r="G10" s="3085"/>
      <c r="H10" s="3085"/>
      <c r="I10" s="3085"/>
    </row>
    <row r="11" spans="1:9" ht="15">
      <c r="A11" s="3083" t="s">
        <v>1605</v>
      </c>
      <c r="B11" s="3083"/>
      <c r="C11" s="3083"/>
      <c r="D11" s="3084" t="e">
        <f>结果表!D125</f>
        <v>#VALUE!</v>
      </c>
      <c r="E11" s="3084"/>
      <c r="F11" s="3084"/>
      <c r="G11" s="3084"/>
      <c r="H11" s="3084"/>
      <c r="I11" s="3084"/>
    </row>
    <row r="12" spans="1:9" ht="15.75">
      <c r="A12" s="3085" t="str">
        <f>结果表!A126</f>
        <v/>
      </c>
      <c r="B12" s="3085"/>
      <c r="C12" s="3085"/>
      <c r="D12" s="3085" t="str">
        <f>结果表!D126</f>
        <v>——</v>
      </c>
      <c r="E12" s="3085"/>
      <c r="F12" s="3085"/>
      <c r="G12" s="3085"/>
      <c r="H12" s="3085"/>
      <c r="I12" s="3085"/>
    </row>
    <row r="13" spans="1:9" ht="15.75" thickBot="1">
      <c r="A13" s="3089" t="s">
        <v>1605</v>
      </c>
      <c r="B13" s="3089"/>
      <c r="C13" s="3089"/>
      <c r="D13" s="3090" t="e">
        <f>结果表!D127</f>
        <v>#VALUE!</v>
      </c>
      <c r="E13" s="3090"/>
      <c r="F13" s="3090"/>
      <c r="G13" s="3090"/>
      <c r="H13" s="3090"/>
      <c r="I13" s="3090"/>
    </row>
    <row r="14" spans="1:9" ht="15" thickTop="1">
      <c r="A14" s="3091" t="s">
        <v>1610</v>
      </c>
      <c r="B14" s="3091"/>
      <c r="C14" s="3091"/>
      <c r="D14" s="3091"/>
      <c r="E14" s="3091"/>
      <c r="F14" s="3091"/>
      <c r="G14" s="3091"/>
      <c r="H14" s="3091"/>
      <c r="I14" s="3091"/>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2" t="s">
        <v>1627</v>
      </c>
      <c r="B1" s="3092"/>
      <c r="C1" s="3092"/>
      <c r="D1" s="3092"/>
    </row>
    <row r="2" spans="1:4" ht="18">
      <c r="A2" s="3093" t="s">
        <v>1611</v>
      </c>
      <c r="B2" s="3093"/>
      <c r="C2" s="3093"/>
      <c r="D2" s="3093"/>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093" t="s">
        <v>1617</v>
      </c>
      <c r="B6" s="3093"/>
      <c r="C6" s="3093"/>
      <c r="D6" s="309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4" t="s">
        <v>1620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5" t="str">
        <f>IF(项目基本情况!B8="抵押","4.本次评估估价师所知悉的法定优先受偿款情况说明如下：","——")</f>
        <v>4.本次评估估价师所知悉的法定优先受偿款情况说明如下：</v>
      </c>
      <c r="B14" s="3096"/>
      <c r="C14" s="3096"/>
      <c r="D14" s="3096"/>
    </row>
    <row r="15" spans="1:4" ht="42" customHeight="1">
      <c r="A15" s="30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8" t="s">
        <v>1621</v>
      </c>
      <c r="B16" s="3098"/>
      <c r="C16" s="3098"/>
      <c r="D16" s="3098"/>
    </row>
    <row r="17" spans="1:4" ht="144" customHeight="1">
      <c r="A17" s="3098" t="s">
        <v>1622</v>
      </c>
      <c r="B17" s="3098"/>
      <c r="C17" s="3098"/>
      <c r="D17" s="3098"/>
    </row>
    <row r="18" spans="1:4" ht="15.75" customHeight="1">
      <c r="A18" s="3095" t="str">
        <f>IF(项目基本情况!B8="抵押",结果表!K120,"——")</f>
        <v>故，本次评估不存在</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5"/>
      <c r="C20" s="3095"/>
      <c r="D20" s="3095"/>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1623</v>
      </c>
      <c r="B22" s="3100"/>
      <c r="C22" s="3100"/>
      <c r="D22" s="310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7">
        <v>42551</v>
      </c>
      <c r="D31" s="30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6" t="s">
        <v>1634</v>
      </c>
      <c r="B15" s="3101" t="s">
        <v>136</v>
      </c>
      <c r="C15" s="3102"/>
    </row>
    <row r="16" spans="1:7" ht="13.5">
      <c r="A16" s="3107"/>
      <c r="B16" s="3101" t="s">
        <v>69</v>
      </c>
      <c r="C16" s="3102"/>
    </row>
    <row r="17" spans="1:3" ht="13.5">
      <c r="A17" s="3107"/>
      <c r="B17" s="3104" t="s">
        <v>1635</v>
      </c>
      <c r="C17" s="1719" t="s">
        <v>1634</v>
      </c>
    </row>
    <row r="18" spans="1:3" ht="13.5">
      <c r="A18" s="3107"/>
      <c r="B18" s="3104"/>
      <c r="C18" s="1719" t="s">
        <v>1636</v>
      </c>
    </row>
    <row r="19" spans="1:3" ht="13.5">
      <c r="A19" s="3107"/>
      <c r="B19" s="3104"/>
      <c r="C19" s="1719" t="s">
        <v>1637</v>
      </c>
    </row>
    <row r="20" spans="1:3" ht="13.5">
      <c r="A20" s="3108"/>
      <c r="B20" s="3103" t="s">
        <v>1638</v>
      </c>
      <c r="C20" s="3102"/>
    </row>
    <row r="21" spans="1:3" ht="13.5">
      <c r="A21" s="1720" t="s">
        <v>1639</v>
      </c>
      <c r="B21" s="1721"/>
      <c r="C21" s="1722"/>
    </row>
    <row r="22" spans="1:3" ht="13.5">
      <c r="A22" s="3105" t="s">
        <v>1640</v>
      </c>
      <c r="B22" s="3103" t="s">
        <v>1641</v>
      </c>
      <c r="C22" s="3102"/>
    </row>
    <row r="23" spans="1:3" ht="13.5">
      <c r="A23" s="3105"/>
      <c r="B23" s="3103" t="s">
        <v>1642</v>
      </c>
      <c r="C23" s="3102"/>
    </row>
    <row r="24" spans="1:3" ht="13.5">
      <c r="A24" s="3105"/>
      <c r="B24" s="3103" t="s">
        <v>1643</v>
      </c>
      <c r="C24" s="3102"/>
    </row>
    <row r="25" spans="1:3" ht="13.5">
      <c r="A25" s="3105"/>
      <c r="B25" s="3104" t="s">
        <v>1644</v>
      </c>
      <c r="C25" s="1719" t="s">
        <v>1645</v>
      </c>
    </row>
    <row r="26" spans="1:3" ht="13.5">
      <c r="A26" s="3105"/>
      <c r="B26" s="3104"/>
      <c r="C26" s="1719" t="s">
        <v>1646</v>
      </c>
    </row>
    <row r="27" spans="1:3" ht="13.5">
      <c r="A27" s="3105"/>
      <c r="B27" s="3104"/>
      <c r="C27" s="1719" t="s">
        <v>1647</v>
      </c>
    </row>
    <row r="28" spans="1:3" ht="13.5">
      <c r="A28" s="3105"/>
      <c r="B28" s="3104"/>
      <c r="C28" s="1719" t="s">
        <v>1648</v>
      </c>
    </row>
    <row r="29" spans="1:3" ht="13.5">
      <c r="A29" s="3105"/>
      <c r="B29" s="3104"/>
      <c r="C29" s="1719" t="s">
        <v>1649</v>
      </c>
    </row>
    <row r="30" spans="1:3" ht="13.5">
      <c r="A30" s="3105"/>
      <c r="B30" s="3104"/>
      <c r="C30" s="1719" t="s">
        <v>1650</v>
      </c>
    </row>
    <row r="31" spans="1:3" ht="13.5">
      <c r="A31" s="3105"/>
      <c r="B31" s="3104"/>
      <c r="C31" s="1719" t="s">
        <v>1651</v>
      </c>
    </row>
    <row r="32" spans="1:3" ht="13.5">
      <c r="A32" s="3105"/>
      <c r="B32" s="3104"/>
      <c r="C32" s="1719" t="s">
        <v>1652</v>
      </c>
    </row>
    <row r="33" spans="1:3" ht="13.5">
      <c r="A33" s="3105"/>
      <c r="B33" s="310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44218</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9" t="s">
        <v>2901</v>
      </c>
      <c r="B17" s="3109"/>
      <c r="C17" s="3109"/>
      <c r="D17" s="3109"/>
      <c r="E17" s="3109"/>
      <c r="F17" s="3109"/>
      <c r="G17" s="3109"/>
      <c r="H17" s="3109"/>
    </row>
    <row r="18" spans="1:8" ht="24" customHeight="1">
      <c r="A18" s="3110" t="s">
        <v>2902</v>
      </c>
      <c r="B18" s="3110"/>
      <c r="C18" s="3110"/>
      <c r="D18" s="2567"/>
      <c r="E18" s="3111" t="s">
        <v>2903</v>
      </c>
      <c r="F18" s="3110"/>
      <c r="G18" s="311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2021-01-22T09:44:36Z</dcterms:modified>
</cp:coreProperties>
</file>