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6" i="43"/>
  <c r="Y7" i="1"/>
  <c r="N7" i="1"/>
  <c r="F20" i="6"/>
  <c r="G51" i="43"/>
  <c r="G52" i="43"/>
  <c r="G53" i="43"/>
  <c r="G54" i="43"/>
  <c r="G55" i="43"/>
  <c r="G56" i="43"/>
  <c r="G57" i="43"/>
  <c r="G58" i="43"/>
  <c r="G50" i="43"/>
  <c r="U5" i="43"/>
  <c r="Y6" i="1"/>
  <c r="N6" i="1"/>
  <c r="B21" i="1"/>
  <c r="F19" i="6"/>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23" i="79"/>
  <c r="AK23" i="79" s="1"/>
  <c r="AH23"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F4" i="73"/>
  <c r="F9" i="67"/>
  <c r="E10" i="76"/>
  <c r="M9" i="67"/>
  <c r="L47" i="67"/>
  <c r="D35" i="9"/>
  <c r="E2" i="68"/>
  <c r="B9" i="76"/>
  <c r="F26" i="67"/>
  <c r="M6" i="67"/>
  <c r="M22" i="67"/>
  <c r="F42" i="67"/>
  <c r="L48" i="67"/>
  <c r="F40" i="67"/>
  <c r="E12" i="76"/>
  <c r="E11" i="76"/>
  <c r="F7" i="73"/>
  <c r="D6" i="73"/>
  <c r="AO13" i="1"/>
  <c r="M26" i="67"/>
  <c r="B8" i="76"/>
  <c r="B10" i="76"/>
  <c r="F37" i="67"/>
  <c r="F6" i="73"/>
  <c r="B7" i="76"/>
  <c r="E13" i="76"/>
  <c r="B13" i="76"/>
  <c r="B12" i="76"/>
  <c r="M24" i="67"/>
  <c r="M23" i="67"/>
  <c r="E8" i="76"/>
  <c r="M28" i="67"/>
  <c r="F16" i="67"/>
  <c r="C76" i="67"/>
  <c r="M8" i="67"/>
  <c r="D34" i="9"/>
  <c r="F38" i="67"/>
  <c r="F3" i="73"/>
  <c r="F5" i="73"/>
  <c r="F8" i="67"/>
  <c r="E2" i="69"/>
  <c r="B11" i="76"/>
  <c r="F13" i="67"/>
  <c r="F6" i="67"/>
  <c r="E7" i="76"/>
  <c r="F36" i="67"/>
  <c r="J15" i="67"/>
  <c r="F20" i="31"/>
  <c r="D52" i="43" l="1"/>
  <c r="D54" i="43"/>
  <c r="D93" i="9"/>
  <c r="B41" i="1"/>
  <c r="C21" i="68"/>
  <c r="C40" i="69"/>
  <c r="K6" i="1"/>
  <c r="Q16" i="1" s="1"/>
  <c r="G1" i="69"/>
  <c r="G1" i="15"/>
  <c r="B6" i="1"/>
  <c r="E6" i="1" s="1"/>
  <c r="K1" i="12"/>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7" i="67"/>
  <c r="M22" i="15"/>
  <c r="F13" i="15"/>
  <c r="F36" i="15"/>
  <c r="F37" i="15"/>
  <c r="F6" i="15"/>
  <c r="L47" i="15"/>
  <c r="D7" i="73"/>
  <c r="F16" i="15"/>
  <c r="F26" i="15"/>
  <c r="D4" i="73"/>
  <c r="D9" i="69"/>
  <c r="F40" i="15"/>
  <c r="C76" i="15"/>
  <c r="F38" i="15"/>
  <c r="F9" i="15"/>
  <c r="M8" i="15"/>
  <c r="F42" i="15"/>
  <c r="F8" i="15"/>
  <c r="D5" i="73"/>
  <c r="M29" i="67"/>
  <c r="J15" i="15"/>
  <c r="F7" i="15"/>
  <c r="M28" i="15"/>
  <c r="F43" i="67"/>
  <c r="M9" i="15"/>
  <c r="M26" i="15"/>
  <c r="M6" i="15"/>
  <c r="M29" i="15"/>
  <c r="M23" i="15"/>
  <c r="L48" i="15"/>
  <c r="F43" i="15"/>
  <c r="D3" i="73"/>
  <c r="M24" i="15"/>
  <c r="H16" i="1" l="1"/>
  <c r="M6" i="1"/>
  <c r="O6" i="1" s="1"/>
  <c r="E28" i="6"/>
  <c r="K14" i="1" s="1"/>
  <c r="K16" i="1" s="1"/>
  <c r="F30" i="6"/>
  <c r="G30" i="6"/>
  <c r="G31" i="6" s="1"/>
  <c r="C6" i="67"/>
  <c r="C32" i="67" s="1"/>
  <c r="M7" i="67"/>
  <c r="J6" i="67" s="1"/>
  <c r="F50" i="67"/>
  <c r="F71" i="67"/>
  <c r="N370" i="46"/>
  <c r="AP6" i="1"/>
  <c r="F26" i="43"/>
  <c r="H26" i="43"/>
  <c r="F48" i="9"/>
  <c r="O52" i="9" s="1"/>
  <c r="F31" i="12"/>
  <c r="C31" i="12" s="1"/>
  <c r="F30" i="69"/>
  <c r="D68" i="9"/>
  <c r="F52" i="9"/>
  <c r="F32" i="15"/>
  <c r="F60" i="15" s="1"/>
  <c r="F54" i="9"/>
  <c r="F28" i="67"/>
  <c r="C28" i="67" s="1"/>
  <c r="F28" i="15"/>
  <c r="C28" i="15" s="1"/>
  <c r="F30" i="68"/>
  <c r="F30" i="11"/>
  <c r="M18" i="67"/>
  <c r="M18" i="15"/>
  <c r="F32" i="67"/>
  <c r="F60" i="67" s="1"/>
  <c r="F71" i="15"/>
  <c r="F51" i="15"/>
  <c r="M59" i="15"/>
  <c r="L58" i="15"/>
  <c r="Q60" i="15" s="1"/>
  <c r="L59" i="15"/>
  <c r="Q74" i="15" s="1"/>
  <c r="N59" i="15"/>
  <c r="J53" i="15"/>
  <c r="L56" i="15" s="1"/>
  <c r="J57" i="15"/>
  <c r="J55" i="15" s="1"/>
  <c r="J58" i="15" s="1"/>
  <c r="Q50" i="15" s="1"/>
  <c r="I54" i="15"/>
  <c r="C6" i="15"/>
  <c r="F65" i="15"/>
  <c r="C27" i="15"/>
  <c r="F64" i="15"/>
  <c r="F50" i="15"/>
  <c r="C49" i="15" s="1"/>
  <c r="M7" i="15"/>
  <c r="J6" i="15" s="1"/>
  <c r="J18" i="15" s="1"/>
  <c r="F66" i="15"/>
  <c r="Q71" i="15"/>
  <c r="F68" i="15"/>
  <c r="P6" i="1"/>
  <c r="C13" i="1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AC6" i="3"/>
  <c r="E58" i="40"/>
  <c r="E62" i="39"/>
  <c r="M14" i="1"/>
  <c r="D5" i="43"/>
  <c r="F10" i="40"/>
  <c r="S10" i="40"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J18" i="67"/>
  <c r="F1" i="67"/>
  <c r="Q52" i="67"/>
  <c r="Q61" i="67"/>
  <c r="Q74" i="67"/>
  <c r="Q61" i="15"/>
  <c r="AE11" i="1"/>
  <c r="AE9" i="1"/>
  <c r="F27" i="68"/>
  <c r="AE8" i="1"/>
  <c r="AE12" i="1"/>
  <c r="AE10" i="1"/>
  <c r="G1" i="73"/>
  <c r="C16" i="67"/>
  <c r="AE6" i="1"/>
  <c r="C36" i="69"/>
  <c r="C16" i="15"/>
  <c r="AE7" i="1"/>
  <c r="F27" i="69"/>
  <c r="F41" i="67"/>
  <c r="C47" i="69" l="1"/>
  <c r="D45" i="69" s="1"/>
  <c r="C29" i="69"/>
  <c r="D27" i="69" s="1"/>
  <c r="F45" i="69"/>
  <c r="F1" i="15"/>
  <c r="C32" i="15"/>
  <c r="C48" i="11"/>
  <c r="C30" i="11"/>
  <c r="F48" i="69"/>
  <c r="C48" i="69"/>
  <c r="C30" i="69"/>
  <c r="F48" i="68"/>
  <c r="C48" i="68"/>
  <c r="C30" i="68"/>
  <c r="Q73" i="15"/>
  <c r="J5" i="15"/>
  <c r="J24" i="15" s="1"/>
  <c r="Q52" i="15"/>
  <c r="E3" i="6"/>
  <c r="H10" i="39"/>
  <c r="U10" i="39" s="1"/>
  <c r="AA10" i="39"/>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V5" i="43" l="1"/>
  <c r="C7" i="69"/>
  <c r="F25" i="12"/>
  <c r="C26" i="12" s="1"/>
  <c r="D25" i="12" s="1"/>
  <c r="U10" i="40"/>
  <c r="D116" i="43"/>
  <c r="AC10" i="39"/>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14" i="67"/>
  <c r="C17" i="15"/>
  <c r="C34" i="69"/>
  <c r="C44" i="11" l="1"/>
  <c r="D41" i="11" s="1"/>
  <c r="C23" i="68"/>
  <c r="C26" i="11"/>
  <c r="D22" i="11" s="1"/>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20" i="9" s="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5"/>
  <c r="D2" i="34"/>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8" i="1"/>
  <c r="AO7" i="1"/>
  <c r="AO11" i="1"/>
  <c r="D20" i="9"/>
  <c r="AO10"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4" i="9"/>
  <c r="H4" i="52"/>
  <c r="C104" i="9"/>
  <c r="B30" i="72"/>
  <c r="C86" i="9"/>
  <c r="B47" i="72"/>
  <c r="N61" i="9"/>
  <c r="N60" i="9"/>
  <c r="N59" i="9"/>
  <c r="D4" i="52"/>
  <c r="D53" i="9"/>
  <c r="D52" i="9"/>
  <c r="C93" i="9"/>
  <c r="D8" i="52"/>
  <c r="L66" i="9"/>
  <c r="M66" i="9"/>
  <c r="C105" i="9"/>
  <c r="I4" i="52"/>
  <c r="B49" i="72"/>
  <c r="B52" i="72"/>
  <c r="C81" i="9"/>
  <c r="M48" i="9"/>
  <c r="N58" i="9"/>
  <c r="P57" i="9"/>
  <c r="M54" i="9"/>
  <c r="B22" i="72"/>
  <c r="D58" i="9"/>
  <c r="D56" i="9"/>
  <c r="B20" i="72"/>
  <c r="D5" i="53"/>
  <c r="D6" i="53"/>
  <c r="D14" i="53"/>
  <c r="B32" i="72"/>
  <c r="L68" i="9"/>
  <c r="M68" i="9"/>
  <c r="C5" i="74"/>
  <c r="C78" i="9"/>
  <c r="C73" i="9"/>
  <c r="F119" i="9"/>
  <c r="F5" i="52"/>
  <c r="B53" i="72"/>
  <c r="D13" i="53"/>
  <c r="G4" i="52"/>
  <c r="C97" i="9"/>
  <c r="G118" i="9"/>
  <c r="F118" i="9"/>
  <c r="F4" i="52"/>
  <c r="B51" i="72"/>
  <c r="L64" i="9"/>
  <c r="M64" i="9"/>
  <c r="H119" i="9"/>
  <c r="H5" i="52"/>
  <c r="C6" i="74"/>
  <c r="E4" i="52"/>
  <c r="B48" i="72"/>
  <c r="C80" i="9"/>
  <c r="E80" i="9"/>
  <c r="E81" i="9"/>
  <c r="C68" i="9"/>
  <c r="H102" i="9"/>
  <c r="D7" i="53"/>
  <c r="B21" i="72"/>
  <c r="L65" i="9"/>
  <c r="M65" i="9"/>
  <c r="C64" i="9"/>
  <c r="C63" i="9"/>
  <c r="C67" i="9"/>
  <c r="D59" i="9"/>
  <c r="M55" i="9"/>
  <c r="L67" i="9"/>
  <c r="M67" i="9"/>
  <c r="D122" i="9"/>
  <c r="D123" i="9"/>
  <c r="D9" i="52"/>
  <c r="E118" i="9"/>
  <c r="D118" i="9"/>
  <c r="D119" i="9"/>
  <c r="D5" i="52"/>
  <c r="C72" i="9"/>
  <c r="C79" i="9"/>
  <c r="E97" i="9"/>
  <c r="H108" i="9"/>
  <c r="D15" i="53"/>
  <c r="B31" i="72"/>
  <c r="D55" i="9"/>
  <c r="M53" i="9"/>
  <c r="N57" i="9"/>
  <c r="H107" i="9"/>
  <c r="M49" i="9"/>
  <c r="L63" i="9"/>
  <c r="M63" i="9"/>
  <c r="M69" i="9"/>
  <c r="N69"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<sst xmlns="http://schemas.openxmlformats.org/spreadsheetml/2006/main" count="7898" uniqueCount="3447">
  <si>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</si>
  <si>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</si>
  <si>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</si>
  <si>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</si>
  <si>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</si>
  <si>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</si>
  <si>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</si>
  <si>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</si>
  <si>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</si>
  <si>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</si>
  <si>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</si>
  <si>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</si>
  <si>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</si>
  <si>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</si>
  <si>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</si>
  <si>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</si>
  <si>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</si>
  <si>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</si>
  <si>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</si>
  <si>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</si>
  <si>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</si>
  <si>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</si>
  <si>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</si>
  <si>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</si>
  <si>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</si>
  <si>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</si>
  <si>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</si>
  <si>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</si>
  <si>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</si>
  <si>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</si>
  <si>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</si>
  <si>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</si>
  <si>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</si>
  <si>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</si>
  <si>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</si>
  <si>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</si>
  <si>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</si>
  <si>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</si>
  <si>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</si>
  <si>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</si>
  <si>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</si>
  <si>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</si>
  <si>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</si>
  <si>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</si>
  <si>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</si>
  <si>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</si>
  <si>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</si>
  <si>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</si>
  <si>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</si>
  <si>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</si>
  <si>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</si>
  <si>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</si>
  <si>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</si>
  <si>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</si>
  <si>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</si>
  <si>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</si>
  <si>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</si>
  <si>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</si>
  <si>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</si>
  <si>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</si>
  <si>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</si>
  <si>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</si>
  <si>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</si>
  <si>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</si>
  <si>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</si>
  <si>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</si>
  <si>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</si>
  <si>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</si>
  <si>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</si>
  <si>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</si>
  <si>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</si>
  <si>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</si>
  <si>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</si>
  <si>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</si>
  <si>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</si>
  <si>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</si>
  <si>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</si>
  <si>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</si>
  <si>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</si>
  <si>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</si>
  <si>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</si>
  <si>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</si>
  <si>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</si>
  <si>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</si>
  <si>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</si>
  <si>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</si>
  <si>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</si>
  <si>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</si>
  <si>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</si>
  <si>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</si>
  <si>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</si>
  <si>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</si>
  <si>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</si>
  <si>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</si>
  <si>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</si>
  <si>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</si>
  <si>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</si>
  <si>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</si>
  <si>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</si>
  <si>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</si>
  <si>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</si>
  <si>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</si>
  <si>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</si>
  <si>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</si>
  <si>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</si>
  <si>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</si>
  <si>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</si>
  <si>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</si>
  <si>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</si>
  <si>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</si>
  <si>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</si>
  <si>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</si>
  <si>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</si>
  <si>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</si>
  <si>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</si>
  <si>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</si>
  <si>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</si>
  <si>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</si>
  <si>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</si>
  <si>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</si>
  <si>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</si>
  <si>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</si>
  <si>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</si>
  <si>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</si>
  <si>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</si>
  <si>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</si>
  <si>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</si>
  <si>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</si>
  <si>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</si>
  <si>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</si>
  <si>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</si>
  <si>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</si>
  <si>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</si>
  <si>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</si>
  <si>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</si>
  <si>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</si>
  <si>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</si>
  <si>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</si>
  <si>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</si>
  <si>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</si>
  <si>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</si>
  <si>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</si>
  <si>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</si>
  <si>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</si>
  <si>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</si>
  <si>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</si>
  <si>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</si>
  <si>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</si>
  <si>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</si>
  <si>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</si>
  <si>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</si>
  <si>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</si>
  <si>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</si>
  <si>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</si>
  <si>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</si>
  <si>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</si>
  <si>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</si>
  <si>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</si>
  <si>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</si>
  <si>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</si>
  <si>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</si>
  <si>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</si>
  <si>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</si>
  <si>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</si>
  <si>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</si>
  <si>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</si>
  <si>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</si>
  <si>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</si>
  <si>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</si>
  <si>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</si>
  <si>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</si>
  <si>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</si>
  <si>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</si>
  <si>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</si>
  <si>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</si>
  <si>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</si>
  <si>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</si>
  <si>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</si>
  <si>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</si>
  <si>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</si>
  <si>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</si>
  <si>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</si>
  <si>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</si>
  <si>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</si>
  <si>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</si>
  <si>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</si>
  <si>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</si>
  <si>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</si>
  <si>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</si>
  <si>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</si>
  <si>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</si>
  <si>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</si>
  <si>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</si>
  <si>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</si>
  <si>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</si>
  <si>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</si>
  <si>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</si>
  <si>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</si>
  <si>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</si>
  <si>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</si>
  <si>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</si>
  <si>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</si>
  <si>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</si>
  <si>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</si>
  <si>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</si>
  <si>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</si>
  <si>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</si>
  <si>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</si>
  <si>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</si>
  <si>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</si>
  <si>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</si>
  <si>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</si>
  <si>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</si>
  <si>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</si>
  <si>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</si>
  <si>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</si>
  <si>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</si>
  <si>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</si>
  <si>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</si>
  <si>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</si>
  <si>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</si>
  <si>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</si>
  <si>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</si>
  <si>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</si>
  <si>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</si>
  <si>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</si>
  <si>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</si>
  <si>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</si>
  <si>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</si>
  <si>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</si>
  <si>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</si>
  <si>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</si>
  <si>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</si>
  <si>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</si>
  <si>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</si>
  <si>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</si>
  <si>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</si>
  <si>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</si>
  <si>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</si>
  <si>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</si>
  <si>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</si>
  <si>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</si>
  <si>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</si>
  <si>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</si>
  <si>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</si>
  <si>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</si>
  <si>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</si>
  <si>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</si>
  <si>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</si>
  <si>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</si>
  <si>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</si>
  <si>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</si>
  <si>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</si>
  <si>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</si>
  <si>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</si>
  <si>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</si>
  <si>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</si>
  <si>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</si>
  <si>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</si>
  <si>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</si>
  <si>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</si>
  <si>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</si>
  <si>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</si>
  <si>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</si>
  <si>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</si>
  <si>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</si>
  <si>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</si>
  <si>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</si>
  <si>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</si>
  <si>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</si>
  <si>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</si>
  <si>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</si>
  <si>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</si>
  <si>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</si>
  <si>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</si>
  <si>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</si>
  <si>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</si>
  <si>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</si>
  <si>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</si>
  <si>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</si>
  <si>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</si>
  <si>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</si>
  <si>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</si>
  <si>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</si>
  <si>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</si>
  <si>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</si>
  <si>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</si>
  <si>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</si>
  <si>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</si>
  <si>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</si>
  <si>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</si>
  <si>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</si>
  <si>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</si>
  <si>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</si>
  <si>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</si>
  <si>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</si>
  <si>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</si>
  <si>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</si>
  <si>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</si>
  <si>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</si>
  <si>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</si>
  <si>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</si>
  <si>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</si>
  <si>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</si>
  <si>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</si>
  <si>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</si>
  <si>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</si>
  <si>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</si>
  <si>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</si>
  <si>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</si>
  <si>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</si>
  <si>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</si>
  <si>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</si>
  <si>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</si>
  <si>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</si>
  <si>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</si>
  <si>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</si>
  <si>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</si>
  <si>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</si>
  <si>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</si>
  <si>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</si>
  <si>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</si>
  <si>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</si>
  <si>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</si>
  <si>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</si>
  <si>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</si>
  <si>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</si>
  <si>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</si>
  <si>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</si>
  <si>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</si>
  <si>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</si>
  <si>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</si>
  <si>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</si>
  <si>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</si>
  <si>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</si>
  <si>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</si>
  <si>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</si>
  <si>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</si>
  <si>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</si>
  <si>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</si>
  <si>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</si>
  <si>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</si>
  <si>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</si>
  <si>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</si>
  <si>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</si>
  <si>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</si>
  <si>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</si>
  <si>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</si>
  <si>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</si>
  <si>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</si>
  <si>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</si>
  <si>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</si>
  <si>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</si>
  <si>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</si>
  <si>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</si>
  <si>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</si>
  <si>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</si>
  <si>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</si>
  <si>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</si>
  <si>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</si>
  <si>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</si>
  <si>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</si>
  <si>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</si>
  <si>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</si>
  <si>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</si>
  <si>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</si>
  <si>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</si>
  <si>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</si>
  <si>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</si>
  <si>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</si>
  <si>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</si>
  <si>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</si>
  <si>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</si>
  <si>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</si>
  <si>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</si>
  <si>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</si>
  <si>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</si>
  <si>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</si>
  <si>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</si>
  <si>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</si>
  <si>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</si>
  <si>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</si>
  <si>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</si>
  <si>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</si>
  <si>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</si>
  <si>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</si>
  <si>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</si>
  <si>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</si>
  <si>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</si>
  <si>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</si>
  <si>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</si>
  <si>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</si>
  <si>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</si>
  <si>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</si>
  <si>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</si>
  <si>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</si>
  <si>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</si>
  <si>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</si>
  <si>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</si>
  <si>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</si>
  <si>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</si>
  <si>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</si>
  <si>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</si>
  <si>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</si>
  <si>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</si>
  <si>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</si>
  <si>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</si>
  <si>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</si>
  <si>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</si>
  <si>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</si>
  <si>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</si>
  <si>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</si>
  <si>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</si>
  <si>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</si>
  <si>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</si>
  <si>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</si>
  <si>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</si>
  <si>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</si>
  <si>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</si>
  <si>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</si>
  <si>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</si>
  <si>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</si>
  <si>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</si>
  <si>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</si>
  <si>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</si>
  <si>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</si>
  <si>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</si>
  <si>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</si>
  <si>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</si>
  <si>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</si>
  <si>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</si>
  <si>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</si>
  <si>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</si>
  <si>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</si>
  <si>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</si>
  <si>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</si>
  <si>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</si>
  <si>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</si>
  <si>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</si>
  <si>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</si>
  <si>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</si>
  <si>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</si>
  <si>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</si>
  <si>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</si>
  <si>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</si>
  <si>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</si>
  <si>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</si>
  <si>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</si>
  <si>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</si>
  <si>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</si>
  <si>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</si>
  <si>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</si>
  <si>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</si>
  <si>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</si>
  <si>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</si>
  <si>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</si>
  <si>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</si>
  <si>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</si>
  <si>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</si>
  <si>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</si>
  <si>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</si>
  <si>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</si>
  <si>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</si>
  <si>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</si>
  <si>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</si>
  <si>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</si>
  <si>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</si>
  <si>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</si>
  <si>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</si>
  <si>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</si>
  <si>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</si>
  <si>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</si>
  <si>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</si>
  <si>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</si>
  <si>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</si>
  <si>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</si>
  <si>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</si>
  <si>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</si>
  <si>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</si>
  <si>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</si>
  <si>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</si>
  <si>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</si>
  <si>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</si>
  <si>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</si>
  <si>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</si>
  <si>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</si>
  <si>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</si>
  <si>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</si>
  <si>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</si>
  <si>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</si>
  <si>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</si>
  <si>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</si>
  <si>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</si>
  <si>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</si>
  <si>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</si>
  <si>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</si>
  <si>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</si>
  <si>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</si>
  <si>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</si>
  <si>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</si>
  <si>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</si>
  <si>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</si>
  <si>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</si>
  <si>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</si>
  <si>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</si>
  <si>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</si>
  <si>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</si>
  <si>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</si>
  <si>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</si>
  <si>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</si>
  <si>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</si>
  <si>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</si>
  <si>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</si>
  <si>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</si>
  <si>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</si>
  <si>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</si>
  <si>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</si>
  <si>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</si>
  <si>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</si>
  <si>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</si>
  <si>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</si>
  <si>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</si>
  <si>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</si>
  <si>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</si>
  <si>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</si>
  <si>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</si>
  <si>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</si>
  <si>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</si>
  <si>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</si>
  <si>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</si>
  <si>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</si>
  <si>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</si>
  <si>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</si>
  <si>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</si>
  <si>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</si>
  <si>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</si>
  <si>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</si>
  <si>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</si>
  <si>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</si>
  <si>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</si>
  <si>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</si>
  <si>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</si>
  <si>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</si>
  <si>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</si>
  <si>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</si>
  <si>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</si>
  <si>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</si>
  <si>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</si>
  <si>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</si>
  <si>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</si>
  <si>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</si>
  <si>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</si>
  <si>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</si>
  <si>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</si>
  <si>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</si>
  <si>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</si>
  <si>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</si>
  <si>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</si>
  <si>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</si>
  <si>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</si>
  <si>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</si>
  <si>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</si>
  <si>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</si>
  <si>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</si>
  <si>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</si>
  <si>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</si>
  <si>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</si>
  <si>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</si>
  <si>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</si>
  <si>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</si>
  <si>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</si>
  <si>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</si>
  <si>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</si>
  <si>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</si>
  <si>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</si>
  <si>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</si>
  <si>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</si>
  <si>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</si>
  <si>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</si>
  <si>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</si>
  <si>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</si>
  <si>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</si>
  <si>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</si>
  <si>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</si>
  <si>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</si>
  <si>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</si>
  <si>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</si>
  <si>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</si>
  <si>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</si>
  <si>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</si>
  <si>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</si>
  <si>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</si>
  <si>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</si>
  <si>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</si>
  <si>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</si>
  <si>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</si>
  <si>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</si>
  <si>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</si>
  <si>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</si>
  <si>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</si>
  <si>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</si>
  <si>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</si>
  <si>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</si>
  <si>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</si>
  <si>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</si>
  <si>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</si>
  <si>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</si>
  <si>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</si>
  <si>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</si>
  <si>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</si>
  <si>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</si>
  <si>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</si>
  <si>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</si>
  <si>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</si>
  <si>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</si>
  <si>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</si>
  <si>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</si>
  <si>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</si>
  <si>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</si>
  <si>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</si>
  <si>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</si>
  <si>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</si>
  <si>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</si>
  <si>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</si>
  <si>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</si>
  <si>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</si>
  <si>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</si>
  <si>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</si>
  <si>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</si>
  <si>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</si>
  <si>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</si>
  <si>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</si>
  <si>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</si>
  <si>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</si>
  <si>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</si>
  <si>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</si>
  <si>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</si>
  <si>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</si>
  <si>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</si>
  <si>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</si>
  <si>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</si>
  <si>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</si>
  <si>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</si>
  <si>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</si>
  <si>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</si>
  <si>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</si>
  <si>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</si>
  <si>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</si>
  <si>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</si>
  <si>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</si>
  <si>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</si>
  <si>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</si>
  <si>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</si>
  <si>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</si>
  <si>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</si>
  <si>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</si>
  <si>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</si>
  <si>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</si>
  <si>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</si>
  <si>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</si>
  <si>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</si>
  <si>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</si>
  <si>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</si>
  <si>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</si>
  <si>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</si>
  <si>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</si>
  <si>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</si>
  <si>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</si>
  <si>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</si>
  <si>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</si>
  <si>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</si>
  <si>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</si>
  <si>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</si>
  <si>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</si>
  <si>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</si>
  <si>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</si>
  <si>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</si>
  <si>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</si>
  <si>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</si>
  <si>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</si>
  <si>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</si>
  <si>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</si>
  <si>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</si>
  <si>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</si>
  <si>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</si>
  <si>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</si>
  <si>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</si>
  <si>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</si>
  <si>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</si>
  <si>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</si>
  <si>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</si>
  <si>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</si>
  <si>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</si>
  <si>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</si>
  <si>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</si>
  <si>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</si>
  <si>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</si>
  <si>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</si>
  <si>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</si>
  <si>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</si>
  <si>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</si>
  <si>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</si>
  <si>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</si>
  <si>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</si>
  <si>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</si>
  <si>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</si>
  <si>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</si>
  <si>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</si>
  <si>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</si>
  <si>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</si>
  <si>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</si>
  <si>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</si>
  <si>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</si>
  <si>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</si>
  <si>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</si>
  <si>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</si>
  <si>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</si>
  <si>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</si>
  <si>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</si>
  <si>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</si>
  <si>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</si>
  <si>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</si>
  <si>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</si>
  <si>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</si>
  <si>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</si>
  <si>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</si>
  <si>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</si>
  <si>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</si>
  <si>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</si>
  <si>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</si>
  <si>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</si>
  <si>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</si>
  <si>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</si>
  <si>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</si>
  <si>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</si>
  <si>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</si>
  <si>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</si>
  <si>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</si>
  <si>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</si>
  <si>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</si>
  <si>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</si>
  <si>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</si>
  <si>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</si>
  <si>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</si>
  <si>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</si>
  <si>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</si>
  <si>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</si>
  <si>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</si>
  <si>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</si>
  <si>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</si>
  <si>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</si>
  <si>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</si>
  <si>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</si>
  <si>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</si>
  <si>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</si>
  <si>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</si>
  <si>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</si>
  <si>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</si>
  <si>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</si>
  <si>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</si>
  <si>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</si>
  <si>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</si>
  <si>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</si>
  <si>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</si>
  <si>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</si>
  <si>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</si>
  <si>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</si>
  <si>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</si>
  <si>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</si>
  <si>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</si>
  <si>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</si>
  <si>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</si>
  <si>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</si>
  <si>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</si>
  <si>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</si>
  <si>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</si>
  <si>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</si>
  <si>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</si>
  <si>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</si>
  <si>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</si>
  <si>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</si>
  <si>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</si>
  <si>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</si>
  <si>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</si>
  <si>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</si>
  <si>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</si>
  <si>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</si>
  <si>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</si>
  <si>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</si>
  <si>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</si>
  <si>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</si>
  <si>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</si>
  <si>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</si>
  <si>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</si>
  <si>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</si>
  <si>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</si>
  <si>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</si>
  <si>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</si>
  <si>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</si>
  <si>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</si>
  <si>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</si>
  <si>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</si>
  <si>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</si>
  <si>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</si>
  <si>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</si>
  <si>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</si>
  <si>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</si>
  <si>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</si>
  <si>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</si>
  <si>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</si>
  <si>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</si>
  <si>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</si>
  <si>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</si>
  <si>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</si>
  <si>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</si>
  <si>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</si>
  <si>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</si>
  <si>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</si>
  <si>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</si>
  <si>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</si>
  <si>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</si>
  <si>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</si>
  <si>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</si>
  <si>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</si>
  <si>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</si>
  <si>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</si>
  <si>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</si>
  <si>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</si>
  <si>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</si>
  <si>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</si>
  <si>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</si>
  <si>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</si>
  <si>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</si>
  <si>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</si>
  <si>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</si>
  <si>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</si>
  <si>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</si>
  <si>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</si>
  <si>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</si>
  <si>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</si>
  <si>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</si>
  <si>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</si>
  <si>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</si>
  <si>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</si>
  <si>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</si>
  <si>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</si>
  <si>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</si>
  <si>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</si>
  <si>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</si>
  <si>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</si>
  <si>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</si>
  <si>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</si>
  <si>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</si>
  <si>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</si>
  <si>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</si>
  <si>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</si>
  <si>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</si>
  <si>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</si>
  <si>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</si>
  <si>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</si>
  <si>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</si>
  <si>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</si>
  <si>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</si>
  <si>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</si>
  <si>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</si>
  <si>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</si>
  <si>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</si>
  <si>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</si>
  <si>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</si>
  <si>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</si>
  <si>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</si>
  <si>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</si>
  <si>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</si>
  <si>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</si>
  <si>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</si>
  <si>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</si>
  <si>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</si>
  <si>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</si>
  <si>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</si>
  <si>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</si>
  <si>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</si>
  <si>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</si>
  <si>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</si>
  <si>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</si>
  <si>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</si>
  <si>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</si>
  <si>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</si>
  <si>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</si>
  <si>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</si>
  <si>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</si>
  <si>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</si>
  <si>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</si>
  <si>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</si>
  <si>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</si>
  <si>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</si>
  <si>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</si>
  <si>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</si>
  <si>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</si>
  <si>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</si>
  <si>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</si>
  <si>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</si>
  <si>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</si>
  <si>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</si>
  <si>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</si>
  <si>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</si>
  <si>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</si>
  <si>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</si>
  <si>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</si>
  <si>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</si>
  <si>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</si>
  <si>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</si>
  <si>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</si>
  <si>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</si>
  <si>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</si>
  <si>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</si>
  <si>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</si>
  <si>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</si>
  <si>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</si>
  <si>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</si>
  <si>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</si>
  <si>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</si>
  <si>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</si>
  <si>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</si>
  <si>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</si>
  <si>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</si>
  <si>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</si>
  <si>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</si>
  <si>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</si>
  <si>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</si>
  <si>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</si>
  <si>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</si>
  <si>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</si>
  <si>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</si>
  <si>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</si>
  <si>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</si>
  <si>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</si>
  <si>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</si>
  <si>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</si>
  <si>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</si>
  <si>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</si>
  <si>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</si>
  <si>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</si>
  <si>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</si>
  <si>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</si>
  <si>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</si>
  <si>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</si>
  <si>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</si>
  <si>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</si>
  <si>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</si>
  <si>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</si>
  <si>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</si>
  <si>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</si>
  <si>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</si>
  <si>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</si>
  <si>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</si>
  <si>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</si>
  <si>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</si>
  <si>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</si>
  <si>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</si>
  <si>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</si>
  <si>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</si>
  <si>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</si>
  <si>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</si>
  <si>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</si>
  <si>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</si>
  <si>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</si>
  <si>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</si>
  <si>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</si>
  <si>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</si>
  <si>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</si>
  <si>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</si>
  <si>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</si>
  <si>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</si>
  <si>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</si>
  <si>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</si>
  <si>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</si>
  <si>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</si>
  <si>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</si>
  <si>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</si>
  <si>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</si>
  <si>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</si>
  <si>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</si>
  <si>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</si>
  <si>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</si>
  <si>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</si>
  <si>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</si>
  <si>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</si>
  <si>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</si>
  <si>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</si>
  <si>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</si>
  <si>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</si>
  <si>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</si>
  <si>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</si>
  <si>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</si>
  <si>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</si>
  <si>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</si>
  <si>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</si>
  <si>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</si>
  <si>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</si>
  <si>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</si>
  <si>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</si>
  <si>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</si>
  <si>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</si>
  <si>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</si>
  <si>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</si>
  <si>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</si>
  <si>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</si>
  <si>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</si>
  <si>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</si>
  <si>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</si>
  <si>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</si>
  <si>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</si>
  <si>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</si>
  <si>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</si>
  <si>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</si>
  <si>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</si>
  <si>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</si>
  <si>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</si>
  <si>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</si>
  <si>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</si>
  <si>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</si>
  <si>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</si>
  <si>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</si>
  <si>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</si>
  <si>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</si>
  <si>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</si>
  <si>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</si>
  <si>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</si>
  <si>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</si>
  <si>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</si>
  <si>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</si>
  <si>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</si>
  <si>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</si>
  <si>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</si>
  <si>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</si>
  <si>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</si>
  <si>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</si>
  <si>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</si>
  <si>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</si>
  <si>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</si>
  <si>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</si>
  <si>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</si>
  <si>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</si>
  <si>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</si>
  <si>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</si>
  <si>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</si>
  <si>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</si>
  <si>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</si>
  <si>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</si>
  <si>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</si>
  <si>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</si>
  <si>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</si>
  <si>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</si>
  <si>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</si>
  <si>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</si>
  <si>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</si>
  <si>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</si>
  <si>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</si>
  <si>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</si>
  <si>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</si>
  <si>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</si>
  <si>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</si>
  <si>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</si>
  <si>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</si>
  <si>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</si>
  <si>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</si>
  <si>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</si>
  <si>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</si>
  <si>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</si>
  <si>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</si>
  <si>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</si>
  <si>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</si>
  <si>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</si>
  <si>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</si>
  <si>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</si>
  <si>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</si>
  <si>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</si>
  <si>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</si>
  <si>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</si>
  <si>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</si>
  <si>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</si>
  <si>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</si>
  <si>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</si>
  <si>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</si>
  <si>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</si>
  <si>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</si>
  <si>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</si>
  <si>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</si>
  <si>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</si>
  <si>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</si>
  <si>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</si>
  <si>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</si>
  <si>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</si>
  <si>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</si>
  <si>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</si>
  <si>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</si>
  <si>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</si>
  <si>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</si>
  <si>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</si>
  <si>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</si>
  <si>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</si>
  <si>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</si>
  <si>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</si>
  <si>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</si>
  <si>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</si>
  <si>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</si>
  <si>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</si>
  <si>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</si>
  <si>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</si>
  <si>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</si>
  <si>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</si>
  <si>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</si>
  <si>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</si>
  <si>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</si>
  <si>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</si>
  <si>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</si>
  <si>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</si>
  <si>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</si>
  <si>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</si>
  <si>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</si>
  <si>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</si>
  <si>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</si>
  <si>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</si>
  <si>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</si>
  <si>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</si>
  <si>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</si>
  <si>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</si>
  <si>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</si>
  <si>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</si>
  <si>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</si>
  <si>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</si>
  <si>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</si>
  <si>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</si>
  <si>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</si>
  <si>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</si>
  <si>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</si>
  <si>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</si>
  <si>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</si>
  <si>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</si>
  <si>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</si>
  <si>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</si>
  <si>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</si>
  <si>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</si>
  <si>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</si>
  <si>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</si>
  <si>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</si>
  <si>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</si>
  <si>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</si>
  <si>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</si>
  <si>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</si>
  <si>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</si>
  <si>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</si>
  <si>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</si>
  <si>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</si>
  <si>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</si>
  <si>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</si>
  <si>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</si>
  <si>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</si>
  <si>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</si>
  <si>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</si>
  <si>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</si>
  <si>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</si>
  <si>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</si>
  <si>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</si>
  <si>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</si>
  <si>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</si>
  <si>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</si>
  <si>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</si>
  <si>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</si>
  <si>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</si>
  <si>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</si>
  <si>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</si>
  <si>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</si>
  <si>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</si>
  <si>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</si>
  <si>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</si>
  <si>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</si>
  <si>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</si>
  <si>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</si>
  <si>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</si>
  <si>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</si>
  <si>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</si>
  <si>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</si>
  <si>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</si>
  <si>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</si>
  <si>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</si>
  <si>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</si>
  <si>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</si>
  <si>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</si>
  <si>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</si>
  <si>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</si>
  <si>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</si>
  <si>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</si>
  <si>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</si>
  <si>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</si>
  <si>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</si>
  <si>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</si>
  <si>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</si>
  <si>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</si>
  <si>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</si>
  <si>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</si>
  <si>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</si>
  <si>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</si>
  <si>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</si>
  <si>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</si>
  <si>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</si>
  <si>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</si>
  <si>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</si>
  <si>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</si>
  <si>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</si>
  <si>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</si>
  <si>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</si>
  <si>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</si>
  <si>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</si>
  <si>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</si>
  <si>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</si>
  <si>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</si>
  <si>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</si>
  <si>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</si>
  <si>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</si>
  <si>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</si>
  <si>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</si>
  <si>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</si>
  <si>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</si>
  <si>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</si>
  <si>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</si>
  <si>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</si>
  <si>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</si>
  <si>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</si>
  <si>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</si>
  <si>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</si>
  <si>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</si>
  <si>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</si>
  <si>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</si>
  <si>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</si>
  <si>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</si>
  <si>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</si>
  <si>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</si>
  <si>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</si>
  <si>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</si>
  <si>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</si>
  <si>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</si>
  <si>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</si>
  <si>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</si>
  <si>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</si>
  <si>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</si>
  <si>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</si>
  <si>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</si>
  <si>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</si>
  <si>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</si>
  <si>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</si>
  <si>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</si>
  <si>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</si>
  <si>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</si>
  <si>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</si>
  <si>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</si>
  <si>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</si>
  <si>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</si>
  <si>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</si>
  <si>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</si>
  <si>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</si>
  <si>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</si>
  <si>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</si>
  <si>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</si>
  <si>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</si>
  <si>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</si>
  <si>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</si>
  <si>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</si>
  <si>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</si>
  <si>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</si>
  <si>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</si>
  <si>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</si>
  <si>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</si>
  <si>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</si>
  <si>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</si>
  <si>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</si>
  <si>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</si>
  <si>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</si>
  <si>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</si>
  <si>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</si>
  <si>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</si>
  <si>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</si>
  <si>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</si>
  <si>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</si>
  <si>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</si>
  <si>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</si>
  <si>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</si>
  <si>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</si>
  <si>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</si>
  <si>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</si>
  <si>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</si>
  <si>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</si>
  <si>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</si>
  <si>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</si>
  <si>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</si>
  <si>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</si>
  <si>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</si>
  <si>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</si>
  <si>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</si>
  <si>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</si>
  <si>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</si>
  <si>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</si>
  <si>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</si>
  <si>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</si>
  <si>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</si>
  <si>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</si>
  <si>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</si>
  <si>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</si>
  <si>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</si>
  <si>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</si>
  <si>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</si>
  <si>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</si>
  <si>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</si>
  <si>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</si>
  <si>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</si>
  <si>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</si>
  <si>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</si>
  <si>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</si>
  <si>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</si>
  <si>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</si>
  <si>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</si>
  <si>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</si>
  <si>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</si>
  <si>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</si>
  <si>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</si>
  <si>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</si>
  <si>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</si>
  <si>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</si>
  <si>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</si>
  <si>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</si>
  <si>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</si>
  <si>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</si>
  <si>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</si>
  <si>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</si>
  <si>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</si>
  <si>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</si>
  <si>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</si>
  <si>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</si>
  <si>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</si>
  <si>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</si>
  <si>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</si>
  <si>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</si>
  <si>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</si>
  <si>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</si>
  <si>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</si>
  <si>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</si>
  <si>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</si>
  <si>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</si>
  <si>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</si>
  <si>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</si>
  <si>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</si>
  <si>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</si>
  <si>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</si>
  <si>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</si>
  <si>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</si>
  <si>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</si>
  <si>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</si>
  <si>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</si>
  <si>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</si>
  <si>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</si>
  <si>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</si>
  <si>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</si>
  <si>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</si>
  <si>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</si>
  <si>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</si>
  <si>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</si>
  <si>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</si>
  <si>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</si>
  <si>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</si>
  <si>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</si>
  <si>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</si>
  <si>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</si>
  <si>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</si>
  <si>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</si>
  <si>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</si>
  <si>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</si>
  <si>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</si>
  <si>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</si>
  <si>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</si>
  <si>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</si>
  <si>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</si>
  <si>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</si>
  <si>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</si>
  <si>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</si>
  <si>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</si>
  <si>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</si>
  <si>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</si>
  <si>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</si>
  <si>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</si>
  <si>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</si>
  <si>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</si>
  <si>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</si>
  <si>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</si>
  <si>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</si>
  <si>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</si>
  <si>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</si>
  <si>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</si>
  <si>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</si>
  <si>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</si>
  <si>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</si>
  <si>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</si>
  <si>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</si>
  <si>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</si>
  <si>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</si>
  <si>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</si>
  <si>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</si>
  <si>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</si>
  <si>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</si>
  <si>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</si>
  <si>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</si>
  <si>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</si>
  <si>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</si>
  <si>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</si>
  <si>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</si>
  <si>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</si>
  <si>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</si>
  <si>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</si>
  <si>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</si>
  <si>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</si>
  <si>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</si>
  <si>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</si>
  <si>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</si>
  <si>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</si>
  <si>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</si>
  <si>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</si>
  <si>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</si>
  <si>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</si>
  <si>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</si>
  <si>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</si>
  <si>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</si>
  <si>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</si>
  <si>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</si>
  <si>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</si>
  <si>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</si>
  <si>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</si>
  <si>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</si>
  <si>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</si>
  <si>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</si>
  <si>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</si>
  <si>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</si>
  <si>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</si>
  <si>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</si>
  <si>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</si>
  <si>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</si>
  <si>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</si>
  <si>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</si>
  <si>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</si>
  <si>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</si>
  <si>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</si>
  <si>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</si>
  <si>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</si>
  <si>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</si>
  <si>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</si>
  <si>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</si>
  <si>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</si>
  <si>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</si>
  <si>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</si>
  <si>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</si>
  <si>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</si>
  <si>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</si>
  <si>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</si>
  <si>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</si>
  <si>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</si>
  <si>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</si>
  <si>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</si>
  <si>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</si>
  <si>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</si>
  <si>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</si>
  <si>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</si>
  <si>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</si>
  <si>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</si>
  <si>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</si>
  <si>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</si>
  <si>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</si>
  <si>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</si>
  <si>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</si>
  <si>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</si>
  <si>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</si>
  <si>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</si>
  <si>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</si>
  <si>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</si>
  <si>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</si>
  <si>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</si>
  <si>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</si>
  <si>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</si>
  <si>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</si>
  <si>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</si>
  <si>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</si>
  <si>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</si>
  <si>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</si>
  <si>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</si>
  <si>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</si>
  <si>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</si>
  <si>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</si>
  <si>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</si>
  <si>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</si>
  <si>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</si>
  <si>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</si>
  <si>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</si>
  <si>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</si>
  <si>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</si>
  <si>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</si>
  <si>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</si>
  <si>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</si>
  <si>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</si>
  <si>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</si>
  <si>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</si>
  <si>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</si>
  <si>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</si>
  <si>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</si>
  <si>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</si>
  <si>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</si>
  <si>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</si>
  <si>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</si>
  <si>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</si>
  <si>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</si>
  <si>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</si>
  <si>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</si>
  <si>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</si>
  <si>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</si>
  <si>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</si>
  <si>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</si>
  <si>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</si>
  <si>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</si>
  <si>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</si>
  <si>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</si>
  <si>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</si>
  <si>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</si>
  <si>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</si>
  <si>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</si>
  <si>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</si>
  <si>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</si>
  <si>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</si>
  <si>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</si>
  <si>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</si>
  <si>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</si>
  <si>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</si>
  <si>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</si>
  <si>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</si>
  <si>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</si>
  <si>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</si>
  <si>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</si>
  <si>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</si>
  <si>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</si>
  <si>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</si>
  <si>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</si>
  <si>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</si>
  <si>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</si>
  <si>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</si>
  <si>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</si>
  <si>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</si>
  <si>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</si>
  <si>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</si>
  <si>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</si>
  <si>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</si>
  <si>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</si>
  <si>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</si>
  <si>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</si>
  <si>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</si>
  <si>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</si>
  <si>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</si>
  <si>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</si>
  <si>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</si>
  <si>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</si>
  <si>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</si>
  <si>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</si>
  <si>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</si>
  <si>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</si>
  <si>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</si>
  <si>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</si>
  <si>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</si>
  <si>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</si>
  <si>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</si>
  <si>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</si>
  <si>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</si>
  <si>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</si>
  <si>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</si>
  <si>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</si>
  <si>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</si>
  <si>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</si>
  <si>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</si>
  <si>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</si>
  <si>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</si>
  <si>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</si>
  <si>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</si>
  <si>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</si>
  <si>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</si>
  <si>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</si>
  <si>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</si>
  <si>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</si>
  <si>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</si>
  <si>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</si>
  <si>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</si>
  <si>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</si>
  <si>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</si>
  <si>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</si>
  <si>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</si>
  <si>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</si>
  <si>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</si>
  <si>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</si>
  <si>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</si>
  <si>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</si>
  <si>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</si>
  <si>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</si>
  <si>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</si>
  <si>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</si>
  <si>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</si>
  <si>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</si>
  <si>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</si>
  <si>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</si>
  <si>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</si>
  <si>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</si>
  <si>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</si>
  <si>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</si>
  <si>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</si>
  <si>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</si>
  <si>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</si>
  <si>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</si>
  <si>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</si>
  <si>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</si>
  <si>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</si>
  <si>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</si>
  <si>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</si>
  <si>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</si>
  <si>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</si>
  <si>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</si>
  <si>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</si>
  <si>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</si>
  <si>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</si>
  <si>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</si>
  <si>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</si>
  <si>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</si>
  <si>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</si>
  <si>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</si>
  <si>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</si>
  <si>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</si>
  <si>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</si>
  <si>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</si>
  <si>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</si>
  <si>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</si>
  <si>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</si>
  <si>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</si>
  <si>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</si>
  <si>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</si>
  <si>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</si>
  <si>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</si>
  <si>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</si>
  <si>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</si>
  <si>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</si>
  <si>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</si>
  <si>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</si>
  <si>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</si>
  <si>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</si>
  <si>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</si>
  <si>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</si>
  <si>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</si>
  <si>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</si>
  <si>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</si>
  <si>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</si>
  <si>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</si>
  <si>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</si>
  <si>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</si>
  <si>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</si>
  <si>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</si>
  <si>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</si>
  <si>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</si>
  <si>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</si>
  <si>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</si>
  <si>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</si>
  <si>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</si>
  <si>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</si>
  <si>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</si>
  <si>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</si>
  <si>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</si>
  <si>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</si>
  <si>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</si>
  <si>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</si>
  <si>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</si>
  <si>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</si>
  <si>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</si>
  <si>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</si>
  <si>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</si>
  <si>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</si>
  <si>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</si>
  <si>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</si>
  <si>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</si>
  <si>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</si>
  <si>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</si>
  <si>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</si>
  <si>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</si>
  <si>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</si>
  <si>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</si>
  <si>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</si>
  <si>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</si>
  <si>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</si>
  <si>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</si>
  <si>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</si>
  <si>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</si>
  <si>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</si>
  <si>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</si>
  <si>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</si>
  <si>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</si>
  <si>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</si>
  <si>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</si>
  <si>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</si>
  <si>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</si>
  <si>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</si>
  <si>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</si>
  <si>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</si>
  <si>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</si>
  <si>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</si>
  <si>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</si>
  <si>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</si>
  <si>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</si>
  <si>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</si>
  <si>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</si>
  <si>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</si>
  <si>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</si>
  <si>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</si>
  <si>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</si>
  <si>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</si>
  <si>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</si>
  <si>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</si>
  <si>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</si>
  <si>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</si>
  <si>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</si>
  <si>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</si>
  <si>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</si>
  <si>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</si>
  <si>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</si>
  <si>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</si>
  <si>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</si>
  <si>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</si>
  <si>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</si>
  <si>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</si>
  <si>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</si>
  <si>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</si>
  <si>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</si>
  <si>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</si>
  <si>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</si>
  <si>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</si>
  <si>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</si>
  <si>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</si>
  <si>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</si>
  <si>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</si>
  <si>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</si>
  <si>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</si>
  <si>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</si>
  <si>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</si>
  <si>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</si>
  <si>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</si>
  <si>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</si>
  <si>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</si>
  <si>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</si>
  <si>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</si>
  <si>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</si>
  <si>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</si>
  <si>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</si>
  <si>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</si>
  <si>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</si>
  <si>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</si>
  <si>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</si>
  <si>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</si>
  <si>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</si>
  <si>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</si>
  <si>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</si>
  <si>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</si>
  <si>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</si>
  <si>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</si>
  <si>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</si>
  <si>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</si>
  <si>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</si>
  <si>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</si>
  <si>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</si>
  <si>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</si>
  <si>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</si>
  <si>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</si>
  <si>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</si>
  <si>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</si>
  <si>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</si>
  <si>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</si>
  <si>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</si>
  <si>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</si>
  <si>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</si>
  <si>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</si>
  <si>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</si>
  <si>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</si>
  <si>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</si>
  <si>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</si>
  <si>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</si>
  <si>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</si>
  <si>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</si>
  <si>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</si>
  <si>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</si>
  <si>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</si>
  <si>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</si>
  <si>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</si>
  <si>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</si>
  <si>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</si>
  <si>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</si>
  <si>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</si>
  <si>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</si>
  <si>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</si>
  <si>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</si>
  <si>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</si>
  <si>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</si>
  <si>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</si>
  <si>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</si>
  <si>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</si>
  <si>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</si>
  <si>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</si>
  <si>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</si>
  <si>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</si>
  <si>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</si>
  <si>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</si>
  <si>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</si>
  <si>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</si>
  <si>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</si>
  <si>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</si>
  <si>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</si>
  <si>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</si>
  <si>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</si>
  <si>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</si>
  <si>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</si>
  <si>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</si>
  <si>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</si>
  <si>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</si>
  <si>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</si>
  <si>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</si>
  <si>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</si>
  <si>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</si>
  <si>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</si>
  <si>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</si>
  <si>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</si>
  <si>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</si>
  <si>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</si>
  <si>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</si>
  <si>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</si>
  <si>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</si>
  <si>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</si>
  <si>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</si>
  <si>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</si>
  <si>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</si>
  <si>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</si>
  <si>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</si>
  <si>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</si>
  <si>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</si>
  <si>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</si>
  <si>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</si>
  <si>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</si>
  <si>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</si>
  <si>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</si>
  <si>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</si>
  <si>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</si>
  <si>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</si>
  <si>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</si>
  <si>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</si>
  <si>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</si>
  <si>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</si>
  <si>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</si>
  <si>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</si>
  <si>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</si>
  <si>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</si>
  <si>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</si>
  <si>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</si>
  <si>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</si>
  <si>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</si>
  <si>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</si>
  <si>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</si>
  <si>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</si>
  <si>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</si>
  <si>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</si>
  <si>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</si>
  <si>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</si>
  <si>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</si>
  <si>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</si>
  <si>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</si>
  <si>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</si>
  <si>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</si>
  <si>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</si>
  <si>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</si>
  <si>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</si>
  <si>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</si>
  <si>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</si>
  <si>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</si>
  <si>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</si>
  <si>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</si>
  <si>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</si>
  <si>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</si>
  <si>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</si>
  <si>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</si>
  <si>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</si>
  <si>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</si>
  <si>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</si>
  <si>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</si>
  <si>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</si>
  <si>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</si>
  <si>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</si>
  <si>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</si>
  <si>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</si>
  <si>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</si>
  <si>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</si>
  <si>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</si>
  <si>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</si>
  <si>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</si>
  <si>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</si>
  <si>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</si>
  <si>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</si>
  <si>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</si>
  <si>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</si>
  <si>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</si>
  <si>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</si>
  <si>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</si>
  <si>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</si>
  <si>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</si>
  <si>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</si>
  <si>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</si>
  <si>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</si>
  <si>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</si>
  <si>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</si>
  <si>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</si>
  <si>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</si>
  <si>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</si>
  <si>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</si>
  <si>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</si>
  <si>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</si>
  <si>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</si>
  <si>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</si>
  <si>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</si>
  <si>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</si>
  <si>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</si>
  <si>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</si>
  <si>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</si>
  <si>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</si>
  <si>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</si>
  <si>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</si>
  <si>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</si>
  <si>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</si>
  <si>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</si>
  <si>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</si>
  <si>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</si>
  <si>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</si>
  <si>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</si>
  <si>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</si>
  <si>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</si>
  <si>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</si>
  <si>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</si>
  <si>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</si>
  <si>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</si>
  <si>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</si>
  <si>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</si>
  <si>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</si>
  <si>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</si>
  <si>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</si>
  <si>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</si>
  <si>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</si>
  <si>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</si>
  <si>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</si>
  <si>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</si>
  <si>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</si>
  <si>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</si>
  <si>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</si>
  <si>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</si>
  <si>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</si>
  <si>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</si>
  <si>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</si>
  <si>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</si>
  <si>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</si>
  <si>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</si>
  <si>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</si>
  <si>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</si>
  <si>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</si>
  <si>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</si>
  <si>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</si>
  <si>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</si>
  <si>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</si>
  <si>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</si>
  <si>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</si>
  <si>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</si>
  <si>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</si>
  <si>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</si>
  <si>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</si>
  <si>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</si>
  <si>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</si>
  <si>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</si>
  <si>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</si>
  <si>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</si>
  <si>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</si>
  <si>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</si>
  <si>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</si>
  <si>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</si>
  <si>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</si>
  <si>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</si>
  <si>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</si>
  <si>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</si>
  <si>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</si>
  <si>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</si>
  <si>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</si>
  <si>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</si>
  <si>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</si>
  <si>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</si>
  <si>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</si>
  <si>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</si>
  <si>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</si>
  <si>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</si>
  <si>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</si>
  <si>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</si>
  <si>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</si>
  <si>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</si>
  <si>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</si>
  <si>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</si>
  <si>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</si>
  <si>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</si>
  <si>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</si>
  <si>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</si>
  <si>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</si>
  <si>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</si>
  <si>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</si>
  <si>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</si>
  <si>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</si>
  <si>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</si>
  <si>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</si>
  <si>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</si>
  <si>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</si>
  <si>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</si>
  <si>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</si>
  <si>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</si>
  <si>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</si>
  <si>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</si>
  <si>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</si>
  <si>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</si>
  <si>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</si>
  <si>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</si>
  <si>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</si>
  <si>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</si>
  <si>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</si>
  <si>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</si>
  <si>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</si>
  <si>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</si>
  <si>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</si>
  <si>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</si>
  <si>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</si>
  <si>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</si>
  <si>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</si>
  <si>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</si>
  <si>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</si>
  <si>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</si>
  <si>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</si>
  <si>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</si>
  <si>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</si>
  <si>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</si>
  <si>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</si>
  <si>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</si>
  <si>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</si>
  <si>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</si>
  <si>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</si>
  <si>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</si>
  <si>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</si>
  <si>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</si>
  <si>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</si>
  <si>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</si>
  <si>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</si>
  <si>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</si>
  <si>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</si>
  <si>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</si>
  <si>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</si>
  <si>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</si>
  <si>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</si>
  <si>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</si>
  <si>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</si>
  <si>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</si>
  <si>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</si>
  <si>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</si>
  <si>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</si>
  <si>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</si>
  <si>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</si>
  <si>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</si>
  <si>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</si>
  <si>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</si>
  <si>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</si>
  <si>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</si>
  <si>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</si>
  <si>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</si>
  <si>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</si>
  <si>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</si>
  <si>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</si>
  <si>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</si>
  <si>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</si>
  <si>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</si>
  <si>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</si>
  <si>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</si>
  <si>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</si>
  <si>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</si>
  <si>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</si>
  <si>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</si>
  <si>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</si>
  <si>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</si>
  <si>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</si>
  <si>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</si>
  <si>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</si>
  <si>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</si>
  <si>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</si>
  <si>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</si>
  <si>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</si>
  <si>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</si>
  <si>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</si>
  <si>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</si>
  <si>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</si>
  <si>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</si>
  <si>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</si>
  <si>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</si>
  <si>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</si>
  <si>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</si>
  <si>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</si>
  <si>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</si>
  <si>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</si>
  <si>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</si>
  <si>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</si>
  <si>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</si>
  <si>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</si>
  <si>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</si>
  <si>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</si>
  <si>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</si>
  <si>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</si>
  <si>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</si>
  <si>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</si>
  <si>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</si>
  <si>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</si>
  <si>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</si>
  <si>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</si>
  <si>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</si>
  <si>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</si>
  <si>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</si>
  <si>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</si>
  <si>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</si>
  <si>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</si>
  <si>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</si>
  <si>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</si>
  <si>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</si>
  <si>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</si>
  <si>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</si>
  <si>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</si>
  <si>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</si>
  <si>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</si>
  <si>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</si>
  <si>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</si>
  <si>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</si>
  <si>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</si>
  <si>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</si>
  <si>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</si>
  <si>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</si>
  <si>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</si>
  <si>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</si>
  <si>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</si>
  <si>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</si>
  <si>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</si>
  <si>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</si>
  <si>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</si>
  <si>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</si>
  <si>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</si>
  <si>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</si>
  <si>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</si>
  <si>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</si>
  <si>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</si>
  <si>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</si>
  <si>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</si>
  <si>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</si>
  <si>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</si>
  <si>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</si>
  <si>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</si>
  <si>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</si>
  <si>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</si>
  <si>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</si>
  <si>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</si>
  <si>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</si>
  <si>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</si>
  <si>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</si>
  <si>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</si>
  <si>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</si>
  <si>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</si>
  <si>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</si>
  <si>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</si>
  <si>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</si>
  <si>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</si>
  <si>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</si>
  <si>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</si>
  <si>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</si>
  <si>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</si>
  <si>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</si>
  <si>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</si>
  <si>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</si>
  <si>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</si>
  <si>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</si>
  <si>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</si>
  <si>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</si>
  <si>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</si>
  <si>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</si>
  <si>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</si>
  <si>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</si>
  <si>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</si>
  <si>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</si>
  <si>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</si>
  <si>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</si>
  <si>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</si>
  <si>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</si>
  <si>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</si>
  <si>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</si>
  <si>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</si>
  <si>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</si>
  <si>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</si>
  <si>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</si>
  <si>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</si>
  <si>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</si>
  <si>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</si>
  <si>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</si>
  <si>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</si>
  <si>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</si>
  <si>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</si>
  <si>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</si>
  <si>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</si>
  <si>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</si>
  <si>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</si>
  <si>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</si>
  <si>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</si>
  <si>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</si>
  <si>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</si>
  <si>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</si>
  <si>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</si>
  <si>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</si>
  <si>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</si>
  <si>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</si>
  <si>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</si>
  <si>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</si>
  <si>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</si>
  <si>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</si>
  <si>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</si>
  <si>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</si>
  <si>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</si>
  <si>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</si>
  <si>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</si>
  <si>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</si>
  <si>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</si>
  <si>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</si>
  <si>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</si>
  <si>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</si>
  <si>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</si>
  <si>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</si>
  <si>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</si>
  <si>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</si>
  <si>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</si>
  <si>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</si>
  <si>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</si>
  <si>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</si>
  <si>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</si>
  <si>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</si>
  <si>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</si>
  <si>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</si>
  <si>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</si>
  <si>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</si>
  <si>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</si>
  <si>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</si>
  <si>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</si>
  <si>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</si>
  <si>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</si>
  <si>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</si>
  <si>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</si>
  <si>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</si>
  <si>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</si>
  <si>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</si>
  <si>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</si>
  <si>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</si>
  <si>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</si>
  <si>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</si>
  <si>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</si>
  <si>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</si>
  <si>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</si>
  <si>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</si>
  <si>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</si>
  <si>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</si>
  <si>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</si>
  <si>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</si>
  <si>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</si>
  <si>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</si>
  <si>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</si>
  <si>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</si>
  <si>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</si>
  <si>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</si>
  <si>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</si>
  <si>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</si>
  <si>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</si>
  <si>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</si>
  <si>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</si>
  <si>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</si>
  <si>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</si>
  <si>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</si>
  <si>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</si>
  <si>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</si>
  <si>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</si>
  <si>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</si>
  <si>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</si>
  <si>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</si>
  <si>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</si>
  <si>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</si>
  <si>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</si>
  <si>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</si>
  <si>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</si>
  <si>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</si>
  <si>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</si>
  <si>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</si>
  <si>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</si>
  <si>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</si>
  <si>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</si>
  <si>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</si>
  <si>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</si>
  <si>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</si>
  <si>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</si>
  <si>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</si>
  <si>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</si>
  <si>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</si>
  <si>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</si>
  <si>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</si>
  <si>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</si>
  <si>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</si>
  <si>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</si>
  <si>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</si>
  <si>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</si>
  <si>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</si>
  <si>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</si>
  <si>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</si>
  <si>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</si>
  <si>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</si>
  <si>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</si>
  <si>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</si>
  <si>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</si>
  <si>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</si>
  <si>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</si>
  <si>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</si>
  <si>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</si>
  <si>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</si>
  <si>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</si>
  <si>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</si>
  <si>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</si>
  <si>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</si>
  <si>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</si>
  <si>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</si>
  <si>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</si>
  <si>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</si>
  <si>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</si>
  <si>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</si>
  <si>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</si>
  <si>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</si>
  <si>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</si>
  <si>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</si>
  <si>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</si>
  <si>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</si>
  <si>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</si>
  <si>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</si>
  <si>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</si>
  <si>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</si>
  <si>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</si>
  <si>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</si>
  <si>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</si>
  <si>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</si>
  <si>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</si>
  <si>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</si>
  <si>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</si>
  <si>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</si>
  <si>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</si>
  <si>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</si>
  <si>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</si>
  <si>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</si>
  <si>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</si>
  <si>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</si>
  <si>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</si>
  <si>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</si>
  <si>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</si>
  <si>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</si>
  <si>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</si>
  <si>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</si>
  <si>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</si>
  <si>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</si>
  <si>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</si>
  <si>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</si>
  <si>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</si>
  <si>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</si>
  <si>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</si>
  <si>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</si>
  <si>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</si>
  <si>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</si>
  <si>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</si>
  <si>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</si>
  <si>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</si>
  <si>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</si>
  <si>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</si>
  <si>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</si>
  <si>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</si>
  <si>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</si>
  <si>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</si>
  <si>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</si>
  <si>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</si>
  <si>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</si>
  <si>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</si>
  <si>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</si>
  <si>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</si>
  <si>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</si>
  <si>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</si>
  <si>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</si>
  <si>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</si>
  <si>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</si>
  <si>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</si>
  <si>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</si>
  <si>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</si>
  <si>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</si>
  <si>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</si>
  <si>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</si>
  <si>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</si>
  <si>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</si>
  <si>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</si>
  <si>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</si>
  <si>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</si>
  <si>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</si>
  <si>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</si>
  <si>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</si>
  <si>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</si>
  <si>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</si>
  <si>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</si>
  <si>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</si>
  <si>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</si>
  <si>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</si>
  <si>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</si>
  <si>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</si>
  <si>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</si>
  <si>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</si>
  <si>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</si>
  <si>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</si>
  <si>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</si>
  <si>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</si>
  <si>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</si>
  <si>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</si>
  <si>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</si>
  <si>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</si>
  <si>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</si>
  <si>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</si>
  <si>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</si>
  <si>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</si>
  <si>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</si>
  <si>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</si>
  <si>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</si>
  <si>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</si>
  <si>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</si>
  <si>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</si>
  <si>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</si>
  <si>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</si>
  <si>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</si>
  <si>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</si>
  <si>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</si>
  <si>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</si>
  <si>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</si>
  <si>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</si>
  <si>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</si>
  <si>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</si>
  <si>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</si>
  <si>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</si>
  <si>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</si>
  <si>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</si>
  <si>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</si>
  <si>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</si>
  <si>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</si>
  <si>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</si>
  <si>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</si>
  <si>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</si>
  <si>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</si>
  <si>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</si>
  <si>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</si>
  <si>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</si>
  <si>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</si>
  <si>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</si>
  <si>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</si>
  <si>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</si>
  <si>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</si>
  <si>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</si>
  <si>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</si>
  <si>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</si>
  <si>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</si>
  <si>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</si>
  <si>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</si>
  <si>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</si>
  <si>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</si>
  <si>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</si>
  <si>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</si>
  <si>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</si>
  <si>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</si>
  <si>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</si>
  <si>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</si>
  <si>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</si>
  <si>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</si>
  <si>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</si>
  <si>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</si>
  <si>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</si>
  <si>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</si>
  <si>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</si>
  <si>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</si>
  <si>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</si>
  <si>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</si>
  <si>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</si>
  <si>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</si>
  <si>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</si>
  <si>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</si>
  <si>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</si>
  <si>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</si>
  <si>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</si>
  <si>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</si>
  <si>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</si>
  <si>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</si>
  <si>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</si>
  <si>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</si>
  <si>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</si>
  <si>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</si>
  <si>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</si>
  <si>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</si>
  <si>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</si>
  <si>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</si>
  <si>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</si>
  <si>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</si>
  <si>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</si>
  <si>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</si>
  <si>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</si>
  <si>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</si>
  <si>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</si>
  <si>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</si>
  <si>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</si>
  <si>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</si>
  <si>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</si>
  <si>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</si>
  <si>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</si>
  <si>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</si>
  <si>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</si>
  <si>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</si>
  <si>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</si>
  <si>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</si>
  <si>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</si>
  <si>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</si>
  <si>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</si>
  <si>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</si>
  <si>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</si>
  <si>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</si>
  <si>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</si>
  <si>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</si>
  <si>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</si>
  <si>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</si>
  <si>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</si>
  <si>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</si>
  <si>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</si>
  <si>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</si>
  <si>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</si>
  <si>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</si>
  <si>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</si>
  <si>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</si>
  <si>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</si>
  <si>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</si>
  <si>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</si>
  <si>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</si>
  <si>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</si>
  <si>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</si>
  <si>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</si>
  <si>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</si>
  <si>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</si>
  <si>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</si>
  <si>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</si>
  <si>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</si>
  <si>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</si>
  <si>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</si>
  <si>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</si>
  <si>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</si>
  <si>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</si>
  <si>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</si>
  <si>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</si>
  <si>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</si>
  <si>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</si>
  <si>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</si>
  <si>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</si>
  <si>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</si>
  <si>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</si>
  <si>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</si>
  <si>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</si>
  <si>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</si>
  <si>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</si>
  <si>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</si>
  <si>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</si>
  <si>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</si>
  <si>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</si>
  <si>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</si>
  <si>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</si>
  <si>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</si>
  <si>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</si>
  <si>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</si>
  <si>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</si>
  <si>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</si>
  <si>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</si>
  <si>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</si>
  <si>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</si>
  <si>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</si>
  <si>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</si>
  <si>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</si>
  <si>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</si>
  <si>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</si>
  <si>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</si>
  <si>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</si>
  <si>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</si>
  <si>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</si>
  <si>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</si>
  <si>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</si>
  <si>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</si>
  <si>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</si>
  <si>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</si>
  <si>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</si>
  <si>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</si>
  <si>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</si>
  <si>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</si>
  <si>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</si>
  <si>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</si>
  <si>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</si>
  <si>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</si>
  <si>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</si>
  <si>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</si>
  <si>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</si>
  <si>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</si>
  <si>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</si>
  <si>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</si>
  <si>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</si>
  <si>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</si>
  <si>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</si>
  <si>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</si>
  <si>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</si>
  <si>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</si>
  <si>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</si>
  <si>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</si>
  <si>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</si>
  <si>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</si>
  <si>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</si>
  <si>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</si>
  <si>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</si>
  <si>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</si>
  <si>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</si>
  <si>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</si>
  <si>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</si>
  <si>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</si>
  <si>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</si>
  <si>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</si>
  <si>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</si>
  <si>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</si>
  <si>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</si>
  <si>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</si>
  <si>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</si>
  <si>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</si>
  <si>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</si>
  <si>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</si>
  <si>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</si>
  <si>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</si>
  <si>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</si>
  <si>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</si>
  <si>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</si>
  <si>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</si>
  <si>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</si>
  <si>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</si>
  <si>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</si>
  <si>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</si>
  <si>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</si>
  <si>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</si>
  <si>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</si>
  <si>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</si>
  <si>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</si>
  <si>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</si>
  <si>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</si>
  <si>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</si>
  <si>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</si>
  <si>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</si>
  <si>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</si>
  <si>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</si>
  <si>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</si>
  <si>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</si>
  <si>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</si>
  <si>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</si>
  <si>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</si>
  <si>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</si>
  <si>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</si>
  <si>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</si>
  <si>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</si>
  <si>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</si>
  <si>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</si>
  <si>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</si>
  <si>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</si>
  <si>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</si>
  <si>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</si>
  <si>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</si>
  <si>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</si>
  <si>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</si>
  <si>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</si>
  <si>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</si>
  <si>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</si>
  <si>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</si>
  <si>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</si>
  <si>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</si>
  <si>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</si>
  <si>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</si>
  <si>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</si>
  <si>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</si>
  <si>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</si>
  <si>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</si>
  <si>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</si>
  <si>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</si>
  <si>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</si>
  <si>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</si>
  <si>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</si>
  <si>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</si>
  <si>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</si>
  <si>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</si>
  <si>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</si>
  <si>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</si>
  <si>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</si>
  <si>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</si>
  <si>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</si>
  <si>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</si>
  <si>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</si>
  <si>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</si>
  <si>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</si>
  <si>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</si>
  <si>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</si>
  <si>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</si>
  <si>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</si>
  <si>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</si>
  <si>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</si>
  <si>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</si>
  <si>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</si>
  <si>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</si>
  <si>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</si>
  <si>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</si>
  <si>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</si>
  <si>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</si>
  <si>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</si>
  <si>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</si>
  <si>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</si>
  <si>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</si>
  <si>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</si>
  <si>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</si>
  <si>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</si>
  <si>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</si>
  <si>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</si>
  <si>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</si>
  <si>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</si>
  <si>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</si>
  <si>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</si>
  <si>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</si>
  <si>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</si>
  <si>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</si>
  <si>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</si>
  <si>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</si>
  <si>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</si>
  <si>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</si>
  <si>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</si>
  <si>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</si>
  <si>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</si>
  <si>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</si>
  <si>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</si>
  <si>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</si>
  <si>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</si>
  <si>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</si>
  <si>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</si>
  <si>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</si>
  <si>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</si>
  <si>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</si>
  <si>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</si>
  <si>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</si>
  <si>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</si>
  <si>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</si>
  <si>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</si>
  <si>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</si>
  <si>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</si>
  <si>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</si>
  <si>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</si>
  <si>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</si>
  <si>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</si>
  <si>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</si>
  <si>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</si>
  <si>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</si>
  <si>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</si>
  <si>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</si>
  <si>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</si>
  <si>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</si>
  <si>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</si>
  <si>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</si>
  <si>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</si>
  <si>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</si>
  <si>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</si>
  <si>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</si>
  <si>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</si>
  <si>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</si>
  <si>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</si>
  <si>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</si>
  <si>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</si>
  <si>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</si>
  <si>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</si>
  <si>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</si>
  <si>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</si>
  <si>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</si>
  <si>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</si>
  <si>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</si>
  <si>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</si>
  <si>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</si>
  <si>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</si>
  <si>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</si>
  <si>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</si>
  <si>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</si>
  <si>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</si>
  <si>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</si>
  <si>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</si>
  <si>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</si>
  <si>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</si>
  <si>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</si>
  <si>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</si>
  <si>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</si>
  <si>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</si>
  <si>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</si>
  <si>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</si>
  <si>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</si>
  <si>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</si>
  <si>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</si>
  <si>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</si>
  <si>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</si>
  <si>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</si>
  <si>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</si>
  <si>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</si>
  <si>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</si>
  <si>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</si>
  <si>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</si>
  <si>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</si>
  <si>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</si>
  <si>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</si>
  <si>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</si>
  <si>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</si>
  <si>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</si>
  <si>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</si>
  <si>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</si>
  <si>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</si>
  <si>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</si>
  <si>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</si>
  <si>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</si>
  <si>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</si>
  <si>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</si>
  <si>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</si>
  <si>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</si>
  <si>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</si>
  <si>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</si>
  <si>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</si>
  <si>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</si>
  <si>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</si>
  <si>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</si>
  <si>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</si>
  <si>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</si>
  <si>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</si>
  <si>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</si>
  <si>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</si>
  <si>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</si>
  <si>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</si>
  <si>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</si>
  <si>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</si>
  <si>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</si>
  <si>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</si>
  <si>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</si>
  <si>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</si>
  <si>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</si>
  <si>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</si>
  <si>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</si>
  <si>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</si>
  <si>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</si>
  <si>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</si>
  <si>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</si>
  <si>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</si>
  <si>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</si>
  <si>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</si>
  <si>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</si>
  <si>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</si>
  <si>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</si>
  <si>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</si>
  <si>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</si>
  <si>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</si>
  <si>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</si>
  <si>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</si>
  <si>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</si>
  <si>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</si>
  <si>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</si>
  <si>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</si>
  <si>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</si>
  <si>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</si>
  <si>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</si>
  <si>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</si>
  <si>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</si>
  <si>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</si>
  <si>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</si>
  <si>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</si>
  <si>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</si>
  <si>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</si>
  <si>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</si>
  <si>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</si>
  <si>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</si>
  <si>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</si>
  <si>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</si>
  <si>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</si>
  <si>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</si>
  <si>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</si>
  <si>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</si>
  <si>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</si>
  <si>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</si>
  <si>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</si>
  <si>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</si>
  <si>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</si>
  <si>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</si>
  <si>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</si>
  <si>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</si>
  <si>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</si>
  <si>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</si>
  <si>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</si>
  <si>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</si>
  <si>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</si>
  <si>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</si>
  <si>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</si>
  <si>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</si>
  <si>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</si>
  <si>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</si>
  <si>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</si>
  <si>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</si>
  <si>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</si>
  <si>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</si>
  <si>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</si>
  <si>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</si>
  <si>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</si>
  <si>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</si>
  <si>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</si>
  <si>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</si>
  <si>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</si>
  <si>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</si>
  <si>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</si>
  <si>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</si>
  <si>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</si>
  <si>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</si>
  <si>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</si>
  <si>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</si>
  <si>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</si>
  <si>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</si>
  <si>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</si>
  <si>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</si>
  <si>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</si>
  <si>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</si>
  <si>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</si>
  <si>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</si>
  <si>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</si>
  <si>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</si>
  <si>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</si>
  <si>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</si>
  <si>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</si>
  <si>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</si>
  <si>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</si>
  <si>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</si>
  <si>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</si>
  <si>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</si>
  <si>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</si>
  <si>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</si>
  <si>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</si>
  <si>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</si>
  <si>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</si>
  <si>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</si>
  <si>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</si>
  <si>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</si>
  <si>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</si>
  <si>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</si>
  <si>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</si>
  <si>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</si>
  <si>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</si>
  <si>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</si>
  <si>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</si>
  <si>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</si>
  <si>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</si>
  <si>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</si>
  <si>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</si>
  <si>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</si>
  <si>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</si>
  <si>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</si>
  <si>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</si>
  <si>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</si>
  <si>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</si>
  <si>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</si>
  <si>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</si>
  <si>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</si>
  <si>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</si>
  <si>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</si>
  <si>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</si>
  <si>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</si>
  <si>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</si>
  <si>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</si>
  <si>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</si>
  <si>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</si>
  <si>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</si>
  <si>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</si>
  <si>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</si>
  <si>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</si>
  <si>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</si>
  <si>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</si>
  <si>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</si>
  <si>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</si>
  <si>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</si>
  <si>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</si>
  <si>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</si>
  <si>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</si>
  <si>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</si>
  <si>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</si>
  <si>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</si>
  <si>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</si>
  <si>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</si>
  <si>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</si>
  <si>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</si>
  <si>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</si>
  <si>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</si>
  <si>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</si>
  <si>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</si>
  <si>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</si>
  <si>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</si>
  <si>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</si>
  <si>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</si>
  <si>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</si>
  <si>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</si>
  <si>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</si>
  <si>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</si>
  <si>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</si>
  <si>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</si>
  <si>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</si>
  <si>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</si>
  <si>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</si>
  <si>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</si>
  <si>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</si>
  <si>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</si>
  <si>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</si>
  <si>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</si>
  <si>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</si>
  <si>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</si>
  <si>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</si>
  <si>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</si>
  <si>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</si>
  <si>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</si>
  <si>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</si>
  <si>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</si>
  <si>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</si>
  <si>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</si>
  <si>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</si>
  <si>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</si>
  <si>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</si>
  <si>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</si>
  <si>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</si>
  <si>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</si>
  <si>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</si>
  <si>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</si>
  <si>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</si>
  <si>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</si>
  <si>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</si>
  <si>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</si>
  <si>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</si>
  <si>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</si>
  <si>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</si>
  <si>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</si>
  <si>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</si>
  <si>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</si>
  <si>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</si>
  <si>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</si>
  <si>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</si>
  <si>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</si>
  <si>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</si>
  <si>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</si>
  <si>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</si>
  <si>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</si>
  <si>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</si>
  <si>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</si>
  <si>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</si>
  <si>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</si>
  <si>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</si>
  <si>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</si>
  <si>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</si>
  <si>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</si>
  <si>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</si>
  <si>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</si>
  <si>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</si>
  <si>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</si>
  <si>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</si>
  <si>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</si>
  <si>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</si>
  <si>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</si>
  <si>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</si>
  <si>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</si>
  <si>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</si>
  <si>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</si>
  <si>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</si>
  <si>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</si>
  <si>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</si>
  <si>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</si>
  <si>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</si>
  <si>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</si>
  <si>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</si>
  <si>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</si>
  <si>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</si>
  <si>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</si>
  <si>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</si>
  <si>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</si>
  <si>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</si>
  <si>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</si>
  <si>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</si>
  <si>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</si>
  <si>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</si>
  <si>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</si>
  <si>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</si>
  <si>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</si>
  <si>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</si>
  <si>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</si>
  <si>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</si>
  <si>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</si>
  <si>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</si>
  <si>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</si>
  <si>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</si>
  <si>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</si>
  <si>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</si>
  <si>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</si>
  <si>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</si>
  <si>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</si>
  <si>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</si>
  <si>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</si>
  <si>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</si>
  <si>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</si>
  <si>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</si>
  <si>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</si>
  <si>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</si>
  <si>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</si>
  <si>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</si>
  <si>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</si>
  <si>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</si>
  <si>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</si>
  <si>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</si>
  <si>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</si>
  <si>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</si>
  <si>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</si>
  <si>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</si>
  <si>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</si>
  <si>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</si>
  <si>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</si>
  <si>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</si>
  <si>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</si>
  <si>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</si>
  <si>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</si>
  <si>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</si>
  <si>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</si>
  <si>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</si>
  <si>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</si>
  <si>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</si>
  <si>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</si>
  <si>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</si>
  <si>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</si>
  <si>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</si>
  <si>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</si>
  <si>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</si>
  <si>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</si>
  <si>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</si>
  <si>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</si>
  <si>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</si>
  <si>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</si>
  <si>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</si>
  <si>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</si>
  <si>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</si>
  <si>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</si>
  <si>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</si>
  <si>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</si>
  <si>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</si>
  <si>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</si>
  <si>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</si>
  <si>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</si>
  <si>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</si>
  <si>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</si>
  <si>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</si>
  <si>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</si>
  <si>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</si>
  <si>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</si>
  <si>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</si>
  <si>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</si>
  <si>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</si>
  <si>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</si>
  <si>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</si>
  <si>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</si>
  <si>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</si>
  <si>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</si>
  <si>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</si>
  <si>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</si>
  <si>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</si>
  <si>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</si>
  <si>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</si>
  <si>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</si>
  <si>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</si>
  <si>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</si>
  <si>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</si>
  <si>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</si>
  <si>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</si>
  <si>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</si>
  <si>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</si>
  <si>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</si>
  <si>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</si>
  <si>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</si>
  <si>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</si>
  <si>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</si>
  <si>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</si>
  <si>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</si>
  <si>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</si>
  <si>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</si>
  <si>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</si>
  <si>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</si>
  <si>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</si>
  <si>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</si>
  <si>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</si>
  <si>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</si>
  <si>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</si>
  <si>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</si>
  <si>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</si>
  <si>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</si>
  <si>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</si>
  <si>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</si>
  <si>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</si>
  <si>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</si>
  <si>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</si>
  <si>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</si>
  <si>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</si>
  <si>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</si>
  <si>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</si>
  <si>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</si>
  <si>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</si>
  <si>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</si>
  <si>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</si>
  <si>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</si>
  <si>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</si>
  <si>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</si>
  <si>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</si>
  <si>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</si>
  <si>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</si>
  <si>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</si>
  <si>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</si>
  <si>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</si>
  <si>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</si>
  <si>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</si>
  <si>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</si>
  <si>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</si>
  <si>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</si>
  <si>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</si>
  <si>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</si>
  <si>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</si>
  <si>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</si>
  <si>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</si>
  <si>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</si>
  <si>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</si>
  <si>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</si>
  <si>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</si>
  <si>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</si>
  <si>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</si>
  <si>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</si>
  <si>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</si>
  <si>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</si>
  <si>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</si>
  <si>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</si>
  <si>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</si>
  <si>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</si>
  <si>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</si>
  <si>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</si>
  <si>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</si>
  <si>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</si>
  <si>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</si>
  <si>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</si>
  <si>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</si>
  <si>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</si>
  <si>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</si>
  <si>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</si>
  <si>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</si>
  <si>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</si>
  <si>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</si>
  <si>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</si>
  <si>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</si>
  <si>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</si>
  <si>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</si>
  <si>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</si>
  <si>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</si>
  <si>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</si>
  <si>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</si>
  <si>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</si>
  <si>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</si>
  <si>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</si>
  <si>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</si>
  <si>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</si>
  <si>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</si>
  <si>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</si>
  <si>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</si>
  <si>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</si>
  <si>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</si>
  <si>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</si>
  <si>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</si>
  <si>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</si>
  <si>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</si>
  <si>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</si>
  <si>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</si>
  <si>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</si>
  <si>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</si>
  <si>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</si>
  <si>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</si>
  <si>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</si>
  <si>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</si>
  <si>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</si>
  <si>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</si>
  <si>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</si>
  <si>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</si>
  <si>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</si>
  <si>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</si>
  <si>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</si>
  <si>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</si>
  <si>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</si>
  <si>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</si>
  <si>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</si>
  <si>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</si>
  <si>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</si>
  <si>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</si>
  <si>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</si>
  <si>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</si>
  <si>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</si>
  <si>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</si>
  <si>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</si>
  <si>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</si>
  <si>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</si>
  <si>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</si>
  <si>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</si>
  <si>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</si>
  <si>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</si>
  <si>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</si>
  <si>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</si>
  <si>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</si>
  <si>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</si>
  <si>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</si>
  <si>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</si>
  <si>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</si>
  <si>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</si>
  <si>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</si>
  <si>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</si>
  <si>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</si>
  <si>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</si>
  <si>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</si>
  <si>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</si>
  <si>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</si>
  <si>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</si>
  <si>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</si>
  <si>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</si>
  <si>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</si>
  <si>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</si>
  <si>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</si>
  <si>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</si>
  <si>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</si>
  <si>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</si>
  <si>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</si>
  <si>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</si>
  <si>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</si>
  <si>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</si>
  <si>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</si>
  <si>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</si>
  <si>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</si>
  <si>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</si>
  <si>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</si>
  <si>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</si>
  <si>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</si>
  <si>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</si>
  <si>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</si>
  <si>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</si>
  <si>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</si>
  <si>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</si>
  <si>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</si>
  <si>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</si>
  <si>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</si>
  <si>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</si>
  <si>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</si>
  <si>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</si>
  <si>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</si>
  <si>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</si>
  <si>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</si>
  <si>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</si>
  <si>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</si>
  <si>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</si>
  <si>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</si>
  <si>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</si>
  <si>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</si>
  <si>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</si>
  <si>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</si>
  <si>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</si>
  <si>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</si>
  <si>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</si>
  <si>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</si>
  <si>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</si>
  <si>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</si>
  <si>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</si>
  <si>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</si>
  <si>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</si>
  <si>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</si>
  <si>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</si>
  <si>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</si>
  <si>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</si>
  <si>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</si>
  <si>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</si>
  <si>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</si>
  <si>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</si>
  <si>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</si>
  <si>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</si>
  <si>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</si>
  <si>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</si>
  <si>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</si>
  <si>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</si>
  <si>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</si>
  <si>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地上</t>
  </si>
  <si>
    <t>是</t>
  </si>
  <si>
    <t>成新度</t>
  </si>
  <si>
    <t>收益法 (元)</t>
  </si>
  <si>
    <t>押一</t>
  </si>
  <si>
    <t>钢混</t>
  </si>
  <si>
    <t>非生产用房</t>
  </si>
  <si>
    <t>否</t>
  </si>
  <si>
    <t>Ⅶ-房1</t>
  </si>
  <si>
    <t>自定义容积率</t>
  </si>
  <si>
    <t>不临65条商业街</t>
  </si>
  <si>
    <t>通路</t>
  </si>
  <si>
    <t>通电</t>
  </si>
  <si>
    <t>通讯</t>
  </si>
  <si>
    <t>通上水</t>
  </si>
  <si>
    <t>通下水</t>
  </si>
  <si>
    <t>平整</t>
  </si>
  <si>
    <t>与级别开发程度不一致</t>
  </si>
  <si>
    <t>按公示增长率计算</t>
  </si>
  <si>
    <t>中心城区以外</t>
  </si>
  <si>
    <t>楼层修正</t>
  </si>
  <si>
    <t>一般</t>
  </si>
  <si>
    <t>较好</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</si>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</sst>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估价对象为北京市房地产，为所有。根据《国有土地使用证》[]，估价对象（分摊）出让国有建设用地使用权面积为0平方米，建筑面积为1428.88平方米。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估价对象为北京市房地产,属开发建设的，该项目尚在开发建设中。根据《国有土地使用证》[]，估价对象（分摊）出让国有建设用地使用权面积为0平方米，规划建筑面积为1428.88平方米。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2025年12月12日</v>
      </c>
    </row>
    <row r="13" spans="1:2" s="1203" customFormat="1">
      <c r="A13" s="1201" t="s">
        <v>529</v>
      </c>
      <c r="B13" s="1202"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1428.88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46003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1.01</v>
      </c>
      <c r="D5" s="3025">
        <f>IF(ISERROR(ROUND(POWER(1+E5,A5-C5)*(POWER(1+E5,C5)-1)/(POWER(1+E5,A5)-1),3)),0,ROUND(POWER(1+E5,A5-C5)*(POWER(1+E5,C5)-1)/(POWER(1+E5,A5)-1),4))</f>
        <v>4.9099999999999998E-2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11.02</v>
      </c>
      <c r="D6" s="3025">
        <f>IF(ISERROR(ROUND(POWER(1+E6,A6-C6)*(POWER(1+E6,C6)-1)/(POWER(1+E6,A6)-1),3)),0,ROUND(POWER(1+E6,A6-C6)*(POWER(1+E6,C6)-1)/(POWER(1+E6,A6)-1),4))</f>
        <v>0.40839999999999999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31.04</v>
      </c>
      <c r="D7" s="3025">
        <f>IF(ISERROR(ROUND(POWER(1+E7,A7-C7)*(POWER(1+E7,C7)-1)/(POWER(1+E7,A7)-1),3)),0,ROUND(POWER(1+E7,A7-C7)*(POWER(1+E7,C7)-1)/(POWER(1+E7,A7)-1),4))</f>
        <v>0.75229999999999997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J35" sqref="J3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46003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23"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24"/>
      <c r="E9" s="2394" t="s">
        <v>43</v>
      </c>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31.96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1428.88</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3428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1428.88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1428.88</v>
      </c>
      <c r="H5" s="13">
        <f t="shared" ref="H5:AT5" si="0">SUM(H13:H656)</f>
        <v>1428.88</v>
      </c>
      <c r="I5" s="13">
        <f t="shared" si="0"/>
        <v>1428.88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1428.88</v>
      </c>
      <c r="BA5" s="15">
        <f t="shared" si="1"/>
        <v>1428.88</v>
      </c>
      <c r="BB5" s="15">
        <f t="shared" si="1"/>
        <v>1428.88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401</v>
      </c>
      <c r="D13" s="1625" t="s">
        <v>3421</v>
      </c>
      <c r="E13" s="13">
        <f>IF($C$3="是",ROUND($A$3*G13/$B$3,2),ROUND($A$3*(G13-AT13)/$B$3,2))</f>
        <v>0</v>
      </c>
      <c r="F13" s="29"/>
      <c r="G13" s="30">
        <f>H13+AC13+AT13</f>
        <v>714.44</v>
      </c>
      <c r="H13" s="17">
        <f>SUMIF(I$12:AB$12,"总值",I13:AB13)</f>
        <v>714.44</v>
      </c>
      <c r="I13" s="1626">
        <v>714.44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401</v>
      </c>
      <c r="AY13" s="1349">
        <f>ROUND($AY$6*AZ13/$AZ$5,2)</f>
        <v>0</v>
      </c>
      <c r="AZ13" s="13">
        <f>BA13+BL13</f>
        <v>714.44</v>
      </c>
      <c r="BA13" s="13">
        <f>SUM(BB13:BK13)</f>
        <v>714.44</v>
      </c>
      <c r="BB13" s="13">
        <f>IF($D13="是",I13-J13,0)</f>
        <v>714.44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501</v>
      </c>
      <c r="D14" s="1625" t="s">
        <v>3421</v>
      </c>
      <c r="E14" s="13">
        <f>IF($C$3="是",ROUND($A$3*G14/$B$3,2),ROUND($A$3*(G14-AT14)/$B$3,2))</f>
        <v>0</v>
      </c>
      <c r="F14" s="29"/>
      <c r="G14" s="30">
        <f>H14+AC14+AT14</f>
        <v>714.44</v>
      </c>
      <c r="H14" s="17">
        <f>SUMIF(I$12:AB$12,"总值",I14:AB14)</f>
        <v>714.44</v>
      </c>
      <c r="I14" s="1626">
        <v>714.44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501</v>
      </c>
      <c r="AY14" s="1349">
        <f>ROUND($AY$6*AZ14/$AZ$5,2)</f>
        <v>0</v>
      </c>
      <c r="AZ14" s="13">
        <f>BA14+BL14</f>
        <v>714.44</v>
      </c>
      <c r="BA14" s="13">
        <f>SUM(BB14:BK14)</f>
        <v>714.44</v>
      </c>
      <c r="BB14" s="13">
        <f>IF($D14="是",I14-J14,0)</f>
        <v>714.44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1428.88</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1428.88</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1428.88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1428.88</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401</v>
      </c>
      <c r="D19" s="45">
        <f>ROUND($D$3*E19/$E$3,2)</f>
        <v>0</v>
      </c>
      <c r="E19" s="53">
        <f t="shared" ref="E19:E26" si="1">SUM(F19:G19)</f>
        <v>714.44</v>
      </c>
      <c r="F19" s="2795">
        <f>'数据-基础表'!I13</f>
        <v>714.44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714.44</v>
      </c>
    </row>
    <row r="20" spans="1:19">
      <c r="A20" s="1670"/>
      <c r="B20" s="47" t="s">
        <v>1153</v>
      </c>
      <c r="C20" s="3417">
        <v>501</v>
      </c>
      <c r="D20" s="45">
        <f t="shared" ref="D20:D26" si="6">ROUND($D$3*E20/$E$3,2)</f>
        <v>0</v>
      </c>
      <c r="E20" s="53">
        <f t="shared" si="1"/>
        <v>714.44</v>
      </c>
      <c r="F20" s="2795">
        <f>'数据-基础表'!I14</f>
        <v>714.44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714.44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1428.88</v>
      </c>
      <c r="F27" s="1140">
        <f>IF(SUM(F19:F26)=E8,SUM(F19:F26),"地上面积有误")</f>
        <v>1428.88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1428.88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1428.88</v>
      </c>
      <c r="F31" s="677">
        <f>F27+F30</f>
        <v>1428.88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M11" sqref="AM1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401</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31.96</v>
      </c>
      <c r="G6" s="65">
        <f>IF(ISERROR(ROUND(POWER(1+H6,D6-F6)*(POWER(1+H6,F6)-1)/(POWER(1+H6,D6)-1),3)),0,ROUND(POWER(1+H6,D6-F6)*(POWER(1+H6,F6)-1)/(POWER(1+H6,D6)-1),3))</f>
        <v>0.92</v>
      </c>
      <c r="H6" s="732">
        <v>0.05</v>
      </c>
      <c r="I6" s="732">
        <v>5.5E-2</v>
      </c>
      <c r="J6" s="66">
        <v>7.0000000000000007E-2</v>
      </c>
      <c r="K6" s="1030">
        <f>SUMIF('数据-汇总表'!C$19:C$33,A6,'数据-汇总表'!E$19:E$33)</f>
        <v>714.44</v>
      </c>
      <c r="L6" s="733">
        <v>4000</v>
      </c>
      <c r="M6" s="67">
        <f t="shared" ref="M6:M14" si="0">ROUND(K6*L6/10000,0)</f>
        <v>286</v>
      </c>
      <c r="N6" s="731">
        <f>ROUND(1-(2025-2020)/60,2)</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0.02</v>
      </c>
      <c r="W6" s="70">
        <v>0.15</v>
      </c>
      <c r="X6" s="1040"/>
      <c r="Y6" s="71">
        <f>N6</f>
        <v>0.92</v>
      </c>
      <c r="Z6" s="72"/>
      <c r="AA6" s="66"/>
      <c r="AB6" s="66"/>
      <c r="AC6" s="1040"/>
      <c r="AD6" s="73"/>
      <c r="AE6" s="1041">
        <f ca="1">IF(AN6="",0,SUMIF(INDIRECT("'"&amp;AN6&amp;"'"&amp;"!E:E"),$AE$5,INDIRECT("'"&amp;AN6&amp;"'"&amp;"!F:F")))</f>
        <v>31.96</v>
      </c>
      <c r="AF6" s="1348"/>
      <c r="AG6" s="138">
        <f>IF(AF6="",0,AE6-AF6)</f>
        <v>0</v>
      </c>
      <c r="AH6" s="74"/>
      <c r="AI6" s="76">
        <v>365</v>
      </c>
      <c r="AJ6" s="77"/>
      <c r="AK6" s="78">
        <v>2E-3</v>
      </c>
      <c r="AL6" s="79">
        <v>1E-3</v>
      </c>
      <c r="AM6" s="80">
        <v>5.0000000000000001E-3</v>
      </c>
      <c r="AN6" s="1715" t="s">
        <v>3423</v>
      </c>
      <c r="AO6" s="52">
        <f ca="1">SUMIF(INDIRECT("'"&amp;AN6&amp;"'"&amp;"!A:A"),"总价",INDIRECT("'"&amp;AN6&amp;"'"&amp;"!B:B"))</f>
        <v>686.81449999999995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501</v>
      </c>
      <c r="B7" s="1713" t="str">
        <f t="shared" ref="B7:B13" si="1">IF(A7=0,"","经营性")</f>
        <v>经营性</v>
      </c>
      <c r="C7" s="1714" t="s">
        <v>673</v>
      </c>
      <c r="D7" s="858">
        <f>SUMIF(项目基本情况!C$12:I$12,C7,项目基本情况!C$14:I$14)</f>
        <v>40</v>
      </c>
      <c r="E7" s="857">
        <f>IF(B7="","",SUMIF(项目基本情况!C$12:I$12,C7,项目基本情况!C$13:I$13))</f>
        <v>57671</v>
      </c>
      <c r="F7" s="64">
        <f>SUMIF(项目基本情况!C$12:I$12,C7,项目基本情况!C$15:I$15)</f>
        <v>31.96</v>
      </c>
      <c r="G7" s="65">
        <f t="shared" ref="G7:G11" si="2">IF(ISERROR(ROUND(POWER(1+H7,D7-F7)*(POWER(1+H7,F7)-1)/(POWER(1+H7,D7)-1),3)),0,ROUND(POWER(1+H7,D7-F7)*(POWER(1+H7,F7)-1)/(POWER(1+H7,D7)-1),3))</f>
        <v>0.92</v>
      </c>
      <c r="H7" s="732">
        <v>0.05</v>
      </c>
      <c r="I7" s="732">
        <v>5.5E-2</v>
      </c>
      <c r="J7" s="66">
        <v>7.0000000000000007E-2</v>
      </c>
      <c r="K7" s="1030">
        <f>SUMIF('数据-汇总表'!C$19:C$33,A7,'数据-汇总表'!E$19:E$33)</f>
        <v>714.44</v>
      </c>
      <c r="L7" s="733">
        <v>4000</v>
      </c>
      <c r="M7" s="67">
        <f t="shared" si="0"/>
        <v>286</v>
      </c>
      <c r="N7" s="731">
        <f>N6</f>
        <v>0.92</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2</v>
      </c>
      <c r="V7" s="70">
        <v>0.02</v>
      </c>
      <c r="W7" s="70">
        <v>0.15</v>
      </c>
      <c r="X7" s="1040"/>
      <c r="Y7" s="71">
        <f>N7</f>
        <v>0.92</v>
      </c>
      <c r="Z7" s="72"/>
      <c r="AA7" s="66"/>
      <c r="AB7" s="66"/>
      <c r="AC7" s="1040"/>
      <c r="AD7" s="73"/>
      <c r="AE7" s="1041">
        <f t="shared" ref="AE7:AE13" ca="1" si="6">IF(AN7="",0,SUMIF(INDIRECT("'"&amp;AN7&amp;"'"&amp;"!E:E"),$AE$5,INDIRECT("'"&amp;AN7&amp;"'"&amp;"!F:F")))</f>
        <v>31.96</v>
      </c>
      <c r="AF7" s="1348"/>
      <c r="AG7" s="138">
        <f t="shared" ref="AG7:AG13" si="7">IF(AF7="",0,AE7-AF7)</f>
        <v>0</v>
      </c>
      <c r="AH7" s="74"/>
      <c r="AI7" s="76">
        <v>365</v>
      </c>
      <c r="AJ7" s="77"/>
      <c r="AK7" s="78">
        <v>2E-3</v>
      </c>
      <c r="AL7" s="79">
        <v>1E-3</v>
      </c>
      <c r="AM7" s="80">
        <v>5.0000000000000001E-3</v>
      </c>
      <c r="AN7" s="1715" t="s">
        <v>3423</v>
      </c>
      <c r="AO7" s="52">
        <f t="shared" ref="AO7:AO13" ca="1" si="8">SUMIF(INDIRECT("'"&amp;AN7&amp;"'"&amp;"!A:A"),"总价",INDIRECT("'"&amp;AN7&amp;"'"&amp;"!B:B"))</f>
        <v>686.81449999999995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v>
      </c>
      <c r="H16" s="90">
        <f>ROUND(SUMPRODUCT(H6:H13,K6:K13)/SUMPRODUCT((H6:H13&gt;0)*(K6:K13)),3)</f>
        <v>0.05</v>
      </c>
      <c r="I16" s="91"/>
      <c r="J16" s="91"/>
      <c r="K16" s="92">
        <f>SUM(K6:K15)</f>
        <v>1428.88</v>
      </c>
      <c r="L16" s="93">
        <f>ROUND(M16*10000/SUM(K6:K14),0)</f>
        <v>4003</v>
      </c>
      <c r="M16" s="93">
        <f>SUM(M6:M14)</f>
        <v>572</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46003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t="s">
        <v>3446</v>
      </c>
      <c r="D4" s="1756" t="s">
        <v>3423</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7"/>
      <c r="G5" s="1757"/>
      <c r="H5" s="1757"/>
      <c r="I5" s="1373"/>
    </row>
    <row r="6" spans="1:12" ht="12.75">
      <c r="A6" s="3582"/>
      <c r="B6" s="3637"/>
      <c r="C6" s="3642"/>
      <c r="D6" s="3628"/>
      <c r="E6" s="131" t="s">
        <v>1270</v>
      </c>
      <c r="F6" s="1757"/>
      <c r="G6" s="1757"/>
      <c r="H6" s="1757"/>
      <c r="I6" s="1373"/>
    </row>
    <row r="7" spans="1:12" ht="12.75">
      <c r="A7" s="3582"/>
      <c r="B7" s="3637"/>
      <c r="C7" s="3641"/>
      <c r="D7" s="3628"/>
      <c r="E7" s="131" t="s">
        <v>1271</v>
      </c>
      <c r="F7" s="1757"/>
      <c r="G7" s="1757"/>
      <c r="H7" s="1757"/>
      <c r="I7" s="1373"/>
    </row>
    <row r="8" spans="1:12" ht="12.75">
      <c r="A8" s="3582" t="s">
        <v>1272</v>
      </c>
      <c r="B8" s="3637">
        <v>15</v>
      </c>
      <c r="C8" s="3640"/>
      <c r="D8" s="3628"/>
      <c r="E8" s="131" t="s">
        <v>1273</v>
      </c>
      <c r="F8" s="1757"/>
      <c r="G8" s="1757"/>
      <c r="H8" s="1757"/>
      <c r="I8" s="1373"/>
    </row>
    <row r="9" spans="1:12" ht="12.75">
      <c r="A9" s="3582"/>
      <c r="B9" s="3637"/>
      <c r="C9" s="3641"/>
      <c r="D9" s="3628"/>
      <c r="E9" s="131" t="s">
        <v>1274</v>
      </c>
      <c r="F9" s="1757"/>
      <c r="G9" s="1757"/>
      <c r="H9" s="1757"/>
      <c r="I9" s="1373"/>
    </row>
    <row r="10" spans="1:12" ht="12.75">
      <c r="A10" s="3582" t="s">
        <v>1275</v>
      </c>
      <c r="B10" s="3637">
        <v>15</v>
      </c>
      <c r="C10" s="3640"/>
      <c r="D10" s="3628"/>
      <c r="E10" s="131" t="s">
        <v>1276</v>
      </c>
      <c r="F10" s="1757"/>
      <c r="G10" s="1757"/>
      <c r="H10" s="1757"/>
      <c r="I10" s="1373"/>
    </row>
    <row r="11" spans="1:12" ht="12.75">
      <c r="A11" s="3582"/>
      <c r="B11" s="3637"/>
      <c r="C11" s="3641"/>
      <c r="D11" s="3628"/>
      <c r="E11" s="131" t="s">
        <v>1277</v>
      </c>
      <c r="F11" s="1757"/>
      <c r="G11" s="1757"/>
      <c r="H11" s="1757"/>
      <c r="I11" s="1373"/>
    </row>
    <row r="12" spans="1:12" ht="12.75">
      <c r="A12" s="3582" t="s">
        <v>1278</v>
      </c>
      <c r="B12" s="3637">
        <v>15</v>
      </c>
      <c r="C12" s="3640"/>
      <c r="D12" s="3628"/>
      <c r="E12" s="131" t="s">
        <v>1279</v>
      </c>
      <c r="F12" s="1757"/>
      <c r="G12" s="1757"/>
      <c r="H12" s="1757"/>
      <c r="I12" s="1373"/>
    </row>
    <row r="13" spans="1:12" ht="12.75">
      <c r="A13" s="3582"/>
      <c r="B13" s="3637"/>
      <c r="C13" s="3641"/>
      <c r="D13" s="3628"/>
      <c r="E13" s="131" t="s">
        <v>1280</v>
      </c>
      <c r="F13" s="1757"/>
      <c r="G13" s="1757"/>
      <c r="H13" s="1757"/>
      <c r="I13" s="1373"/>
    </row>
    <row r="14" spans="1:12" ht="12.75">
      <c r="A14" s="3582" t="s">
        <v>1281</v>
      </c>
      <c r="B14" s="3637">
        <v>30</v>
      </c>
      <c r="C14" s="3640">
        <v>4</v>
      </c>
      <c r="D14" s="3628">
        <v>6</v>
      </c>
      <c r="E14" s="131" t="s">
        <v>1282</v>
      </c>
      <c r="F14" s="1757"/>
      <c r="G14" s="1757"/>
      <c r="H14" s="1757"/>
      <c r="I14" s="1373"/>
    </row>
    <row r="15" spans="1:12" ht="12.75">
      <c r="A15" s="3582"/>
      <c r="B15" s="3637"/>
      <c r="C15" s="3642"/>
      <c r="D15" s="3628"/>
      <c r="E15" s="131" t="s">
        <v>1283</v>
      </c>
      <c r="F15" s="1757"/>
      <c r="G15" s="1757"/>
      <c r="H15" s="1757"/>
      <c r="I15" s="1373"/>
    </row>
    <row r="16" spans="1:12" ht="12.75">
      <c r="A16" s="3582"/>
      <c r="B16" s="3637"/>
      <c r="C16" s="3641"/>
      <c r="D16" s="362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59" t="s">
        <v>2131</v>
      </c>
      <c r="F18" s="3660"/>
      <c r="G18" s="3660"/>
      <c r="H18" s="3660"/>
      <c r="I18" s="3660"/>
      <c r="K18" s="302" t="s">
        <v>1289</v>
      </c>
      <c r="L18" s="302">
        <f>IF(C1="",'数据-汇总表'!E3,SUMIF(项目类型,C1,'数据-汇总表'!E17:E26)+SUMIF(项目类型,C1,'数据-汇总表'!I17:I26))</f>
        <v>1428.88</v>
      </c>
      <c r="M18" s="302">
        <f>IF(C1="",'数据-汇总表'!E3,SUMIF(项目类型,C1,'数据-汇总表'!E17:E26))</f>
        <v>1428.88</v>
      </c>
    </row>
    <row r="19" spans="1:36" ht="15">
      <c r="A19" s="1761" t="s">
        <v>1290</v>
      </c>
      <c r="B19" s="1762" t="s">
        <v>1291</v>
      </c>
      <c r="C19" s="134">
        <f ca="1">SUMIF(INDIRECT("'"&amp;C4&amp;"'"&amp;"!A:A"),结果表!B19,INDIRECT("'"&amp;C4&amp;"'"&amp;"!B:B"))</f>
        <v>1091.21</v>
      </c>
      <c r="D19" s="135">
        <f ca="1">SUMIF(INDIRECT("'"&amp;D4&amp;"'"&amp;"!A:A"),结果表!B19,INDIRECT("'"&amp;D4&amp;"'"&amp;"!B:B"))</f>
        <v>686.81449999999995</v>
      </c>
      <c r="E19" s="1761" t="s">
        <v>1292</v>
      </c>
      <c r="F19" s="1762" t="s">
        <v>1291</v>
      </c>
      <c r="G19" s="136">
        <f ca="1">ROUND(C19*$C$18+D19*$D$18,0)</f>
        <v>849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15274</v>
      </c>
      <c r="D20" s="138">
        <f ca="1">SUMIF(INDIRECT("'"&amp;D4&amp;"'"&amp;"!A:A"),结果表!B20,INDIRECT("'"&amp;D4&amp;"'"&amp;"!B:B"))</f>
        <v>9613</v>
      </c>
      <c r="E20" s="1764"/>
      <c r="F20" s="1026" t="s">
        <v>1295</v>
      </c>
      <c r="G20" s="139">
        <f ca="1">ROUND(C20*$C$18+D20*$D$18,0)</f>
        <v>11877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0.58879872221684337</v>
      </c>
      <c r="E22" s="129"/>
      <c r="F22" s="129"/>
      <c r="G22" s="129"/>
      <c r="H22" s="129"/>
      <c r="I22" s="129"/>
    </row>
    <row r="23" spans="1:36" ht="13.5" thickBot="1">
      <c r="A23" s="1747"/>
      <c r="B23" s="1747"/>
      <c r="C23" s="1747"/>
      <c r="D23" s="1747"/>
      <c r="E23" s="129"/>
      <c r="F23" s="129"/>
      <c r="G23" s="129"/>
      <c r="H23" s="129"/>
      <c r="I23" s="129"/>
    </row>
    <row r="24" spans="1:36" ht="14.25">
      <c r="A24" s="3652" t="s">
        <v>1299</v>
      </c>
      <c r="B24" s="1762" t="s">
        <v>1291</v>
      </c>
      <c r="C24" s="136">
        <f>IF(B30=0,0,D30)</f>
        <v>0</v>
      </c>
      <c r="D24" s="1769"/>
      <c r="E24" s="129"/>
      <c r="F24" s="129"/>
      <c r="G24" s="129"/>
      <c r="H24" s="129"/>
      <c r="I24" s="129"/>
    </row>
    <row r="25" spans="1:36" ht="14.25">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11877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9" t="s">
        <v>1312</v>
      </c>
      <c r="B36" s="1787" t="s">
        <v>1313</v>
      </c>
      <c r="C36" s="145"/>
      <c r="D36" s="1788"/>
      <c r="E36" s="1789"/>
      <c r="F36" s="1790"/>
      <c r="G36" s="129"/>
      <c r="H36" s="129"/>
      <c r="I36" s="129"/>
    </row>
    <row r="37" spans="1:15" ht="15.75" thickBot="1">
      <c r="A37" s="3630"/>
      <c r="B37" s="1674" t="s">
        <v>1314</v>
      </c>
      <c r="C37" s="147"/>
      <c r="D37" s="1139"/>
      <c r="E37" s="1139"/>
      <c r="F37" s="1790"/>
      <c r="G37" s="129"/>
      <c r="H37" s="129"/>
      <c r="I37" s="129"/>
    </row>
    <row r="38" spans="1:15" ht="15.75" thickBot="1">
      <c r="A38" s="36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46003</v>
      </c>
      <c r="N47" s="3572"/>
      <c r="O47" s="3572"/>
    </row>
    <row r="48" spans="1:15" ht="25.5">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房地产抵押价值</v>
      </c>
      <c r="L49" s="3570"/>
      <c r="M49" s="3573" t="str">
        <f ca="1">IF(项目基本情况!E8="房地产抵押价值",H107,H109)</f>
        <v>——</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45"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5.5000000000000007E-2</v>
      </c>
      <c r="G52" s="2555"/>
      <c r="H52" s="2544"/>
      <c r="I52" s="1807"/>
      <c r="J52" s="2523">
        <v>1</v>
      </c>
      <c r="K52" s="3595" t="s">
        <v>1355</v>
      </c>
      <c r="L52" s="3595"/>
      <c r="M52" s="2525" t="b">
        <f>D48</f>
        <v>0</v>
      </c>
      <c r="N52" s="2523" t="str">
        <f>E48</f>
        <v>销售额×税（费）率</v>
      </c>
      <c r="O52" s="2526">
        <f>F48</f>
        <v>5.5000000000000007E-2</v>
      </c>
    </row>
    <row r="53" spans="1:35" ht="12" customHeight="1">
      <c r="A53" s="2335" t="s">
        <v>1356</v>
      </c>
      <c r="B53" s="3619" t="s">
        <v>2291</v>
      </c>
      <c r="C53" s="3620"/>
      <c r="D53" s="1087" t="e">
        <f ca="1">ROUND(D45*'数据-取费表'!B41/(1+'数据-取费表'!C42),0)</f>
        <v>#REF!</v>
      </c>
      <c r="E53" s="2334" t="s">
        <v>1354</v>
      </c>
      <c r="F53" s="2554">
        <f>'数据-取费表'!B41</f>
        <v>5.5000000000000007E-2</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2292</v>
      </c>
      <c r="C54" s="3620"/>
      <c r="D54" s="1087" t="e">
        <f ca="1">C68</f>
        <v>#REF!</v>
      </c>
      <c r="E54" s="327" t="s">
        <v>1359</v>
      </c>
      <c r="F54" s="2554">
        <f>'数据-取费表'!B41</f>
        <v>5.5000000000000007E-2</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5.0000000000000001E-4</v>
      </c>
      <c r="J55" s="2523">
        <f>IF(H59="非个人房产","",4)</f>
        <v>4</v>
      </c>
      <c r="K55" s="3595" t="str">
        <f>IF(H59="非个人房产","——","个人所得税")</f>
        <v>个人所得税</v>
      </c>
      <c r="L55" s="3595"/>
      <c r="M55" s="2528" t="e">
        <f ca="1">D59</f>
        <v>#REF!</v>
      </c>
      <c r="N55" s="2040" t="str">
        <f>E59</f>
        <v>差额计税</v>
      </c>
      <c r="O55" s="2529">
        <f>F59</f>
        <v>0.01</v>
      </c>
    </row>
    <row r="56" spans="1:35" ht="24.75">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2.75">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4.75">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75" thickBot="1">
      <c r="A59" s="3599" t="s">
        <v>1371</v>
      </c>
      <c r="B59" s="3600"/>
      <c r="C59" s="360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5"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2.75">
      <c r="A62" s="3614" t="s">
        <v>1375</v>
      </c>
      <c r="B62" s="361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0" t="s">
        <v>2129</v>
      </c>
      <c r="H90" s="358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成本法 (元)</v>
      </c>
      <c r="D101" s="2586" t="str">
        <f>D4</f>
        <v>收益法 (元)</v>
      </c>
      <c r="E101" s="3574" t="s">
        <v>1431</v>
      </c>
      <c r="F101" s="3575"/>
      <c r="G101" s="1827" t="s">
        <v>1432</v>
      </c>
      <c r="H101" s="2595" t="e">
        <f ca="1">H118</f>
        <v>#REF!</v>
      </c>
      <c r="I101" s="129"/>
    </row>
    <row r="102" spans="1:35" ht="18.75" customHeight="1">
      <c r="A102" s="3606" t="s">
        <v>1433</v>
      </c>
      <c r="B102" s="2584" t="s">
        <v>1432</v>
      </c>
      <c r="C102" s="2585">
        <f ca="1">IF(D32="楼面单价",ROUND(C19,0),C19)</f>
        <v>1091.21</v>
      </c>
      <c r="D102" s="2586">
        <f ca="1">IF(D32="楼面单价",ROUND(D19,0),D19)</f>
        <v>686.81449999999995</v>
      </c>
      <c r="E102" s="3574"/>
      <c r="F102" s="3575"/>
      <c r="G102" s="1827" t="s">
        <v>1434</v>
      </c>
      <c r="H102" s="2555" t="e">
        <f ca="1">I118</f>
        <v>#REF!</v>
      </c>
      <c r="I102" s="129"/>
    </row>
    <row r="103" spans="1:35" ht="42.75" customHeight="1">
      <c r="A103" s="3606"/>
      <c r="B103" s="2584" t="s">
        <v>1434</v>
      </c>
      <c r="C103" s="2587">
        <f ca="1">C20</f>
        <v>15274</v>
      </c>
      <c r="D103" s="2588">
        <f ca="1">D20</f>
        <v>9613</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1428.88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816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27</v>
      </c>
      <c r="D10" s="845">
        <f ca="1">IF(B1="",'数据-汇总表'!E6,IF(INDIRECT("'数据-取费表'!c"&amp;$G$1)="住宅",INDIRECT("'数据-取费表'!s"&amp;$G$1),INDIRECT("'数据-取费表'!k"&amp;$G$1)+INDIRECT("'数据-取费表'!s"&amp;$G$1)))</f>
        <v>1428.88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29</v>
      </c>
      <c r="D19" s="849">
        <f ca="1">D9+D10</f>
        <v>1428.88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572</v>
      </c>
      <c r="D34" s="217"/>
      <c r="E34" s="220"/>
      <c r="F34" s="257">
        <f ca="1">IF('数据-取费表'!B24=0,1,IF(B1="",'数据-取费表'!N16,INDIRECT("'数据-取费表'!n"&amp;$G$1)))</f>
        <v>1</v>
      </c>
      <c r="G34" s="219" t="s">
        <v>1526</v>
      </c>
    </row>
    <row r="35" spans="1:7" ht="13.5" customHeight="1">
      <c r="A35" s="780" t="s">
        <v>351</v>
      </c>
      <c r="B35" s="215" t="s">
        <v>1527</v>
      </c>
      <c r="C35" s="220">
        <f ca="1">ROUND(C34*F35,0)</f>
        <v>29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v>
      </c>
      <c r="D37" s="217">
        <f ca="1">D19</f>
        <v>1428.88</v>
      </c>
      <c r="E37" s="249">
        <f>'数据-取费表'!B35</f>
        <v>200</v>
      </c>
      <c r="F37" s="259"/>
      <c r="G37" s="261" t="s">
        <v>1532</v>
      </c>
    </row>
    <row r="38" spans="1:7" ht="13.5" customHeight="1">
      <c r="A38" s="780" t="s">
        <v>354</v>
      </c>
      <c r="B38" s="215" t="s">
        <v>1533</v>
      </c>
      <c r="C38" s="220">
        <f ca="1">ROUND(C34*F38,0)</f>
        <v>17</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99</v>
      </c>
      <c r="D45" s="235">
        <f ca="1">C47</f>
        <v>3.0000000000000001E-3</v>
      </c>
      <c r="E45" s="236" t="s">
        <v>1539</v>
      </c>
      <c r="F45" s="246">
        <f ca="1">F27</f>
        <v>0.15</v>
      </c>
      <c r="G45" s="247" t="s">
        <v>1548</v>
      </c>
    </row>
    <row r="46" spans="1:7" s="214" customFormat="1" ht="13.5" customHeight="1">
      <c r="A46" s="780" t="s">
        <v>346</v>
      </c>
      <c r="B46" s="248" t="s">
        <v>1549</v>
      </c>
      <c r="C46" s="249">
        <f ca="1">ROUND((C33+C39)*F27,0)</f>
        <v>99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843</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776</v>
      </c>
      <c r="D51" s="232"/>
      <c r="E51" s="232"/>
      <c r="F51" s="264"/>
      <c r="G51" s="234" t="s">
        <v>1560</v>
      </c>
    </row>
    <row r="52" spans="1:7" s="208" customFormat="1" ht="16.5" thickBot="1">
      <c r="A52" s="265" t="s">
        <v>1561</v>
      </c>
      <c r="B52" s="266"/>
      <c r="C52" s="267">
        <f ca="1">C31+C51</f>
        <v>816</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25" sqref="E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v>501</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1091.21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15274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5256226.2</v>
      </c>
      <c r="D5" s="211" t="s">
        <v>1469</v>
      </c>
      <c r="E5" s="212" t="s">
        <v>1470</v>
      </c>
      <c r="F5" s="212" t="s">
        <v>1471</v>
      </c>
      <c r="G5" s="213"/>
    </row>
    <row r="6" spans="1:8" s="214" customFormat="1" ht="13.5" customHeight="1">
      <c r="A6" s="778" t="s">
        <v>1472</v>
      </c>
      <c r="B6" s="215" t="s">
        <v>1473</v>
      </c>
      <c r="C6" s="216">
        <f>基准地价修正!U6*基准地价修正!T6</f>
        <v>4968930.2</v>
      </c>
      <c r="D6" s="217"/>
      <c r="E6" s="218"/>
      <c r="F6" s="218"/>
      <c r="G6" s="219"/>
    </row>
    <row r="7" spans="1:8" s="214" customFormat="1" ht="13.5" customHeight="1">
      <c r="A7" s="778" t="s">
        <v>1474</v>
      </c>
      <c r="B7" s="215" t="s">
        <v>1475</v>
      </c>
      <c r="C7" s="220">
        <f>ROUND(C6*F7,0)</f>
        <v>151552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135744</v>
      </c>
      <c r="D8" s="222"/>
      <c r="E8" s="220"/>
      <c r="F8" s="221"/>
      <c r="G8" s="1856" t="s">
        <v>3444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135744</v>
      </c>
      <c r="D10" s="845">
        <f ca="1">IF(B1="",'数据-汇总表'!E6,IF(INDIRECT("'数据-取费表'!c"&amp;$G$1)="住宅",INDIRECT("'数据-取费表'!s"&amp;$G$1),INDIRECT("'数据-取费表'!k"&amp;$G$1)+INDIRECT("'数据-取费表'!s"&amp;$G$1)))</f>
        <v>714.44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714.44</v>
      </c>
      <c r="E19" s="211">
        <f>'数据-取费表'!B31</f>
        <v>200</v>
      </c>
      <c r="F19" s="231"/>
      <c r="G19" s="1856" t="s">
        <v>3445</v>
      </c>
    </row>
    <row r="20" spans="1:7" s="214" customFormat="1" ht="13.5" customHeight="1">
      <c r="A20" s="255" t="s">
        <v>1574</v>
      </c>
      <c r="B20" s="210" t="s">
        <v>1575</v>
      </c>
      <c r="C20" s="232">
        <f ca="1">ROUND((C5+C19)*F20,0)</f>
        <v>105125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337479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334189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3290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804203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804203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7037915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3229269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2857760</v>
      </c>
      <c r="D34" s="217"/>
      <c r="E34" s="220"/>
      <c r="F34" s="257"/>
      <c r="G34" s="219"/>
    </row>
    <row r="35" spans="1:7" ht="13.5" customHeight="1">
      <c r="A35" s="780" t="s">
        <v>351</v>
      </c>
      <c r="B35" s="215" t="s">
        <v>1527</v>
      </c>
      <c r="C35" s="220">
        <f ca="1">ROUND(C34*F35,0)</f>
        <v>142888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142888</v>
      </c>
      <c r="D37" s="217">
        <f ca="1">D19</f>
        <v>714.44</v>
      </c>
      <c r="E37" s="249">
        <f>'数据-取费表'!B35</f>
        <v>200</v>
      </c>
      <c r="F37" s="259"/>
      <c r="G37" s="261"/>
    </row>
    <row r="38" spans="1:7" ht="13.5" customHeight="1">
      <c r="A38" s="780" t="s">
        <v>354</v>
      </c>
      <c r="B38" s="215" t="s">
        <v>1533</v>
      </c>
      <c r="C38" s="220">
        <f ca="1">ROUND(C34*F38,0)</f>
        <v>85733</v>
      </c>
      <c r="D38" s="220"/>
      <c r="E38" s="220"/>
      <c r="F38" s="259">
        <f>'数据-取费表'!B36</f>
        <v>0.03</v>
      </c>
      <c r="G38" s="219" t="s">
        <v>1528</v>
      </c>
    </row>
    <row r="39" spans="1:7" s="214" customFormat="1" ht="13.5" customHeight="1">
      <c r="A39" s="255" t="s">
        <v>1534</v>
      </c>
      <c r="B39" s="210" t="s">
        <v>1535</v>
      </c>
      <c r="C39" s="232">
        <f ca="1">ROUND(C33*F20,0)</f>
        <v>64585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103098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101076</v>
      </c>
      <c r="D42" s="238"/>
      <c r="E42" s="238"/>
      <c r="F42" s="239"/>
      <c r="G42" s="3661" t="s">
        <v>1591</v>
      </c>
    </row>
    <row r="43" spans="1:7" ht="13.5" customHeight="1">
      <c r="A43" s="780" t="s">
        <v>347</v>
      </c>
      <c r="B43" s="215" t="s">
        <v>1545</v>
      </c>
      <c r="C43" s="238">
        <f ca="1">ROUND(IF('数据-取费表'!B22&lt;=1,C39*F22*'数据-取费表'!B20/2,C39*(POWER((1+F22),'数据-取费表'!B20/2)-1)),0)</f>
        <v>2022</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494078</v>
      </c>
      <c r="D45" s="235">
        <f ca="1">C47</f>
        <v>3.0000000000000001E-3</v>
      </c>
      <c r="E45" s="236" t="s">
        <v>1539</v>
      </c>
      <c r="F45" s="246">
        <f ca="1">F27</f>
        <v>0.15</v>
      </c>
      <c r="G45" s="247" t="s">
        <v>1548</v>
      </c>
    </row>
    <row r="46" spans="1:7" s="214" customFormat="1" ht="13.5" customHeight="1">
      <c r="A46" s="780" t="s">
        <v>346</v>
      </c>
      <c r="B46" s="248" t="s">
        <v>1549</v>
      </c>
      <c r="C46" s="249">
        <f ca="1">ROUND((C33+C39)*F27,0)</f>
        <v>494078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4211071</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3874185</v>
      </c>
      <c r="D51" s="232"/>
      <c r="E51" s="232"/>
      <c r="F51" s="264"/>
      <c r="G51" s="234" t="s">
        <v>1560</v>
      </c>
    </row>
    <row r="52" spans="1:7" s="208" customFormat="1" ht="16.5" thickBot="1">
      <c r="A52" s="265" t="s">
        <v>1561</v>
      </c>
      <c r="B52" s="266"/>
      <c r="C52" s="267">
        <f ca="1">C31+C51</f>
        <v>10912100</v>
      </c>
      <c r="D52" s="266"/>
      <c r="E52" s="266"/>
      <c r="F52" s="266"/>
      <c r="G52" s="268"/>
    </row>
    <row r="55" spans="1:7" ht="15">
      <c r="B55" s="270" t="s">
        <v>1562</v>
      </c>
      <c r="C55" s="271"/>
    </row>
    <row r="56" spans="1:7">
      <c r="B56" s="273" t="s">
        <v>802</v>
      </c>
      <c r="C56" s="275">
        <f ca="1">1-C57</f>
        <v>0.64500000000000002</v>
      </c>
    </row>
    <row r="57" spans="1:7">
      <c r="B57" s="273" t="s">
        <v>803</v>
      </c>
      <c r="C57" s="274">
        <f ca="1">ROUND(C51/C52,3)</f>
        <v>0.35499999999999998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-31</v>
      </c>
      <c r="C2" s="276" t="s">
        <v>1595</v>
      </c>
      <c r="D2" s="276"/>
      <c r="E2" s="2806"/>
      <c r="F2" s="2806"/>
      <c r="G2" s="2806"/>
      <c r="H2" s="2806"/>
      <c r="I2" s="2806"/>
      <c r="J2" s="2806"/>
      <c r="K2" s="2806"/>
    </row>
    <row r="3" spans="1:33" ht="18" customHeight="1" thickBot="1">
      <c r="A3" s="203" t="s">
        <v>1464</v>
      </c>
      <c r="B3" s="204">
        <f ca="1">ROUND(B2*10000/IF(C1="",'数据-汇总表'!E3,INDIRECT("'数据-取费表'!K"&amp;$K$1)),0)</f>
        <v>-217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1428.88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1428.88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v>
      </c>
      <c r="D20" s="846">
        <f ca="1">IF(C1="",'数据-汇总表'!E6,IF(INDIRECT("'数据-取费表'!c"&amp;$K$1)="住宅",INDIRECT("'数据-取费表'!s"&amp;$K$1),INDIRECT("'数据-取费表'!k"&amp;$K$1)+INDIRECT("'数据-取费表'!s"&amp;$K$1)))</f>
        <v>1428.88</v>
      </c>
      <c r="E20" s="21">
        <f>'数据-取费表'!B28</f>
        <v>190</v>
      </c>
      <c r="F20" s="804"/>
      <c r="G20" s="12"/>
      <c r="H20" s="809"/>
      <c r="I20" s="809"/>
      <c r="J20" s="809"/>
      <c r="K20" s="810"/>
    </row>
    <row r="21" spans="1:33" s="803" customFormat="1" ht="13.5" customHeight="1">
      <c r="A21" s="790" t="s">
        <v>357</v>
      </c>
      <c r="B21" s="813" t="s">
        <v>1628</v>
      </c>
      <c r="C21" s="814">
        <f ca="1">C16+C17+C18</f>
        <v>27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zoomScaleSheetLayoutView="100" workbookViewId="0">
      <selection activeCell="D13" sqref="D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501</v>
      </c>
      <c r="D1" s="1362" t="s">
        <v>43</v>
      </c>
      <c r="E1" s="1363" t="s">
        <v>678</v>
      </c>
      <c r="F1" s="1062">
        <f ca="1">J53</f>
        <v>31.96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686.81449999999995</v>
      </c>
      <c r="C2" s="1387" t="s">
        <v>879</v>
      </c>
      <c r="D2" s="1471">
        <f ca="1">C40+J29+L46</f>
        <v>6868145</v>
      </c>
      <c r="E2" s="1388" t="s">
        <v>880</v>
      </c>
      <c r="F2" s="1389"/>
      <c r="G2" s="2706"/>
      <c r="H2" s="2695"/>
      <c r="I2" s="2695"/>
      <c r="J2" s="2695"/>
      <c r="K2" s="2696"/>
      <c r="L2" s="2695"/>
      <c r="M2" s="2695"/>
    </row>
    <row r="3" spans="1:37" ht="18" customHeight="1" thickBot="1">
      <c r="A3" s="1390" t="s">
        <v>881</v>
      </c>
      <c r="B3" s="1391">
        <f ca="1">IF(ISERROR(D2/F43),0,ROUND(D2/F43,0))</f>
        <v>9613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443864</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443310</v>
      </c>
      <c r="D6" s="155" t="s">
        <v>2106</v>
      </c>
      <c r="E6" s="302" t="s">
        <v>696</v>
      </c>
      <c r="F6" s="303">
        <f ca="1">INDIRECT("'数据-取费表'!u"&amp;$G$1)</f>
        <v>2</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714.44</v>
      </c>
      <c r="G7" s="1384"/>
      <c r="H7" s="304"/>
      <c r="I7" s="3667"/>
      <c r="J7" s="306"/>
      <c r="K7" s="307"/>
      <c r="L7" s="302" t="s">
        <v>697</v>
      </c>
      <c r="M7" s="303">
        <f ca="1">F7</f>
        <v>714.44</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0.15</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554</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3874185</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2857760</v>
      </c>
      <c r="D14" s="1345" t="s">
        <v>708</v>
      </c>
      <c r="E14" s="1342"/>
      <c r="F14" s="319"/>
      <c r="G14" s="1384"/>
      <c r="H14" s="982" t="s">
        <v>398</v>
      </c>
      <c r="I14" s="302" t="s">
        <v>709</v>
      </c>
      <c r="J14" s="21">
        <f ca="1">C29</f>
        <v>4211071</v>
      </c>
      <c r="K14" s="12"/>
      <c r="L14" s="807"/>
      <c r="M14" s="808"/>
    </row>
    <row r="15" spans="1:37" s="1397" customFormat="1" ht="18" customHeight="1" thickBot="1">
      <c r="A15" s="982" t="s">
        <v>399</v>
      </c>
      <c r="B15" s="302" t="s">
        <v>710</v>
      </c>
      <c r="C15" s="21">
        <f ca="1">ROUND(C14*F15,0)</f>
        <v>142888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8422</v>
      </c>
      <c r="K16" s="1087" t="s">
        <v>715</v>
      </c>
      <c r="L16" s="1088"/>
      <c r="M16" s="1072"/>
    </row>
    <row r="17" spans="1:37" s="1397" customFormat="1" ht="18" customHeight="1">
      <c r="A17" s="982" t="s">
        <v>681</v>
      </c>
      <c r="B17" s="302" t="s">
        <v>716</v>
      </c>
      <c r="C17" s="21">
        <f ca="1">ROUND(F17*(F43+INDIRECT("'数据-取费表'!S"&amp;$G$1)),0)</f>
        <v>142888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85733</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3229269</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64585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8422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103098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-8422</v>
      </c>
      <c r="K25" s="1095" t="s">
        <v>753</v>
      </c>
      <c r="L25" s="1096"/>
      <c r="M25" s="1097"/>
    </row>
    <row r="26" spans="1:37" ht="18" customHeight="1">
      <c r="A26" s="982" t="s">
        <v>397</v>
      </c>
      <c r="B26" s="302" t="s">
        <v>754</v>
      </c>
      <c r="C26" s="21">
        <f ca="1">ROUND((C19+C20)*F26,0)</f>
        <v>494078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4211071</v>
      </c>
      <c r="D29" s="1092"/>
      <c r="E29" s="1090"/>
      <c r="F29" s="1093"/>
      <c r="G29" s="1396"/>
      <c r="H29" s="334" t="s">
        <v>396</v>
      </c>
      <c r="I29" s="335" t="s">
        <v>768</v>
      </c>
      <c r="J29" s="336">
        <f ca="1">ROUND(J26/(1+F40)^F41,0)</f>
        <v>0</v>
      </c>
      <c r="K29" s="337" t="s">
        <v>769</v>
      </c>
      <c r="L29" s="338"/>
      <c r="M29" s="339">
        <f ca="1">INDIRECT("'数据-取费表'!k"&amp;$G$1)</f>
        <v>714.44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88400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73885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23221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50664</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8422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3874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2219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355464</v>
      </c>
      <c r="D39" s="1095" t="s">
        <v>773</v>
      </c>
      <c r="E39" s="1096"/>
      <c r="F39" s="1097"/>
      <c r="G39" s="1384"/>
      <c r="H39" s="2700"/>
      <c r="I39" s="1398"/>
      <c r="J39" s="1399"/>
      <c r="K39" s="2704"/>
      <c r="L39" s="2700"/>
      <c r="M39" s="2700"/>
    </row>
    <row r="40" spans="1:18" ht="18" customHeight="1">
      <c r="A40" s="299" t="s">
        <v>395</v>
      </c>
      <c r="B40" s="300" t="s">
        <v>774</v>
      </c>
      <c r="C40" s="301">
        <f ca="1">ROUND(C39*(1-((1+F42)/(1+F40))^F41)/(F40-F42),0)</f>
        <v>6701175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31.96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9380</v>
      </c>
      <c r="D43" s="337" t="s">
        <v>777</v>
      </c>
      <c r="E43" s="338" t="s">
        <v>778</v>
      </c>
      <c r="F43" s="339">
        <f ca="1">INDIRECT("'数据-取费表'!k"&amp;$G$1)</f>
        <v>714.44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-688.43510000000003</v>
      </c>
      <c r="D45" s="3432" t="s">
        <v>3350</v>
      </c>
      <c r="E45" s="1400"/>
      <c r="F45" s="1400"/>
      <c r="O45" s="1403" t="s">
        <v>808</v>
      </c>
      <c r="P45" s="1461"/>
      <c r="Q45" s="1461"/>
      <c r="R45" s="1461"/>
    </row>
    <row r="46" spans="1:18" s="1384" customFormat="1" ht="13.5" thickBot="1">
      <c r="A46" s="1404" t="s">
        <v>809</v>
      </c>
      <c r="C46" s="1405">
        <f ca="1">ROUND(C45,0)</f>
        <v>-688</v>
      </c>
      <c r="D46" s="1406" t="str">
        <f>C2</f>
        <v>万元</v>
      </c>
      <c r="I46" s="1407" t="s">
        <v>810</v>
      </c>
      <c r="J46" s="1408"/>
      <c r="K46" s="1409"/>
      <c r="L46" s="1410">
        <f ca="1">IF(M47="住宅",0,IF(L48&gt;J51,L60,J60))</f>
        <v>166970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3425</v>
      </c>
      <c r="K47" s="1416" t="s">
        <v>816</v>
      </c>
      <c r="L47" s="1417">
        <f ca="1">INDIRECT("'数据-取费表'!d"&amp;$G$1)</f>
        <v>40</v>
      </c>
      <c r="M47" s="1380" t="str">
        <f>IF(ISNUMBER(FIND("住宅",C1)),"住宅","非住宅")</f>
        <v>非住宅</v>
      </c>
      <c r="O47" s="1418" t="s">
        <v>403</v>
      </c>
      <c r="P47" s="1419" t="s">
        <v>817</v>
      </c>
      <c r="Q47" s="1420">
        <f ca="1">C40+J29</f>
        <v>6701175</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31.96</v>
      </c>
      <c r="O48" s="1418" t="s">
        <v>404</v>
      </c>
      <c r="P48" s="1419" t="s">
        <v>821</v>
      </c>
      <c r="Q48" s="1420">
        <f ca="1">J60</f>
        <v>166970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4211071</v>
      </c>
      <c r="R49" s="1420" t="s">
        <v>818</v>
      </c>
    </row>
    <row r="50" spans="1:18" s="1384" customFormat="1" ht="13.5" thickBot="1">
      <c r="A50" s="976"/>
      <c r="B50" s="979"/>
      <c r="C50" s="980"/>
      <c r="D50" s="953"/>
      <c r="E50" s="1056" t="s">
        <v>697</v>
      </c>
      <c r="F50" s="1057">
        <f ca="1">F7</f>
        <v>714.44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1570262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31.96</v>
      </c>
      <c r="K53" s="3664" t="s">
        <v>837</v>
      </c>
      <c r="L53" s="3665"/>
      <c r="O53" s="1418" t="s">
        <v>409</v>
      </c>
      <c r="P53" s="1419" t="s">
        <v>838</v>
      </c>
      <c r="Q53" s="1420">
        <f ca="1">Q47+Q48</f>
        <v>6868145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3874185</v>
      </c>
      <c r="D56" s="1447"/>
      <c r="E56" s="1448"/>
      <c r="F56" s="1440"/>
      <c r="I56" s="1449" t="s">
        <v>842</v>
      </c>
      <c r="J56" s="1450" t="s">
        <v>3427</v>
      </c>
      <c r="K56" s="1421" t="s">
        <v>843</v>
      </c>
      <c r="L56" s="1424" t="str">
        <f ca="1">IF(L48&lt;J51,"——",L48-J51)</f>
        <v>——</v>
      </c>
      <c r="O56" s="1418" t="s">
        <v>403</v>
      </c>
      <c r="P56" s="1419" t="s">
        <v>817</v>
      </c>
      <c r="Q56" s="1420">
        <f ca="1">C40+J29</f>
        <v>6701175</v>
      </c>
      <c r="R56" s="1420" t="s">
        <v>818</v>
      </c>
    </row>
    <row r="57" spans="1:18" s="1384" customFormat="1" ht="24.75" thickBot="1">
      <c r="A57" s="1451"/>
      <c r="B57" s="950" t="s">
        <v>767</v>
      </c>
      <c r="C57" s="238">
        <f ca="1">C29</f>
        <v>4211071</v>
      </c>
      <c r="D57" s="1452"/>
      <c r="E57" s="1453"/>
      <c r="F57" s="1454"/>
      <c r="I57" s="1455" t="s">
        <v>844</v>
      </c>
      <c r="J57" s="1456">
        <f ca="1">IF(OR(M47="住宅",J51&lt;L48,J56="是"),"——",J51-L48)</f>
        <v>23.04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12296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1684428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166970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6701175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8422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3874</v>
      </c>
      <c r="D65" s="964" t="s">
        <v>743</v>
      </c>
      <c r="E65" s="950" t="s">
        <v>744</v>
      </c>
      <c r="F65" s="330">
        <f t="shared" ca="1" si="0"/>
        <v>1E-3</v>
      </c>
      <c r="I65" s="1462" t="s">
        <v>867</v>
      </c>
      <c r="J65" s="1463">
        <v>40</v>
      </c>
      <c r="K65" s="1463">
        <v>30</v>
      </c>
      <c r="L65" s="1463">
        <v>50</v>
      </c>
      <c r="M65" s="1465">
        <v>0.02</v>
      </c>
      <c r="O65" s="1418" t="s">
        <v>403</v>
      </c>
      <c r="P65" s="1419" t="s">
        <v>868</v>
      </c>
      <c r="Q65" s="1420">
        <f ca="1">C40+J29</f>
        <v>6701175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-12296</v>
      </c>
      <c r="D67" s="963" t="s">
        <v>753</v>
      </c>
      <c r="E67" s="968"/>
      <c r="F67" s="969"/>
      <c r="O67" s="1428" t="s">
        <v>405</v>
      </c>
      <c r="P67" s="1419" t="s">
        <v>850</v>
      </c>
      <c r="Q67" s="1466">
        <f ca="1">L51</f>
        <v>1570262</v>
      </c>
      <c r="R67" s="1420" t="s">
        <v>870</v>
      </c>
    </row>
    <row r="68" spans="1:18" s="1384" customFormat="1" ht="16.5" thickBot="1">
      <c r="A68" s="947" t="s">
        <v>395</v>
      </c>
      <c r="B68" s="948" t="s">
        <v>774</v>
      </c>
      <c r="C68" s="301">
        <f ca="1">ROUND(C67*(1-((1+F70)/(1+F68))^F69)/(F68-F70),0)</f>
        <v>-183176</v>
      </c>
      <c r="D68" s="965" t="s">
        <v>758</v>
      </c>
      <c r="E68" s="950" t="s">
        <v>759</v>
      </c>
      <c r="F68" s="312">
        <f ca="1">F40</f>
        <v>5.5E-2</v>
      </c>
      <c r="O68" s="1428" t="s">
        <v>406</v>
      </c>
      <c r="P68" s="1467" t="s">
        <v>871</v>
      </c>
      <c r="Q68" s="1420">
        <f ca="1">ROUND(Q69-Q70*Q71,0)</f>
        <v>84271</v>
      </c>
      <c r="R68" s="1420" t="s">
        <v>414</v>
      </c>
    </row>
    <row r="69" spans="1:18" s="1384" customFormat="1" ht="13.5" thickBot="1">
      <c r="A69" s="951"/>
      <c r="B69" s="952"/>
      <c r="C69" s="306"/>
      <c r="D69" s="970" t="s">
        <v>762</v>
      </c>
      <c r="E69" s="950" t="s">
        <v>763</v>
      </c>
      <c r="F69" s="333">
        <f ca="1">F41</f>
        <v>31.96</v>
      </c>
      <c r="O69" s="1428" t="s">
        <v>411</v>
      </c>
      <c r="P69" s="1467" t="s">
        <v>872</v>
      </c>
      <c r="Q69" s="1420">
        <f ca="1">C39</f>
        <v>355464</v>
      </c>
      <c r="R69" s="1420" t="s">
        <v>818</v>
      </c>
    </row>
    <row r="70" spans="1:18" s="1384" customFormat="1" ht="13.5" thickBot="1">
      <c r="A70" s="954"/>
      <c r="B70" s="955"/>
      <c r="C70" s="310"/>
      <c r="D70" s="966"/>
      <c r="E70" s="950" t="s">
        <v>766</v>
      </c>
      <c r="F70" s="1054"/>
      <c r="O70" s="1428" t="s">
        <v>412</v>
      </c>
      <c r="P70" s="1467" t="s">
        <v>873</v>
      </c>
      <c r="Q70" s="1420">
        <f ca="1">C13</f>
        <v>3874185</v>
      </c>
      <c r="R70" s="1420" t="s">
        <v>818</v>
      </c>
    </row>
    <row r="71" spans="1:18" s="1384" customFormat="1" ht="13.5" thickBot="1">
      <c r="A71" s="971" t="s">
        <v>396</v>
      </c>
      <c r="B71" s="972" t="s">
        <v>776</v>
      </c>
      <c r="C71" s="336">
        <f ca="1">ROUND(C68/F71,0)</f>
        <v>-256</v>
      </c>
      <c r="D71" s="973" t="s">
        <v>777</v>
      </c>
      <c r="E71" s="974" t="s">
        <v>778</v>
      </c>
      <c r="F71" s="339">
        <f ca="1">F43</f>
        <v>714.44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271193</v>
      </c>
      <c r="D75" s="1384"/>
      <c r="E75" s="1384"/>
      <c r="F75" s="1384"/>
      <c r="K75" s="1402"/>
      <c r="L75" s="1384"/>
      <c r="O75" s="1418" t="s">
        <v>409</v>
      </c>
      <c r="P75" s="1419" t="s">
        <v>838</v>
      </c>
      <c r="Q75" s="1420">
        <f ca="1">Q65+Q66</f>
        <v>6701175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0.23699999999999999</v>
      </c>
    </row>
    <row r="80" spans="1:18">
      <c r="B80" s="340" t="s">
        <v>800</v>
      </c>
      <c r="C80" s="274">
        <f ca="1">ROUND(C75/C39,3)</f>
        <v>0.76300000000000001</v>
      </c>
    </row>
    <row r="81" spans="2:3">
      <c r="B81" s="270" t="s">
        <v>801</v>
      </c>
      <c r="C81" s="238"/>
    </row>
    <row r="82" spans="2:3">
      <c r="B82" s="273" t="s">
        <v>802</v>
      </c>
      <c r="C82" s="275">
        <f ca="1">1-C83</f>
        <v>0.42200000000000004</v>
      </c>
    </row>
    <row r="83" spans="2:3">
      <c r="B83" s="273" t="s">
        <v>803</v>
      </c>
      <c r="C83" s="274">
        <f ca="1">ROUND(C13/C40,3)</f>
        <v>0.57799999999999996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3356</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15"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15"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1373.6289999999999</v>
      </c>
      <c r="C2" s="1872" t="s">
        <v>1651</v>
      </c>
      <c r="D2" s="1873" t="s">
        <v>1652</v>
      </c>
      <c r="E2" s="2607">
        <f>SUM(E6:E13)</f>
        <v>1428.88</v>
      </c>
      <c r="F2" s="2707"/>
      <c r="G2" s="1489"/>
      <c r="H2" s="1489"/>
      <c r="I2" s="1489"/>
      <c r="J2" s="1489"/>
      <c r="K2" s="1489"/>
      <c r="L2" s="1489"/>
      <c r="M2" s="1489"/>
      <c r="N2" s="1489"/>
      <c r="O2" s="1489"/>
      <c r="P2" s="1489"/>
      <c r="Q2" s="1489"/>
      <c r="R2" s="1489"/>
      <c r="S2" s="1489"/>
    </row>
    <row r="3" spans="1:22" ht="15.75">
      <c r="A3" s="1870" t="s">
        <v>686</v>
      </c>
      <c r="B3" s="2601">
        <f ca="1">ROUND(B2*10000/E2,0)</f>
        <v>9613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686.81449999999995</v>
      </c>
      <c r="C6" s="1872" t="s">
        <v>1651</v>
      </c>
      <c r="D6" s="2709"/>
      <c r="E6" s="2606">
        <f>IF(OR(A6=0,F6="否"),0,'数据-取费表'!K6+'数据-取费表'!S6)</f>
        <v>714.44</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686.81449999999995</v>
      </c>
      <c r="C7" s="1872" t="s">
        <v>1651</v>
      </c>
      <c r="D7" s="2709"/>
      <c r="E7" s="2606">
        <f>IF(OR(A7=0,F7="否"),0,'数据-取费表'!K7+'数据-取费表'!S7)</f>
        <v>714.44</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1428.88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46003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1428.88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75" thickBot="1">
      <c r="A7" s="362" t="s">
        <v>1679</v>
      </c>
      <c r="B7" s="363"/>
      <c r="C7" s="364">
        <f>'数据-取费表'!B2</f>
        <v>46003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1428.88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75" thickBot="1">
      <c r="A7" s="362" t="s">
        <v>1679</v>
      </c>
      <c r="B7" s="363"/>
      <c r="C7" s="364">
        <f>'数据-取费表'!B2</f>
        <v>46003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1428.88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46003</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估价对象为北京市房地产，为所有。根据《国有土地使用证》[]，估价对象（分摊）出让国有建设用地使用权面积为0平方米，建筑面积为1428.88平方米。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估价对象为北京市房地产,属开发建设的，该项目尚在开发建设中。根据《国有土地使用证》[]，估价对象（分摊）出让国有建设用地使用权面积为0平方米，规划建筑面积为1428.88平方米。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46003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46003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75" thickBot="1">
      <c r="A7" s="362" t="s">
        <v>1679</v>
      </c>
      <c r="B7" s="363"/>
      <c r="C7" s="364">
        <f>'数据-取费表'!B2</f>
        <v>46003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725"/>
      <c r="Q10" s="1343" t="str">
        <f t="shared" si="6"/>
        <v>土地使用年限（年）</v>
      </c>
      <c r="R10" s="701" t="s">
        <v>14</v>
      </c>
      <c r="S10" s="702">
        <f t="shared" si="0"/>
        <v>109</v>
      </c>
      <c r="T10" s="701" t="s">
        <v>14</v>
      </c>
      <c r="U10" s="702">
        <f t="shared" si="1"/>
        <v>109</v>
      </c>
      <c r="V10" s="701" t="s">
        <v>14</v>
      </c>
      <c r="W10" s="702">
        <f t="shared" si="2"/>
        <v>109</v>
      </c>
      <c r="X10" s="703"/>
      <c r="Y10" s="3637"/>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1428.88</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SUMIF(修正!A59:A70,H57,修正!B59:B70)</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SUMIF(修正!A59:A70,H58,修正!C59:C70)</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SUMIF(修正!A59:A70,H59,修正!D59:D70)</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SUMIF(修正!A59:A70,H63,修正!G59:G70)</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1428.88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46003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725"/>
      <c r="Q10" s="1343" t="str">
        <f t="shared" si="6"/>
        <v>土地使用年限（年）</v>
      </c>
      <c r="R10" s="701" t="s">
        <v>14</v>
      </c>
      <c r="S10" s="702">
        <f t="shared" si="0"/>
        <v>109</v>
      </c>
      <c r="T10" s="701" t="s">
        <v>14</v>
      </c>
      <c r="U10" s="702">
        <f t="shared" si="1"/>
        <v>109</v>
      </c>
      <c r="V10" s="701" t="s">
        <v>14</v>
      </c>
      <c r="W10" s="702">
        <f t="shared" si="2"/>
        <v>109</v>
      </c>
      <c r="X10" s="703"/>
      <c r="Y10" s="3637"/>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1428.88</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SUMIF(修正!A59:A70,H52,修正!B59:B70)</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SUMIF(修正!A59:A70,H53,修正!C59:C70)</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SUMIF(修正!A59:A70,H54,修正!D59:D70)</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SUMIF(修正!A59:A70,H59,修正!G59:G70)</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1014</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1014</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U6" sqref="U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1014</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12318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2439</v>
      </c>
      <c r="F3" s="2004" t="s">
        <v>3429</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9709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8206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7237</v>
      </c>
      <c r="U5" s="1213">
        <f>'数据-汇总表'!F19</f>
        <v>714.44</v>
      </c>
      <c r="V5" s="3361">
        <f t="shared" si="1"/>
        <v>517</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6955</v>
      </c>
      <c r="U6" s="1213">
        <f>'数据-汇总表'!F20</f>
        <v>714.44</v>
      </c>
      <c r="V6" s="3361">
        <f t="shared" si="1"/>
        <v>497</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3430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f>ROUND(IF(F21="与级别开发程度一致",0,(G21-E21)/C21),0)</f>
        <v>-36</v>
      </c>
      <c r="D20" s="3341" t="s">
        <v>1998</v>
      </c>
      <c r="E20" s="3342"/>
      <c r="F20" s="3783" t="s">
        <v>1995</v>
      </c>
      <c r="G20" s="3784"/>
      <c r="H20" s="3326" t="s">
        <v>3431</v>
      </c>
      <c r="I20" s="3326" t="s">
        <v>3432</v>
      </c>
      <c r="J20" s="3327" t="s">
        <v>3433</v>
      </c>
      <c r="K20" s="2047" t="s">
        <v>3434</v>
      </c>
      <c r="L20" s="2047" t="s">
        <v>3435</v>
      </c>
      <c r="M20" s="2047" t="s">
        <v>3436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054" t="s">
        <v>2002</v>
      </c>
      <c r="E23" s="761">
        <v>44197</v>
      </c>
      <c r="F23" s="2054" t="s">
        <v>2003</v>
      </c>
      <c r="G23" s="762">
        <f>'数据-取费表'!B2</f>
        <v>46003</v>
      </c>
      <c r="H23" s="3343" t="s">
        <v>3438</v>
      </c>
      <c r="I23" s="3344" t="str">
        <f>IF(H23="季度增幅（自定义）",SUMIF(N25:N28,E2,O25:O28),"")</f>
        <v/>
      </c>
      <c r="J23" s="3446" t="s">
        <v>3439</v>
      </c>
      <c r="K23" s="1125"/>
      <c r="L23" s="2055" t="s">
        <v>2004</v>
      </c>
      <c r="M23" s="1328">
        <f>ROUND(SUMIF(地价!B2:G2,E2,地价!B16:G16),0)</f>
        <v>350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0.9284</v>
      </c>
      <c r="D24" s="2060" t="s">
        <v>2007</v>
      </c>
      <c r="E24" s="1335">
        <f>存贷款利率!E28/100</f>
        <v>4.3499999999999997E-2</v>
      </c>
      <c r="F24" s="2060" t="s">
        <v>1999</v>
      </c>
      <c r="G24" s="768">
        <f>SUMIF(M30:Q30,E2,M33:Q33)</f>
        <v>5.5E-2</v>
      </c>
      <c r="H24" s="2060" t="s">
        <v>2008</v>
      </c>
      <c r="I24" s="769">
        <f>SUMIF('数据-取费表'!C6:C15,E2,'数据-取费表'!F6:F15)/COUNTIF('数据-取费表'!C6:C15,E2)</f>
        <v>31.96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1014</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f>ROUND(D5*C22*C23*C24*C28*F37,0)</f>
        <v>4921</v>
      </c>
      <c r="D37" s="2098"/>
      <c r="E37" s="171">
        <f>ROUND(C37*D37/10000,0)</f>
        <v>0</v>
      </c>
      <c r="F37" s="171">
        <f>SUMIF(修正!A59:A70,G2,修正!B59:B70)</f>
        <v>0.6</v>
      </c>
      <c r="G37" s="171">
        <f>ROUND(IF(E2="工业",C37*$M$42,C37*$M$41),0)</f>
        <v>1230</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2460</v>
      </c>
      <c r="D38" s="2098"/>
      <c r="E38" s="171">
        <f t="shared" ref="E38:E42" si="4">ROUND(C38*D38/10000,0)</f>
        <v>0</v>
      </c>
      <c r="F38" s="171">
        <f>SUMIF(修正!A59:A70,G2,修正!C59:C70)</f>
        <v>0.3</v>
      </c>
      <c r="G38" s="171">
        <f>ROUND(IF(E2="工业",C38*$M$42,C38*$M$41),0)</f>
        <v>615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f>ROUND(D5*C22*C23*C24*C28*F39,0)</f>
        <v>2050</v>
      </c>
      <c r="D39" s="2098"/>
      <c r="E39" s="171">
        <f t="shared" si="4"/>
        <v>0</v>
      </c>
      <c r="F39" s="171">
        <f>SUMIF(修正!A59:A70,G2,修正!D59:D70)</f>
        <v>0.25</v>
      </c>
      <c r="G39" s="171">
        <f>ROUND(IF(E2="工业",C39*$M$42,C39*$M$41),0)</f>
        <v>513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2050</v>
      </c>
      <c r="D40" s="2098"/>
      <c r="E40" s="171">
        <f t="shared" si="4"/>
        <v>0</v>
      </c>
      <c r="F40" s="175">
        <f>SUMIF(修正!A59:A70,G2,修正!E59:E70)</f>
        <v>0.25</v>
      </c>
      <c r="G40" s="171">
        <f>ROUND(IF(E2="工业",C40*$M$42,C40*$M$41),0)</f>
        <v>513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3441</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3442</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t="s">
        <v>3442</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3442</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3442</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3442</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3441</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3442</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3268</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0.94899999999999995</v>
      </c>
      <c r="E116" s="2000" t="s">
        <v>3312</v>
      </c>
      <c r="F116" s="3402" t="str">
        <f>E2</f>
        <v>商业</v>
      </c>
      <c r="G116" s="2000" t="s">
        <v>3313</v>
      </c>
      <c r="H116" s="3402" t="str">
        <f>G2</f>
        <v>七级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3327</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3328</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5" t="s">
        <v>2628</v>
      </c>
      <c r="C20" s="3477" t="s">
        <v>2439</v>
      </c>
      <c r="D20" s="3477"/>
      <c r="E20" s="3105">
        <v>1</v>
      </c>
      <c r="F20" s="3106" t="s">
        <v>2440</v>
      </c>
      <c r="G20" s="3106"/>
    </row>
    <row r="21" spans="1:13" ht="19.5" customHeight="1">
      <c r="A21" s="3796"/>
      <c r="B21" s="3786"/>
      <c r="C21" s="3467" t="s">
        <v>2441</v>
      </c>
      <c r="D21" s="3467"/>
      <c r="E21" s="3109">
        <v>1</v>
      </c>
      <c r="F21" s="3106" t="s">
        <v>2442</v>
      </c>
      <c r="G21" s="3106"/>
    </row>
    <row r="22" spans="1:13" ht="19.5" customHeight="1">
      <c r="A22" s="3796"/>
      <c r="B22" s="3786"/>
      <c r="C22" s="3467" t="s">
        <v>2443</v>
      </c>
      <c r="D22" s="3467"/>
      <c r="E22" s="3109">
        <v>0.9</v>
      </c>
      <c r="F22" s="3106" t="s">
        <v>2444</v>
      </c>
      <c r="G22" s="3106"/>
    </row>
    <row r="23" spans="1:13" ht="19.5" customHeight="1">
      <c r="A23" s="3796"/>
      <c r="B23" s="3786"/>
      <c r="C23" s="3467" t="s">
        <v>2445</v>
      </c>
      <c r="D23" s="3467"/>
      <c r="E23" s="3109">
        <v>0.9</v>
      </c>
      <c r="F23" s="3106" t="s">
        <v>2446</v>
      </c>
      <c r="G23" s="3106"/>
    </row>
    <row r="24" spans="1:13" ht="19.5" customHeight="1">
      <c r="A24" s="3796"/>
      <c r="B24" s="3786"/>
      <c r="C24" s="3467" t="s">
        <v>2447</v>
      </c>
      <c r="D24" s="3467"/>
      <c r="E24" s="3109">
        <v>0.8</v>
      </c>
      <c r="F24" s="3106" t="s">
        <v>2448</v>
      </c>
      <c r="G24" s="3106"/>
    </row>
    <row r="25" spans="1:13" ht="19.5" customHeight="1">
      <c r="A25" s="3796"/>
      <c r="B25" s="3786"/>
      <c r="C25" s="3467" t="s">
        <v>2449</v>
      </c>
      <c r="D25" s="3467"/>
      <c r="E25" s="3109">
        <v>0.8</v>
      </c>
      <c r="F25" s="3106"/>
      <c r="G25" s="3106"/>
    </row>
    <row r="26" spans="1:13" ht="19.5" customHeight="1">
      <c r="A26" s="3796"/>
      <c r="B26" s="3786"/>
      <c r="C26" s="3470" t="s">
        <v>3406</v>
      </c>
      <c r="D26" s="3470"/>
      <c r="E26" s="3471">
        <v>0.43</v>
      </c>
      <c r="F26" s="3106"/>
      <c r="G26" s="3106"/>
    </row>
    <row r="27" spans="1:13" ht="19.5" customHeight="1" thickBot="1">
      <c r="A27" s="3797"/>
      <c r="B27" s="3787"/>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8" t="s">
        <v>2631</v>
      </c>
      <c r="B29" s="3791" t="s">
        <v>2612</v>
      </c>
      <c r="C29" s="3103" t="s">
        <v>2452</v>
      </c>
      <c r="D29" s="3104"/>
      <c r="E29" s="3105">
        <v>1</v>
      </c>
      <c r="F29" s="3106" t="s">
        <v>2453</v>
      </c>
      <c r="G29" s="3106"/>
    </row>
    <row r="30" spans="1:13" ht="19.5" customHeight="1">
      <c r="A30" s="3789"/>
      <c r="B30" s="3792"/>
      <c r="C30" s="3107" t="s">
        <v>2454</v>
      </c>
      <c r="D30" s="3108"/>
      <c r="E30" s="3109">
        <v>1</v>
      </c>
      <c r="F30" s="3106" t="s">
        <v>2455</v>
      </c>
      <c r="G30" s="3106"/>
    </row>
    <row r="31" spans="1:13" ht="19.5" customHeight="1">
      <c r="A31" s="3789"/>
      <c r="B31" s="3792"/>
      <c r="C31" s="3107" t="s">
        <v>2456</v>
      </c>
      <c r="D31" s="3108"/>
      <c r="E31" s="3109">
        <v>0.8</v>
      </c>
      <c r="F31" s="3106" t="s">
        <v>2457</v>
      </c>
      <c r="G31" s="3106"/>
    </row>
    <row r="32" spans="1:13" ht="19.5" customHeight="1">
      <c r="A32" s="3789"/>
      <c r="B32" s="3792"/>
      <c r="C32" s="3107" t="s">
        <v>2458</v>
      </c>
      <c r="D32" s="3108"/>
      <c r="E32" s="3109">
        <v>0.8</v>
      </c>
      <c r="F32" s="3106" t="s">
        <v>2459</v>
      </c>
      <c r="G32" s="3106"/>
    </row>
    <row r="33" spans="1:7" ht="19.5" customHeight="1">
      <c r="A33" s="3789"/>
      <c r="B33" s="3792"/>
      <c r="C33" s="3107" t="s">
        <v>2460</v>
      </c>
      <c r="D33" s="3108"/>
      <c r="E33" s="3109">
        <v>0.8</v>
      </c>
      <c r="F33" s="3106" t="s">
        <v>2461</v>
      </c>
      <c r="G33" s="3106"/>
    </row>
    <row r="34" spans="1:7" ht="19.5" customHeight="1">
      <c r="A34" s="3789"/>
      <c r="B34" s="3792"/>
      <c r="C34" s="3107" t="s">
        <v>2462</v>
      </c>
      <c r="D34" s="3108"/>
      <c r="E34" s="3109">
        <v>0.7</v>
      </c>
      <c r="F34" s="3106" t="s">
        <v>2463</v>
      </c>
      <c r="G34" s="3106"/>
    </row>
    <row r="35" spans="1:7" ht="19.5" customHeight="1">
      <c r="A35" s="3789"/>
      <c r="B35" s="3792"/>
      <c r="C35" s="3107" t="s">
        <v>2464</v>
      </c>
      <c r="D35" s="3108"/>
      <c r="E35" s="3109">
        <v>0.8</v>
      </c>
      <c r="F35" s="3106" t="s">
        <v>2465</v>
      </c>
      <c r="G35" s="3106"/>
    </row>
    <row r="36" spans="1:7" ht="19.5" customHeight="1">
      <c r="A36" s="3789"/>
      <c r="B36" s="3792"/>
      <c r="C36" s="3107" t="s">
        <v>2466</v>
      </c>
      <c r="D36" s="3108"/>
      <c r="E36" s="3109">
        <v>0.6</v>
      </c>
      <c r="F36" s="3106" t="s">
        <v>2467</v>
      </c>
      <c r="G36" s="3106"/>
    </row>
    <row r="37" spans="1:7" ht="19.5" customHeight="1">
      <c r="A37" s="3789"/>
      <c r="B37" s="3792"/>
      <c r="C37" s="3107" t="s">
        <v>2468</v>
      </c>
      <c r="D37" s="3108"/>
      <c r="E37" s="3109">
        <v>0.2</v>
      </c>
      <c r="F37" s="3106" t="s">
        <v>2469</v>
      </c>
      <c r="G37" s="3106"/>
    </row>
    <row r="38" spans="1:7" ht="19.5" customHeight="1">
      <c r="A38" s="3789"/>
      <c r="B38" s="3792"/>
      <c r="C38" s="3107" t="s">
        <v>2470</v>
      </c>
      <c r="D38" s="3108"/>
      <c r="E38" s="3109">
        <v>0.2</v>
      </c>
      <c r="F38" s="3106" t="s">
        <v>2471</v>
      </c>
      <c r="G38" s="3106"/>
    </row>
    <row r="39" spans="1:7" ht="19.5" customHeight="1">
      <c r="A39" s="3789"/>
      <c r="B39" s="3793" t="s">
        <v>2632</v>
      </c>
      <c r="C39" s="3107" t="s">
        <v>2472</v>
      </c>
      <c r="D39" s="3108"/>
      <c r="E39" s="3109">
        <v>0.6</v>
      </c>
      <c r="F39" s="3106" t="s">
        <v>2473</v>
      </c>
      <c r="G39" s="3106"/>
    </row>
    <row r="40" spans="1:7" ht="19.5" customHeight="1">
      <c r="A40" s="3789"/>
      <c r="B40" s="3792"/>
      <c r="C40" s="3107" t="s">
        <v>2474</v>
      </c>
      <c r="D40" s="3108"/>
      <c r="E40" s="3109">
        <v>0.6</v>
      </c>
      <c r="F40" s="3106" t="s">
        <v>2475</v>
      </c>
      <c r="G40" s="3106"/>
    </row>
    <row r="41" spans="1:7" ht="19.5" customHeight="1" thickBot="1">
      <c r="A41" s="3790"/>
      <c r="B41" s="379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5" t="s">
        <v>2610</v>
      </c>
      <c r="B43" s="3791" t="s">
        <v>2634</v>
      </c>
      <c r="C43" s="3103" t="s">
        <v>2479</v>
      </c>
      <c r="D43" s="3104"/>
      <c r="E43" s="3105">
        <v>1</v>
      </c>
      <c r="F43" s="3106" t="s">
        <v>2480</v>
      </c>
      <c r="G43" s="3106"/>
    </row>
    <row r="44" spans="1:7" ht="19.5" customHeight="1">
      <c r="A44" s="3796"/>
      <c r="B44" s="3792"/>
      <c r="C44" s="3107" t="s">
        <v>2481</v>
      </c>
      <c r="D44" s="3108"/>
      <c r="E44" s="3109">
        <v>1</v>
      </c>
      <c r="F44" s="3106" t="s">
        <v>2482</v>
      </c>
      <c r="G44" s="3106"/>
    </row>
    <row r="45" spans="1:7" ht="19.5" customHeight="1">
      <c r="A45" s="3796"/>
      <c r="B45" s="3798"/>
      <c r="C45" s="3107" t="s">
        <v>2483</v>
      </c>
      <c r="D45" s="3108"/>
      <c r="E45" s="3109">
        <v>1.5</v>
      </c>
      <c r="F45" s="3106" t="s">
        <v>2484</v>
      </c>
      <c r="G45" s="3106"/>
    </row>
    <row r="46" spans="1:7" ht="19.5" customHeight="1">
      <c r="A46" s="3796"/>
      <c r="B46" s="3118" t="s">
        <v>2635</v>
      </c>
      <c r="C46" s="3107" t="s">
        <v>2636</v>
      </c>
      <c r="D46" s="3108"/>
      <c r="E46" s="3109">
        <v>2</v>
      </c>
      <c r="F46" s="3106" t="s">
        <v>2485</v>
      </c>
      <c r="G46" s="3106"/>
    </row>
    <row r="47" spans="1:7" ht="19.5" customHeight="1">
      <c r="A47" s="3796"/>
      <c r="B47" s="3793" t="s">
        <v>2637</v>
      </c>
      <c r="C47" s="3107" t="s">
        <v>2486</v>
      </c>
      <c r="D47" s="3108"/>
      <c r="E47" s="3109">
        <v>1</v>
      </c>
      <c r="F47" s="3106" t="s">
        <v>2487</v>
      </c>
      <c r="G47" s="3106"/>
    </row>
    <row r="48" spans="1:7" ht="19.5" customHeight="1">
      <c r="A48" s="3796"/>
      <c r="B48" s="3792"/>
      <c r="C48" s="3107" t="s">
        <v>2488</v>
      </c>
      <c r="D48" s="3108"/>
      <c r="E48" s="3109">
        <v>1</v>
      </c>
      <c r="F48" s="3106" t="s">
        <v>2489</v>
      </c>
      <c r="G48" s="3106"/>
    </row>
    <row r="49" spans="1:7" ht="19.5" customHeight="1">
      <c r="A49" s="3796"/>
      <c r="B49" s="3792"/>
      <c r="C49" s="3107" t="s">
        <v>2490</v>
      </c>
      <c r="D49" s="3108"/>
      <c r="E49" s="3109">
        <v>1</v>
      </c>
      <c r="F49" s="3106" t="s">
        <v>2491</v>
      </c>
      <c r="G49" s="3106"/>
    </row>
    <row r="50" spans="1:7" ht="19.5" customHeight="1">
      <c r="A50" s="3796"/>
      <c r="B50" s="3792"/>
      <c r="C50" s="3107" t="s">
        <v>2492</v>
      </c>
      <c r="D50" s="3108"/>
      <c r="E50" s="3109">
        <v>1</v>
      </c>
      <c r="F50" s="3106" t="s">
        <v>2493</v>
      </c>
      <c r="G50" s="3106"/>
    </row>
    <row r="51" spans="1:7" ht="19.5" customHeight="1">
      <c r="A51" s="3796"/>
      <c r="B51" s="3792"/>
      <c r="C51" s="3107" t="s">
        <v>2494</v>
      </c>
      <c r="D51" s="3108"/>
      <c r="E51" s="3109">
        <v>1</v>
      </c>
      <c r="F51" s="3106" t="s">
        <v>2495</v>
      </c>
      <c r="G51" s="3106"/>
    </row>
    <row r="52" spans="1:7" ht="19.5" customHeight="1">
      <c r="A52" s="3796"/>
      <c r="B52" s="3792"/>
      <c r="C52" s="3107" t="s">
        <v>2496</v>
      </c>
      <c r="D52" s="3108"/>
      <c r="E52" s="3109">
        <v>1</v>
      </c>
      <c r="F52" s="3106" t="s">
        <v>2497</v>
      </c>
      <c r="G52" s="3106"/>
    </row>
    <row r="53" spans="1:7" ht="19.5" customHeight="1" thickBot="1">
      <c r="A53" s="3797"/>
      <c r="B53" s="379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3" t="s">
        <v>2651</v>
      </c>
      <c r="C75" s="3092" t="s">
        <v>2652</v>
      </c>
      <c r="D75" s="3092" t="s">
        <v>2653</v>
      </c>
      <c r="E75" s="3118">
        <v>0.2</v>
      </c>
      <c r="F75" s="3118">
        <v>25</v>
      </c>
    </row>
    <row r="76" spans="1:7" ht="24">
      <c r="A76" s="3118">
        <v>2</v>
      </c>
      <c r="B76" s="3792"/>
      <c r="C76" s="3092" t="s">
        <v>2654</v>
      </c>
      <c r="D76" s="3092" t="s">
        <v>2655</v>
      </c>
      <c r="E76" s="3118">
        <v>0.2</v>
      </c>
      <c r="F76" s="3118">
        <v>25</v>
      </c>
    </row>
    <row r="77" spans="1:7" ht="24">
      <c r="A77" s="3118">
        <v>3</v>
      </c>
      <c r="B77" s="3792"/>
      <c r="C77" s="3092" t="s">
        <v>2656</v>
      </c>
      <c r="D77" s="3092" t="s">
        <v>2657</v>
      </c>
      <c r="E77" s="3118">
        <v>0.2</v>
      </c>
      <c r="F77" s="3118">
        <v>25</v>
      </c>
    </row>
    <row r="78" spans="1:7" ht="13.5">
      <c r="A78" s="3118">
        <v>4</v>
      </c>
      <c r="B78" s="3792"/>
      <c r="C78" s="3092" t="s">
        <v>2658</v>
      </c>
      <c r="D78" s="3092" t="s">
        <v>2659</v>
      </c>
      <c r="E78" s="3118">
        <v>0.15</v>
      </c>
      <c r="F78" s="3118">
        <v>20</v>
      </c>
    </row>
    <row r="79" spans="1:7" ht="24">
      <c r="A79" s="3118">
        <v>5</v>
      </c>
      <c r="B79" s="3792"/>
      <c r="C79" s="3092" t="s">
        <v>2660</v>
      </c>
      <c r="D79" s="3092" t="s">
        <v>2661</v>
      </c>
      <c r="E79" s="3118">
        <v>0.15</v>
      </c>
      <c r="F79" s="3118">
        <v>20</v>
      </c>
    </row>
    <row r="80" spans="1:7" ht="24">
      <c r="A80" s="3118">
        <v>6</v>
      </c>
      <c r="B80" s="3792"/>
      <c r="C80" s="3092" t="s">
        <v>2662</v>
      </c>
      <c r="D80" s="3092" t="s">
        <v>2663</v>
      </c>
      <c r="E80" s="3118">
        <v>0.15</v>
      </c>
      <c r="F80" s="3118">
        <v>20</v>
      </c>
    </row>
    <row r="81" spans="1:6" ht="24">
      <c r="A81" s="3118">
        <v>7</v>
      </c>
      <c r="B81" s="3792"/>
      <c r="C81" s="3092" t="s">
        <v>2664</v>
      </c>
      <c r="D81" s="3092" t="s">
        <v>2665</v>
      </c>
      <c r="E81" s="3118">
        <v>0.15</v>
      </c>
      <c r="F81" s="3118">
        <v>20</v>
      </c>
    </row>
    <row r="82" spans="1:6" ht="24">
      <c r="A82" s="3118">
        <v>8</v>
      </c>
      <c r="B82" s="3792"/>
      <c r="C82" s="3092" t="s">
        <v>2666</v>
      </c>
      <c r="D82" s="3092" t="s">
        <v>2667</v>
      </c>
      <c r="E82" s="3118">
        <v>0.1</v>
      </c>
      <c r="F82" s="3118">
        <v>15</v>
      </c>
    </row>
    <row r="83" spans="1:6" ht="24">
      <c r="A83" s="3118">
        <v>9</v>
      </c>
      <c r="B83" s="3792"/>
      <c r="C83" s="3092" t="s">
        <v>2668</v>
      </c>
      <c r="D83" s="3092" t="s">
        <v>2669</v>
      </c>
      <c r="E83" s="3118">
        <v>0.1</v>
      </c>
      <c r="F83" s="3118">
        <v>15</v>
      </c>
    </row>
    <row r="84" spans="1:6" ht="24">
      <c r="A84" s="3118">
        <v>10</v>
      </c>
      <c r="B84" s="3792"/>
      <c r="C84" s="3092" t="s">
        <v>2670</v>
      </c>
      <c r="D84" s="3092" t="s">
        <v>2671</v>
      </c>
      <c r="E84" s="3118">
        <v>0.1</v>
      </c>
      <c r="F84" s="3118">
        <v>15</v>
      </c>
    </row>
    <row r="85" spans="1:6" ht="24">
      <c r="A85" s="3118">
        <v>11</v>
      </c>
      <c r="B85" s="3792"/>
      <c r="C85" s="3092" t="s">
        <v>2672</v>
      </c>
      <c r="D85" s="3092" t="s">
        <v>2673</v>
      </c>
      <c r="E85" s="3118">
        <v>0.1</v>
      </c>
      <c r="F85" s="3118">
        <v>15</v>
      </c>
    </row>
    <row r="86" spans="1:6" ht="24">
      <c r="A86" s="3118">
        <v>12</v>
      </c>
      <c r="B86" s="3792"/>
      <c r="C86" s="3092" t="s">
        <v>2674</v>
      </c>
      <c r="D86" s="3092" t="s">
        <v>2675</v>
      </c>
      <c r="E86" s="3118">
        <v>0.1</v>
      </c>
      <c r="F86" s="3118">
        <v>15</v>
      </c>
    </row>
    <row r="87" spans="1:6" ht="13.5">
      <c r="A87" s="3118">
        <v>13</v>
      </c>
      <c r="B87" s="3792"/>
      <c r="C87" s="3092" t="s">
        <v>2676</v>
      </c>
      <c r="D87" s="3092" t="s">
        <v>2677</v>
      </c>
      <c r="E87" s="3118">
        <v>0.1</v>
      </c>
      <c r="F87" s="3118">
        <v>15</v>
      </c>
    </row>
    <row r="88" spans="1:6" ht="13.5">
      <c r="A88" s="3118">
        <v>14</v>
      </c>
      <c r="B88" s="3792"/>
      <c r="C88" s="3092" t="s">
        <v>2678</v>
      </c>
      <c r="D88" s="3092" t="s">
        <v>2679</v>
      </c>
      <c r="E88" s="3118">
        <v>0.1</v>
      </c>
      <c r="F88" s="3118">
        <v>15</v>
      </c>
    </row>
    <row r="89" spans="1:6" ht="13.5">
      <c r="A89" s="3118">
        <v>15</v>
      </c>
      <c r="B89" s="3792"/>
      <c r="C89" s="3092" t="s">
        <v>2680</v>
      </c>
      <c r="D89" s="3092" t="s">
        <v>2681</v>
      </c>
      <c r="E89" s="3118">
        <v>0.1</v>
      </c>
      <c r="F89" s="3118">
        <v>15</v>
      </c>
    </row>
    <row r="90" spans="1:6" ht="24">
      <c r="A90" s="3118">
        <v>16</v>
      </c>
      <c r="B90" s="3792"/>
      <c r="C90" s="3092" t="s">
        <v>2682</v>
      </c>
      <c r="D90" s="3092" t="s">
        <v>2683</v>
      </c>
      <c r="E90" s="3118">
        <v>0.1</v>
      </c>
      <c r="F90" s="3118">
        <v>15</v>
      </c>
    </row>
    <row r="91" spans="1:6" ht="24">
      <c r="A91" s="3118">
        <v>17</v>
      </c>
      <c r="B91" s="3798"/>
      <c r="C91" s="3092" t="s">
        <v>2684</v>
      </c>
      <c r="D91" s="3092" t="s">
        <v>2685</v>
      </c>
      <c r="E91" s="3118">
        <v>0.1</v>
      </c>
      <c r="F91" s="3118">
        <v>15</v>
      </c>
    </row>
    <row r="92" spans="1:6" ht="13.5">
      <c r="A92" s="3118">
        <v>18</v>
      </c>
      <c r="B92" s="3793" t="s">
        <v>2686</v>
      </c>
      <c r="C92" s="3092" t="s">
        <v>2687</v>
      </c>
      <c r="D92" s="3092" t="s">
        <v>2688</v>
      </c>
      <c r="E92" s="3118">
        <v>0.2</v>
      </c>
      <c r="F92" s="3118">
        <v>25</v>
      </c>
    </row>
    <row r="93" spans="1:6" ht="24">
      <c r="A93" s="3118">
        <v>19</v>
      </c>
      <c r="B93" s="3792"/>
      <c r="C93" s="3092" t="s">
        <v>2689</v>
      </c>
      <c r="D93" s="3092" t="s">
        <v>2690</v>
      </c>
      <c r="E93" s="3118">
        <v>0.2</v>
      </c>
      <c r="F93" s="3118">
        <v>25</v>
      </c>
    </row>
    <row r="94" spans="1:6" ht="13.5">
      <c r="A94" s="3118">
        <v>20</v>
      </c>
      <c r="B94" s="3792"/>
      <c r="C94" s="3092" t="s">
        <v>2691</v>
      </c>
      <c r="D94" s="3092" t="s">
        <v>2692</v>
      </c>
      <c r="E94" s="3118">
        <v>0.15</v>
      </c>
      <c r="F94" s="3118">
        <v>20</v>
      </c>
    </row>
    <row r="95" spans="1:6" ht="13.5">
      <c r="A95" s="3118">
        <v>21</v>
      </c>
      <c r="B95" s="3792"/>
      <c r="C95" s="3092" t="s">
        <v>2693</v>
      </c>
      <c r="D95" s="3092" t="s">
        <v>2694</v>
      </c>
      <c r="E95" s="3118">
        <v>0.15</v>
      </c>
      <c r="F95" s="3118">
        <v>20</v>
      </c>
    </row>
    <row r="96" spans="1:6" ht="13.5">
      <c r="A96" s="3118">
        <v>22</v>
      </c>
      <c r="B96" s="3792"/>
      <c r="C96" s="3092" t="s">
        <v>2695</v>
      </c>
      <c r="D96" s="3092" t="s">
        <v>2696</v>
      </c>
      <c r="E96" s="3118">
        <v>0.15</v>
      </c>
      <c r="F96" s="3118">
        <v>20</v>
      </c>
    </row>
    <row r="97" spans="1:6" ht="36">
      <c r="A97" s="3118">
        <v>23</v>
      </c>
      <c r="B97" s="3792"/>
      <c r="C97" s="3092" t="s">
        <v>2697</v>
      </c>
      <c r="D97" s="3092" t="s">
        <v>2698</v>
      </c>
      <c r="E97" s="3118">
        <v>0.15</v>
      </c>
      <c r="F97" s="3118">
        <v>20</v>
      </c>
    </row>
    <row r="98" spans="1:6" ht="13.5">
      <c r="A98" s="3118">
        <v>24</v>
      </c>
      <c r="B98" s="3792"/>
      <c r="C98" s="3092" t="s">
        <v>2699</v>
      </c>
      <c r="D98" s="3092" t="s">
        <v>2700</v>
      </c>
      <c r="E98" s="3118">
        <v>0.1</v>
      </c>
      <c r="F98" s="3118">
        <v>15</v>
      </c>
    </row>
    <row r="99" spans="1:6" ht="13.5">
      <c r="A99" s="3118">
        <v>25</v>
      </c>
      <c r="B99" s="3792"/>
      <c r="C99" s="3092" t="s">
        <v>2701</v>
      </c>
      <c r="D99" s="3092" t="s">
        <v>2702</v>
      </c>
      <c r="E99" s="3118">
        <v>0.1</v>
      </c>
      <c r="F99" s="3118">
        <v>15</v>
      </c>
    </row>
    <row r="100" spans="1:6" ht="24">
      <c r="A100" s="3118">
        <v>26</v>
      </c>
      <c r="B100" s="3792"/>
      <c r="C100" s="3092" t="s">
        <v>2703</v>
      </c>
      <c r="D100" s="3092" t="s">
        <v>2704</v>
      </c>
      <c r="E100" s="3118">
        <v>0.1</v>
      </c>
      <c r="F100" s="3118">
        <v>15</v>
      </c>
    </row>
    <row r="101" spans="1:6" ht="24">
      <c r="A101" s="3118">
        <v>27</v>
      </c>
      <c r="B101" s="3792"/>
      <c r="C101" s="3092" t="s">
        <v>2705</v>
      </c>
      <c r="D101" s="3092" t="s">
        <v>2706</v>
      </c>
      <c r="E101" s="3118">
        <v>0.1</v>
      </c>
      <c r="F101" s="3118">
        <v>15</v>
      </c>
    </row>
    <row r="102" spans="1:6" ht="13.5">
      <c r="A102" s="3118">
        <v>28</v>
      </c>
      <c r="B102" s="3792"/>
      <c r="C102" s="3092" t="s">
        <v>2707</v>
      </c>
      <c r="D102" s="3092" t="s">
        <v>2708</v>
      </c>
      <c r="E102" s="3118">
        <v>0.1</v>
      </c>
      <c r="F102" s="3118">
        <v>15</v>
      </c>
    </row>
    <row r="103" spans="1:6" ht="13.5">
      <c r="A103" s="3118">
        <v>29</v>
      </c>
      <c r="B103" s="3792"/>
      <c r="C103" s="3092" t="s">
        <v>2709</v>
      </c>
      <c r="D103" s="3092" t="s">
        <v>2710</v>
      </c>
      <c r="E103" s="3118">
        <v>0.1</v>
      </c>
      <c r="F103" s="3118">
        <v>15</v>
      </c>
    </row>
    <row r="104" spans="1:6" ht="13.5">
      <c r="A104" s="3118">
        <v>30</v>
      </c>
      <c r="B104" s="3792"/>
      <c r="C104" s="3092" t="s">
        <v>2711</v>
      </c>
      <c r="D104" s="3092" t="s">
        <v>2712</v>
      </c>
      <c r="E104" s="3118">
        <v>0.1</v>
      </c>
      <c r="F104" s="3118">
        <v>15</v>
      </c>
    </row>
    <row r="105" spans="1:6" ht="24">
      <c r="A105" s="3118">
        <v>31</v>
      </c>
      <c r="B105" s="3792"/>
      <c r="C105" s="3092" t="s">
        <v>2713</v>
      </c>
      <c r="D105" s="3092" t="s">
        <v>2714</v>
      </c>
      <c r="E105" s="3118">
        <v>0.1</v>
      </c>
      <c r="F105" s="3118">
        <v>15</v>
      </c>
    </row>
    <row r="106" spans="1:6" ht="24">
      <c r="A106" s="3118">
        <v>32</v>
      </c>
      <c r="B106" s="3792"/>
      <c r="C106" s="3092" t="s">
        <v>2715</v>
      </c>
      <c r="D106" s="3092" t="s">
        <v>2716</v>
      </c>
      <c r="E106" s="3118">
        <v>0.1</v>
      </c>
      <c r="F106" s="3118">
        <v>15</v>
      </c>
    </row>
    <row r="107" spans="1:6" ht="24">
      <c r="A107" s="3118">
        <v>33</v>
      </c>
      <c r="B107" s="3792"/>
      <c r="C107" s="3092" t="s">
        <v>2717</v>
      </c>
      <c r="D107" s="3092" t="s">
        <v>2718</v>
      </c>
      <c r="E107" s="3118">
        <v>0.1</v>
      </c>
      <c r="F107" s="3118">
        <v>15</v>
      </c>
    </row>
    <row r="108" spans="1:6" ht="24">
      <c r="A108" s="3118">
        <v>34</v>
      </c>
      <c r="B108" s="3798"/>
      <c r="C108" s="3092" t="s">
        <v>2719</v>
      </c>
      <c r="D108" s="3092" t="s">
        <v>2720</v>
      </c>
      <c r="E108" s="3118">
        <v>0.1</v>
      </c>
      <c r="F108" s="3118">
        <v>15</v>
      </c>
    </row>
    <row r="109" spans="1:6" ht="24">
      <c r="A109" s="3118">
        <v>35</v>
      </c>
      <c r="B109" s="3793" t="s">
        <v>2721</v>
      </c>
      <c r="C109" s="3118" t="s">
        <v>2722</v>
      </c>
      <c r="D109" s="3092" t="s">
        <v>2723</v>
      </c>
      <c r="E109" s="3118">
        <v>0.15</v>
      </c>
      <c r="F109" s="3118">
        <v>20</v>
      </c>
    </row>
    <row r="110" spans="1:6" ht="13.5">
      <c r="A110" s="3118">
        <v>36</v>
      </c>
      <c r="B110" s="3792"/>
      <c r="C110" s="3118" t="s">
        <v>2724</v>
      </c>
      <c r="D110" s="3092" t="s">
        <v>2725</v>
      </c>
      <c r="E110" s="3118">
        <v>0.15</v>
      </c>
      <c r="F110" s="3118">
        <v>20</v>
      </c>
    </row>
    <row r="111" spans="1:6" ht="13.5">
      <c r="A111" s="3118">
        <v>37</v>
      </c>
      <c r="B111" s="3792"/>
      <c r="C111" s="3118" t="s">
        <v>2726</v>
      </c>
      <c r="D111" s="3092" t="s">
        <v>2727</v>
      </c>
      <c r="E111" s="3118">
        <v>0.15</v>
      </c>
      <c r="F111" s="3118">
        <v>20</v>
      </c>
    </row>
    <row r="112" spans="1:6" ht="13.5">
      <c r="A112" s="3118">
        <v>38</v>
      </c>
      <c r="B112" s="3792"/>
      <c r="C112" s="3118" t="s">
        <v>2728</v>
      </c>
      <c r="D112" s="3092" t="s">
        <v>2729</v>
      </c>
      <c r="E112" s="3118">
        <v>0.1</v>
      </c>
      <c r="F112" s="3118">
        <v>15</v>
      </c>
    </row>
    <row r="113" spans="1:6" ht="24">
      <c r="A113" s="3118">
        <v>39</v>
      </c>
      <c r="B113" s="3792"/>
      <c r="C113" s="3118" t="s">
        <v>2730</v>
      </c>
      <c r="D113" s="3092" t="s">
        <v>2731</v>
      </c>
      <c r="E113" s="3118">
        <v>0.1</v>
      </c>
      <c r="F113" s="3118">
        <v>15</v>
      </c>
    </row>
    <row r="114" spans="1:6" ht="24">
      <c r="A114" s="3118">
        <v>40</v>
      </c>
      <c r="B114" s="3798"/>
      <c r="C114" s="3118" t="s">
        <v>2732</v>
      </c>
      <c r="D114" s="3092" t="s">
        <v>2733</v>
      </c>
      <c r="E114" s="3118">
        <v>0.1</v>
      </c>
      <c r="F114" s="3118">
        <v>15</v>
      </c>
    </row>
    <row r="115" spans="1:6" ht="13.5">
      <c r="A115" s="3118">
        <v>41</v>
      </c>
      <c r="B115" s="3786" t="s">
        <v>2734</v>
      </c>
      <c r="C115" s="3118" t="s">
        <v>2735</v>
      </c>
      <c r="D115" s="3092" t="s">
        <v>2736</v>
      </c>
      <c r="E115" s="3118">
        <v>0.1</v>
      </c>
      <c r="F115" s="3118">
        <v>15</v>
      </c>
    </row>
    <row r="116" spans="1:6" ht="13.5">
      <c r="A116" s="3118">
        <v>42</v>
      </c>
      <c r="B116" s="3786"/>
      <c r="C116" s="3118" t="s">
        <v>2737</v>
      </c>
      <c r="D116" s="3092" t="s">
        <v>2738</v>
      </c>
      <c r="E116" s="3118">
        <v>0.1</v>
      </c>
      <c r="F116" s="3118">
        <v>15</v>
      </c>
    </row>
    <row r="117" spans="1:6" ht="24">
      <c r="A117" s="3118">
        <v>43</v>
      </c>
      <c r="B117" s="3786"/>
      <c r="C117" s="3118" t="s">
        <v>2739</v>
      </c>
      <c r="D117" s="3092" t="s">
        <v>2740</v>
      </c>
      <c r="E117" s="3118">
        <v>0.1</v>
      </c>
      <c r="F117" s="3118">
        <v>15</v>
      </c>
    </row>
    <row r="118" spans="1:6" ht="13.5">
      <c r="A118" s="3118">
        <v>44</v>
      </c>
      <c r="B118" s="3793" t="s">
        <v>2741</v>
      </c>
      <c r="C118" s="3118" t="s">
        <v>2742</v>
      </c>
      <c r="D118" s="3092" t="s">
        <v>2743</v>
      </c>
      <c r="E118" s="3118">
        <v>0.1</v>
      </c>
      <c r="F118" s="3118">
        <v>15</v>
      </c>
    </row>
    <row r="119" spans="1:6" ht="24">
      <c r="A119" s="3118">
        <v>45</v>
      </c>
      <c r="B119" s="3798"/>
      <c r="C119" s="3092" t="s">
        <v>2744</v>
      </c>
      <c r="D119" s="3092" t="s">
        <v>2745</v>
      </c>
      <c r="E119" s="3118">
        <v>0.1</v>
      </c>
      <c r="F119" s="3118">
        <v>15</v>
      </c>
    </row>
    <row r="120" spans="1:6" ht="24">
      <c r="A120" s="3118">
        <v>46</v>
      </c>
      <c r="B120" s="3793" t="s">
        <v>2746</v>
      </c>
      <c r="C120" s="3118" t="s">
        <v>2747</v>
      </c>
      <c r="D120" s="3092" t="s">
        <v>2748</v>
      </c>
      <c r="E120" s="3118">
        <v>0.1</v>
      </c>
      <c r="F120" s="3118">
        <v>15</v>
      </c>
    </row>
    <row r="121" spans="1:6" ht="24">
      <c r="A121" s="3118">
        <v>47</v>
      </c>
      <c r="B121" s="3798"/>
      <c r="C121" s="3118" t="s">
        <v>2749</v>
      </c>
      <c r="D121" s="3092" t="s">
        <v>2750</v>
      </c>
      <c r="E121" s="3118">
        <v>0.1</v>
      </c>
      <c r="F121" s="3118">
        <v>15</v>
      </c>
    </row>
    <row r="122" spans="1:6" ht="13.5">
      <c r="A122" s="3118">
        <v>48</v>
      </c>
      <c r="B122" s="3793" t="s">
        <v>2751</v>
      </c>
      <c r="C122" s="3118" t="s">
        <v>2752</v>
      </c>
      <c r="D122" s="3092" t="s">
        <v>2753</v>
      </c>
      <c r="E122" s="3118">
        <v>0.1</v>
      </c>
      <c r="F122" s="3118">
        <v>15</v>
      </c>
    </row>
    <row r="123" spans="1:6" ht="13.5">
      <c r="A123" s="3118">
        <v>49</v>
      </c>
      <c r="B123" s="3798"/>
      <c r="C123" s="3118" t="s">
        <v>2754</v>
      </c>
      <c r="D123" s="3092" t="s">
        <v>2755</v>
      </c>
      <c r="E123" s="3118">
        <v>0.1</v>
      </c>
      <c r="F123" s="3118">
        <v>15</v>
      </c>
    </row>
    <row r="124" spans="1:6" ht="24">
      <c r="A124" s="3118">
        <v>50</v>
      </c>
      <c r="B124" s="3786" t="s">
        <v>2756</v>
      </c>
      <c r="C124" s="3118" t="s">
        <v>2757</v>
      </c>
      <c r="D124" s="3092" t="s">
        <v>2758</v>
      </c>
      <c r="E124" s="3118">
        <v>0.1</v>
      </c>
      <c r="F124" s="3118">
        <v>15</v>
      </c>
    </row>
    <row r="125" spans="1:6" ht="24">
      <c r="A125" s="3118">
        <v>51</v>
      </c>
      <c r="B125" s="3786"/>
      <c r="C125" s="3118" t="s">
        <v>2759</v>
      </c>
      <c r="D125" s="3092" t="s">
        <v>2760</v>
      </c>
      <c r="E125" s="3118">
        <v>0.1</v>
      </c>
      <c r="F125" s="3118">
        <v>15</v>
      </c>
    </row>
    <row r="126" spans="1:6" ht="24">
      <c r="A126" s="3118">
        <v>52</v>
      </c>
      <c r="B126" s="3786" t="s">
        <v>2761</v>
      </c>
      <c r="C126" s="3118" t="s">
        <v>2762</v>
      </c>
      <c r="D126" s="3092" t="s">
        <v>2763</v>
      </c>
      <c r="E126" s="3118">
        <v>0.1</v>
      </c>
      <c r="F126" s="3118">
        <v>15</v>
      </c>
    </row>
    <row r="127" spans="1:6" ht="24">
      <c r="A127" s="3118">
        <v>53</v>
      </c>
      <c r="B127" s="3786"/>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6" t="s">
        <v>2769</v>
      </c>
      <c r="C129" s="3118" t="s">
        <v>2770</v>
      </c>
      <c r="D129" s="3092" t="s">
        <v>2771</v>
      </c>
      <c r="E129" s="3118">
        <v>0.1</v>
      </c>
      <c r="F129" s="3118">
        <v>15</v>
      </c>
    </row>
    <row r="130" spans="1:6" ht="13.5">
      <c r="A130" s="3118">
        <v>56</v>
      </c>
      <c r="B130" s="3786"/>
      <c r="C130" s="3118" t="s">
        <v>2772</v>
      </c>
      <c r="D130" s="3092" t="s">
        <v>2773</v>
      </c>
      <c r="E130" s="3118">
        <v>0.1</v>
      </c>
      <c r="F130" s="3118">
        <v>15</v>
      </c>
    </row>
    <row r="131" spans="1:6" ht="24">
      <c r="A131" s="3118">
        <v>57</v>
      </c>
      <c r="B131" s="3786"/>
      <c r="C131" s="3118" t="s">
        <v>2774</v>
      </c>
      <c r="D131" s="3092" t="s">
        <v>2775</v>
      </c>
      <c r="E131" s="3118">
        <v>0.1</v>
      </c>
      <c r="F131" s="3118">
        <v>15</v>
      </c>
    </row>
    <row r="132" spans="1:6" ht="24">
      <c r="A132" s="3118">
        <v>58</v>
      </c>
      <c r="B132" s="3786" t="s">
        <v>2776</v>
      </c>
      <c r="C132" s="3118" t="s">
        <v>2777</v>
      </c>
      <c r="D132" s="3092" t="s">
        <v>2778</v>
      </c>
      <c r="E132" s="3118">
        <v>0.1</v>
      </c>
      <c r="F132" s="3118">
        <v>15</v>
      </c>
    </row>
    <row r="133" spans="1:6" ht="13.5">
      <c r="A133" s="3118">
        <v>59</v>
      </c>
      <c r="B133" s="3786"/>
      <c r="C133" s="3118" t="s">
        <v>2779</v>
      </c>
      <c r="D133" s="3092" t="s">
        <v>2780</v>
      </c>
      <c r="E133" s="3118">
        <v>0.1</v>
      </c>
      <c r="F133" s="3118">
        <v>15</v>
      </c>
    </row>
    <row r="134" spans="1:6" ht="13.5">
      <c r="A134" s="3118">
        <v>60</v>
      </c>
      <c r="B134" s="3793" t="s">
        <v>2781</v>
      </c>
      <c r="C134" s="3118" t="s">
        <v>2782</v>
      </c>
      <c r="D134" s="3092" t="s">
        <v>2783</v>
      </c>
      <c r="E134" s="3118">
        <v>0.1</v>
      </c>
      <c r="F134" s="3118">
        <v>15</v>
      </c>
    </row>
    <row r="135" spans="1:6" ht="13.5">
      <c r="A135" s="3118">
        <v>61</v>
      </c>
      <c r="B135" s="379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6" t="s">
        <v>2789</v>
      </c>
      <c r="C137" s="3118" t="s">
        <v>2790</v>
      </c>
      <c r="D137" s="3092" t="s">
        <v>2791</v>
      </c>
      <c r="E137" s="3118">
        <v>0.1</v>
      </c>
      <c r="F137" s="3118">
        <v>15</v>
      </c>
    </row>
    <row r="138" spans="1:6" ht="13.5">
      <c r="A138" s="3118">
        <v>64</v>
      </c>
      <c r="B138" s="3786"/>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28411</v>
      </c>
      <c r="C2" s="2" t="s">
        <v>106</v>
      </c>
      <c r="D2" s="199"/>
      <c r="E2" s="199"/>
      <c r="F2" s="199"/>
      <c r="G2" s="199"/>
    </row>
    <row r="3" spans="1:7" s="200" customFormat="1" ht="18" customHeight="1" thickBot="1">
      <c r="A3" s="203" t="s">
        <v>58</v>
      </c>
      <c r="B3" s="204">
        <f ca="1">ROUND(B2*10000/'数据-汇总表'!E3,0)</f>
        <v>198834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v>
      </c>
      <c r="D10" s="845">
        <f>'数据-汇总表'!E6</f>
        <v>1428.88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v>
      </c>
      <c r="D19" s="849">
        <f>'数据-汇总表'!E3</f>
        <v>1428.88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1325</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27635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572</v>
      </c>
      <c r="D34" s="217"/>
      <c r="E34" s="220"/>
      <c r="F34" s="257">
        <f>IF('数据-取费表'!B24=0,1,'数据-取费表'!N16)</f>
        <v>1</v>
      </c>
      <c r="G34" s="219" t="s">
        <v>89</v>
      </c>
    </row>
    <row r="35" spans="1:7" ht="13.5" customHeight="1">
      <c r="A35" s="780" t="s">
        <v>351</v>
      </c>
      <c r="B35" s="215" t="s">
        <v>33</v>
      </c>
      <c r="C35" s="220">
        <f>ROUND(C34*F35,0)</f>
        <v>29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v>
      </c>
      <c r="D37" s="217">
        <f>'数据-汇总表'!E3</f>
        <v>1428.88</v>
      </c>
      <c r="E37" s="249">
        <f>'数据-取费表'!B35</f>
        <v>200</v>
      </c>
      <c r="F37" s="259"/>
      <c r="G37" s="261" t="s">
        <v>92</v>
      </c>
    </row>
    <row r="38" spans="1:7" ht="13.5" customHeight="1">
      <c r="A38" s="780" t="s">
        <v>354</v>
      </c>
      <c r="B38" s="215" t="s">
        <v>36</v>
      </c>
      <c r="C38" s="220">
        <f>ROUND(C34*F38,0)</f>
        <v>17</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99</v>
      </c>
      <c r="D45" s="235">
        <f>C47</f>
        <v>3.0000000000000001E-3</v>
      </c>
      <c r="E45" s="236" t="s">
        <v>102</v>
      </c>
      <c r="F45" s="246"/>
      <c r="G45" s="247" t="s">
        <v>434</v>
      </c>
    </row>
    <row r="46" spans="1:7" s="214" customFormat="1" ht="13.5" customHeight="1">
      <c r="A46" s="780" t="s">
        <v>349</v>
      </c>
      <c r="B46" s="248" t="s">
        <v>427</v>
      </c>
      <c r="C46" s="249">
        <f>ROUND((C33+C39)*F27,0)</f>
        <v>99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843</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776</v>
      </c>
      <c r="D51" s="232"/>
      <c r="E51" s="232"/>
      <c r="F51" s="264"/>
      <c r="G51" s="234" t="s">
        <v>37</v>
      </c>
    </row>
    <row r="52" spans="1:7" s="208" customFormat="1" ht="16.5" thickBot="1">
      <c r="A52" s="265" t="s">
        <v>38</v>
      </c>
      <c r="B52" s="266"/>
      <c r="C52" s="267">
        <f ca="1">C31+C51</f>
        <v>28411</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3221">
        <f>基准地价修正!G23</f>
        <v>46003</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3378</v>
      </c>
    </row>
    <row r="27" spans="1:44" s="3009" customFormat="1">
      <c r="I27" s="3208" t="s">
        <v>2825</v>
      </c>
    </row>
    <row r="28" spans="1:44" s="3009" customFormat="1"/>
    <row r="29" spans="1:44" s="3209" customFormat="1" ht="12.75">
      <c r="B29" s="3210" t="s">
        <v>3376</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46003</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1428.88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2026-01-20T06:00:20Z</dcterms:modified>
</cp:coreProperties>
</file>